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18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shares'!$A$1:$FA$216</definedName>
    <definedName name="Expry_Roll___20" localSheetId="17">'NIFTY GRP'!$A$1:$EY$51</definedName>
    <definedName name="fii" localSheetId="18">FII!$A$1:$N$16</definedName>
    <definedName name="_xlnm.Print_Area" localSheetId="14">Disclaimar!$A$1:$A$24</definedName>
    <definedName name="stats__2" localSheetId="15">'Data Vlaue (Cr)'!$A$1:$FB$216</definedName>
  </definedNames>
  <calcPr calcId="144525" calcMode="manual"/>
</workbook>
</file>

<file path=xl/calcChain.xml><?xml version="1.0" encoding="utf-8"?>
<calcChain xmlns="http://schemas.openxmlformats.org/spreadsheetml/2006/main">
  <c r="F213" i="18" l="1"/>
  <c r="F70" i="18"/>
  <c r="F102" i="18"/>
  <c r="F24" i="18"/>
  <c r="F138" i="18"/>
  <c r="F95" i="18"/>
  <c r="F41" i="18"/>
  <c r="F88" i="18"/>
  <c r="F65" i="18"/>
  <c r="F166" i="18"/>
  <c r="F89" i="18"/>
  <c r="F52" i="18"/>
  <c r="F136" i="18"/>
  <c r="F197" i="18"/>
  <c r="F75" i="18"/>
  <c r="F190" i="18"/>
  <c r="F116" i="18"/>
  <c r="F74" i="18"/>
  <c r="F129" i="18"/>
  <c r="F30" i="18"/>
  <c r="F124" i="18"/>
  <c r="F57" i="18"/>
  <c r="F31" i="18"/>
  <c r="F98" i="18"/>
  <c r="F158" i="18"/>
  <c r="F71" i="18"/>
  <c r="F46" i="18"/>
  <c r="F100" i="18"/>
  <c r="F149" i="18"/>
  <c r="F207" i="18"/>
  <c r="F53" i="18"/>
  <c r="F9" i="18"/>
  <c r="F28" i="18"/>
  <c r="F80" i="18"/>
  <c r="F168" i="18"/>
  <c r="F196" i="18"/>
  <c r="F103" i="18"/>
  <c r="F148" i="18"/>
  <c r="F177" i="18"/>
  <c r="F51" i="18"/>
  <c r="F206" i="18"/>
  <c r="F12" i="18"/>
  <c r="F172" i="18"/>
  <c r="F123" i="18"/>
  <c r="F178" i="18"/>
  <c r="F17" i="18"/>
  <c r="F131" i="18"/>
  <c r="F106" i="18"/>
  <c r="F10" i="18"/>
  <c r="F26" i="18"/>
  <c r="F174" i="18"/>
  <c r="F63" i="18"/>
  <c r="F194" i="18"/>
  <c r="F150" i="18"/>
  <c r="F21" i="18"/>
  <c r="F15" i="18"/>
  <c r="F19" i="18"/>
  <c r="F99" i="18"/>
  <c r="F144" i="18"/>
  <c r="F66" i="18"/>
  <c r="F22" i="18"/>
  <c r="F64" i="18"/>
  <c r="F200" i="18"/>
  <c r="F130" i="18"/>
  <c r="F47" i="18"/>
  <c r="F121" i="18"/>
  <c r="F119" i="18"/>
  <c r="F128" i="18"/>
  <c r="F67" i="18"/>
  <c r="F109" i="18"/>
  <c r="F154" i="18"/>
  <c r="F126" i="18"/>
  <c r="F105" i="18"/>
  <c r="F97" i="18"/>
  <c r="F203" i="18"/>
  <c r="F62" i="18"/>
  <c r="F199" i="18"/>
  <c r="F175" i="18"/>
  <c r="F20" i="18"/>
  <c r="F86" i="18"/>
  <c r="F114" i="18"/>
  <c r="F143" i="18"/>
  <c r="F32" i="18"/>
  <c r="F29" i="18"/>
  <c r="F49" i="18"/>
  <c r="F39" i="18"/>
  <c r="F146" i="18"/>
  <c r="F179" i="18"/>
  <c r="F115" i="18"/>
  <c r="F43" i="18"/>
  <c r="F204" i="18"/>
  <c r="F91" i="18"/>
  <c r="F45" i="18"/>
  <c r="F82" i="18"/>
  <c r="F160" i="18"/>
  <c r="F161" i="18"/>
  <c r="F25" i="18"/>
  <c r="F42" i="18"/>
  <c r="F171" i="18"/>
  <c r="F145" i="18"/>
  <c r="F184" i="18"/>
  <c r="F147" i="18"/>
  <c r="F142" i="18"/>
  <c r="F211" i="18"/>
  <c r="F59" i="18"/>
  <c r="F35" i="18"/>
  <c r="F101" i="18"/>
  <c r="F210" i="18"/>
  <c r="F14" i="18"/>
  <c r="F189" i="18"/>
  <c r="F81" i="18"/>
  <c r="F55" i="18"/>
  <c r="F112" i="18"/>
  <c r="F141" i="18"/>
  <c r="F135" i="18"/>
  <c r="F134" i="18"/>
  <c r="F37" i="18"/>
  <c r="F111" i="18"/>
  <c r="F113" i="18"/>
  <c r="F104" i="18"/>
  <c r="F93" i="18"/>
  <c r="F34" i="18"/>
  <c r="F156" i="18"/>
  <c r="F153" i="18"/>
  <c r="F85" i="18"/>
  <c r="F56" i="18"/>
  <c r="F140" i="18"/>
  <c r="F125" i="18"/>
  <c r="F195" i="18"/>
  <c r="F202" i="18"/>
  <c r="F107" i="18"/>
  <c r="F36" i="18"/>
  <c r="F44" i="18"/>
  <c r="F201" i="18"/>
  <c r="F79" i="18"/>
  <c r="F92" i="18"/>
  <c r="F77" i="18"/>
  <c r="F188" i="18"/>
  <c r="F212" i="18"/>
  <c r="F94" i="18"/>
  <c r="F120" i="18"/>
  <c r="F182" i="18"/>
  <c r="F11" i="18"/>
  <c r="F60" i="18"/>
  <c r="F33" i="18"/>
  <c r="F68" i="18"/>
  <c r="F169" i="18"/>
  <c r="F40" i="18"/>
  <c r="F157" i="18"/>
  <c r="F5" i="18"/>
  <c r="F76" i="18"/>
  <c r="F198" i="18"/>
  <c r="F159" i="18"/>
  <c r="F181" i="18"/>
  <c r="F133" i="18"/>
  <c r="F152" i="18"/>
  <c r="F167" i="18"/>
  <c r="F7" i="18"/>
  <c r="F132" i="18"/>
  <c r="F72" i="18"/>
  <c r="F83" i="18"/>
  <c r="F38" i="18"/>
  <c r="F176" i="18"/>
  <c r="F90" i="18"/>
  <c r="F58" i="18"/>
  <c r="F48" i="18"/>
  <c r="F139" i="18"/>
  <c r="F108" i="18"/>
  <c r="F69" i="18"/>
  <c r="F151" i="18"/>
  <c r="F185" i="18"/>
  <c r="F96" i="18"/>
  <c r="F8" i="18"/>
  <c r="F209" i="18"/>
  <c r="F78" i="18"/>
  <c r="F13" i="18"/>
  <c r="F164" i="18"/>
  <c r="F183" i="18"/>
  <c r="F87" i="18"/>
  <c r="F162" i="18"/>
  <c r="F6" i="18"/>
  <c r="F163" i="18"/>
  <c r="F16" i="18"/>
  <c r="F61" i="18"/>
  <c r="F27" i="18"/>
  <c r="F180" i="18"/>
  <c r="F192" i="18"/>
  <c r="F155" i="18"/>
  <c r="F118" i="18"/>
  <c r="F186" i="18"/>
  <c r="F137" i="18"/>
  <c r="F208" i="18"/>
  <c r="F73" i="18"/>
  <c r="F205" i="18"/>
  <c r="F122" i="18"/>
  <c r="F18" i="18"/>
  <c r="F193" i="18"/>
  <c r="F23" i="18"/>
  <c r="F54" i="18"/>
  <c r="F191" i="18"/>
  <c r="F117" i="18"/>
  <c r="F187" i="18"/>
  <c r="F127" i="18"/>
  <c r="F50" i="18"/>
  <c r="F170" i="18"/>
  <c r="F110" i="18"/>
  <c r="F173" i="18"/>
  <c r="F84" i="18"/>
  <c r="L4" i="21" l="1"/>
  <c r="L3" i="21"/>
  <c r="E118" i="18" l="1"/>
  <c r="B20" i="28" l="1"/>
  <c r="B21" i="28"/>
  <c r="B22" i="28"/>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57" i="18"/>
  <c r="E199" i="18"/>
  <c r="E178" i="18"/>
  <c r="E197" i="18"/>
  <c r="E143" i="18"/>
  <c r="E193" i="18"/>
  <c r="E47" i="18"/>
  <c r="E61" i="18"/>
  <c r="E21" i="18"/>
  <c r="E29" i="18"/>
  <c r="E91" i="18"/>
  <c r="E66" i="18"/>
  <c r="E195" i="18"/>
  <c r="E105" i="18"/>
  <c r="E205" i="18"/>
  <c r="E126" i="18"/>
  <c r="E69" i="18"/>
  <c r="E145" i="18"/>
  <c r="E129" i="18"/>
  <c r="E173" i="18"/>
  <c r="E85" i="18"/>
  <c r="E192" i="18"/>
  <c r="E206" i="18"/>
  <c r="E213" i="18"/>
  <c r="E27" i="18"/>
  <c r="E151" i="18"/>
  <c r="E68" i="18"/>
  <c r="E7" i="18"/>
  <c r="E135" i="18"/>
  <c r="E164" i="18"/>
  <c r="E210" i="18"/>
  <c r="E200" i="18"/>
  <c r="E42" i="18"/>
  <c r="E140" i="18"/>
  <c r="E138" i="18"/>
  <c r="E82" i="18"/>
  <c r="E79" i="18"/>
  <c r="E19" i="18"/>
  <c r="E171" i="18"/>
  <c r="E84" i="18"/>
  <c r="E101" i="18"/>
  <c r="E156" i="18"/>
  <c r="E99" i="18"/>
  <c r="E112" i="18"/>
  <c r="E103" i="18"/>
  <c r="E16" i="18"/>
  <c r="E12" i="18"/>
  <c r="E158" i="18"/>
  <c r="E172" i="18"/>
  <c r="E123" i="18"/>
  <c r="E119" i="18"/>
  <c r="E17" i="18"/>
  <c r="E186" i="18"/>
  <c r="E26" i="18"/>
  <c r="E113" i="18"/>
  <c r="E162" i="18"/>
  <c r="E14" i="18"/>
  <c r="E55" i="18"/>
  <c r="E49" i="18"/>
  <c r="E111" i="18"/>
  <c r="E37" i="18"/>
  <c r="E78" i="18"/>
  <c r="E149" i="18"/>
  <c r="E120" i="18"/>
  <c r="E39" i="18"/>
  <c r="E180" i="18"/>
  <c r="E115" i="18"/>
  <c r="E32" i="18"/>
  <c r="E117" i="18"/>
  <c r="E5" i="18"/>
  <c r="E63" i="18"/>
  <c r="E150" i="18"/>
  <c r="E33" i="18"/>
  <c r="E46" i="18"/>
  <c r="E72" i="18"/>
  <c r="E6" i="18"/>
  <c r="E95" i="18"/>
  <c r="E208" i="18"/>
  <c r="E137" i="18"/>
  <c r="E30" i="18"/>
  <c r="E141" i="18"/>
  <c r="E169" i="18"/>
  <c r="E175" i="18"/>
  <c r="E130" i="18"/>
  <c r="E28" i="18"/>
  <c r="E127" i="18"/>
  <c r="E15" i="18"/>
  <c r="E147" i="18"/>
  <c r="E166" i="18"/>
  <c r="E71" i="18"/>
  <c r="E153" i="18"/>
  <c r="E9" i="18"/>
  <c r="E196" i="18"/>
  <c r="E38" i="18"/>
  <c r="E59" i="18"/>
  <c r="E121" i="18"/>
  <c r="E43" i="18"/>
  <c r="E110" i="18"/>
  <c r="E109" i="18"/>
  <c r="E144" i="18"/>
  <c r="E212" i="18"/>
  <c r="E142" i="18"/>
  <c r="E94" i="18"/>
  <c r="E18" i="18"/>
  <c r="E53" i="18"/>
  <c r="E168" i="18"/>
  <c r="E45" i="18"/>
  <c r="E102" i="18"/>
  <c r="E58" i="18"/>
  <c r="E201" i="18"/>
  <c r="E128" i="18"/>
  <c r="E209" i="18"/>
  <c r="E80" i="18"/>
  <c r="E185" i="18"/>
  <c r="E116" i="18"/>
  <c r="E131" i="18"/>
  <c r="E93" i="18"/>
  <c r="E67" i="18"/>
  <c r="E204" i="18"/>
  <c r="E139" i="18"/>
  <c r="E35" i="18"/>
  <c r="E34" i="18"/>
  <c r="E24" i="18"/>
  <c r="E155" i="18"/>
  <c r="E154" i="18"/>
  <c r="E98" i="18"/>
  <c r="E54" i="18"/>
  <c r="E161" i="18"/>
  <c r="E36" i="18"/>
  <c r="E52" i="18"/>
  <c r="E83" i="18"/>
  <c r="E134" i="18"/>
  <c r="E187" i="18"/>
  <c r="E189" i="18"/>
  <c r="E108" i="18"/>
  <c r="E86" i="18"/>
  <c r="E125" i="18"/>
  <c r="E179" i="18"/>
  <c r="E25" i="18"/>
  <c r="E165" i="18"/>
  <c r="F165" i="18"/>
  <c r="E160" i="18"/>
  <c r="E70" i="18"/>
  <c r="E56" i="18"/>
  <c r="E203" i="18"/>
  <c r="E50" i="18"/>
  <c r="E89" i="18"/>
  <c r="E97" i="18"/>
  <c r="E188" i="18"/>
  <c r="E40" i="18"/>
  <c r="E133" i="18"/>
  <c r="E44" i="18"/>
  <c r="E92" i="18"/>
  <c r="E159" i="18"/>
  <c r="E64" i="18"/>
  <c r="E22" i="18"/>
  <c r="E77" i="18"/>
  <c r="E167" i="18"/>
  <c r="E184" i="18"/>
  <c r="E114" i="18"/>
  <c r="E60" i="18"/>
  <c r="E182" i="18"/>
  <c r="E11" i="18"/>
  <c r="E62" i="18"/>
  <c r="E81" i="18"/>
  <c r="E100" i="18"/>
  <c r="E176" i="18"/>
  <c r="E74" i="18"/>
  <c r="E191" i="18"/>
  <c r="E13" i="18"/>
  <c r="E152" i="18"/>
  <c r="E10" i="18"/>
  <c r="E170" i="18"/>
  <c r="E51" i="18"/>
  <c r="E48" i="18"/>
  <c r="E157" i="18"/>
  <c r="E190" i="18"/>
  <c r="E211" i="18"/>
  <c r="E177" i="18"/>
  <c r="E198" i="18"/>
  <c r="E65" i="18"/>
  <c r="E41" i="18"/>
  <c r="E124" i="18"/>
  <c r="E76" i="18"/>
  <c r="E207" i="18"/>
  <c r="E136" i="18"/>
  <c r="E181" i="18"/>
  <c r="E20" i="18"/>
  <c r="E148" i="18"/>
  <c r="E88" i="18"/>
  <c r="E8" i="18"/>
  <c r="E194" i="18"/>
  <c r="E96" i="18"/>
  <c r="E202" i="18"/>
  <c r="E146" i="18"/>
  <c r="E163" i="18"/>
  <c r="E122" i="18"/>
  <c r="E90" i="18"/>
  <c r="E106" i="18"/>
  <c r="E73"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7" i="7" s="1"/>
  <c r="C7" i="7" s="1"/>
  <c r="A8" i="6"/>
  <c r="C8" i="6" s="1"/>
  <c r="A9" i="6"/>
  <c r="E9" i="6" s="1"/>
  <c r="A10" i="6"/>
  <c r="G10" i="6" s="1"/>
  <c r="A11" i="6"/>
  <c r="B11" i="6" s="1"/>
  <c r="A12" i="6"/>
  <c r="A12" i="7" s="1"/>
  <c r="E12" i="7" s="1"/>
  <c r="A13" i="6"/>
  <c r="I13" i="6" s="1"/>
  <c r="A14" i="6"/>
  <c r="A14" i="7" s="1"/>
  <c r="A15" i="6"/>
  <c r="A16" i="6"/>
  <c r="C16" i="6" s="1"/>
  <c r="A17" i="6"/>
  <c r="B17" i="6" s="1"/>
  <c r="A18" i="6"/>
  <c r="A18" i="7" s="1"/>
  <c r="A19" i="6"/>
  <c r="A19" i="7" s="1"/>
  <c r="A20" i="6"/>
  <c r="A20" i="7" s="1"/>
  <c r="I20" i="7" s="1"/>
  <c r="A21" i="6"/>
  <c r="D21" i="6" s="1"/>
  <c r="A22" i="6"/>
  <c r="D22" i="6" s="1"/>
  <c r="A23" i="6"/>
  <c r="I23" i="6" s="1"/>
  <c r="A24" i="6"/>
  <c r="E24" i="6" s="1"/>
  <c r="A25" i="6"/>
  <c r="D25" i="6" s="1"/>
  <c r="A26" i="6"/>
  <c r="G26" i="6" s="1"/>
  <c r="A27" i="6"/>
  <c r="A27" i="7" s="1"/>
  <c r="B27" i="7" s="1"/>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2" i="7" s="1"/>
  <c r="B42" i="7" s="1"/>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4" i="7" s="1"/>
  <c r="C64" i="7" s="1"/>
  <c r="A65" i="6"/>
  <c r="E65" i="6" s="1"/>
  <c r="A66" i="6"/>
  <c r="A67" i="6"/>
  <c r="E67" i="6" s="1"/>
  <c r="A68" i="6"/>
  <c r="K68" i="6" s="1"/>
  <c r="A69" i="6"/>
  <c r="F69" i="6" s="1"/>
  <c r="A70" i="6"/>
  <c r="I70" i="6" s="1"/>
  <c r="A71" i="6"/>
  <c r="A71" i="7" s="1"/>
  <c r="C71" i="7" s="1"/>
  <c r="A72" i="6"/>
  <c r="A72" i="7" s="1"/>
  <c r="L72" i="7" s="1"/>
  <c r="A73" i="6"/>
  <c r="J73" i="6" s="1"/>
  <c r="A74" i="6"/>
  <c r="I74" i="6" s="1"/>
  <c r="A75" i="6"/>
  <c r="E75" i="6" s="1"/>
  <c r="A76" i="6"/>
  <c r="A77" i="6"/>
  <c r="D77" i="6" s="1"/>
  <c r="A78" i="6"/>
  <c r="I78" i="6" s="1"/>
  <c r="A79" i="6"/>
  <c r="A79" i="7" s="1"/>
  <c r="F79" i="7" s="1"/>
  <c r="A80" i="6"/>
  <c r="C80" i="6" s="1"/>
  <c r="A81" i="6"/>
  <c r="A81" i="7" s="1"/>
  <c r="L81" i="7" s="1"/>
  <c r="A82" i="6"/>
  <c r="I82" i="6" s="1"/>
  <c r="A83" i="6"/>
  <c r="A83" i="7" s="1"/>
  <c r="A84" i="6"/>
  <c r="C84" i="6" s="1"/>
  <c r="A85" i="6"/>
  <c r="F85" i="6" s="1"/>
  <c r="A86" i="6"/>
  <c r="I86" i="6" s="1"/>
  <c r="A87" i="6"/>
  <c r="L87" i="6" s="1"/>
  <c r="A88" i="6"/>
  <c r="C88" i="6" s="1"/>
  <c r="A89" i="6"/>
  <c r="B89" i="6" s="1"/>
  <c r="A90" i="6"/>
  <c r="I90" i="6" s="1"/>
  <c r="A91" i="6"/>
  <c r="C91" i="6" s="1"/>
  <c r="A92" i="6"/>
  <c r="G92" i="6" s="1"/>
  <c r="A93" i="6"/>
  <c r="A93" i="7" s="1"/>
  <c r="O93" i="7" s="1"/>
  <c r="A94" i="6"/>
  <c r="M94" i="6" s="1"/>
  <c r="A95" i="6"/>
  <c r="A95" i="7" s="1"/>
  <c r="B95" i="7" s="1"/>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2" i="7" s="1"/>
  <c r="H112" i="7" s="1"/>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8" i="7" s="1"/>
  <c r="F138" i="7" s="1"/>
  <c r="A139" i="6"/>
  <c r="B139" i="6" s="1"/>
  <c r="A140" i="6"/>
  <c r="G140" i="6" s="1"/>
  <c r="A141" i="6"/>
  <c r="A142" i="6"/>
  <c r="B142" i="6" s="1"/>
  <c r="A143" i="6"/>
  <c r="A143" i="7" s="1"/>
  <c r="F143" i="7" s="1"/>
  <c r="A144" i="6"/>
  <c r="H144" i="6" s="1"/>
  <c r="A145" i="6"/>
  <c r="F145" i="6" s="1"/>
  <c r="A146" i="6"/>
  <c r="E146" i="6" s="1"/>
  <c r="A147" i="6"/>
  <c r="A148" i="6"/>
  <c r="I148" i="6" s="1"/>
  <c r="A149" i="6"/>
  <c r="E149" i="6" s="1"/>
  <c r="A150" i="6"/>
  <c r="A151" i="6"/>
  <c r="F151" i="6" s="1"/>
  <c r="A152" i="6"/>
  <c r="A152" i="7" s="1"/>
  <c r="G152" i="7" s="1"/>
  <c r="A153" i="6"/>
  <c r="C153" i="6" s="1"/>
  <c r="A154" i="6"/>
  <c r="E154" i="6" s="1"/>
  <c r="A155" i="6"/>
  <c r="B155" i="6" s="1"/>
  <c r="A156" i="6"/>
  <c r="B156" i="6" s="1"/>
  <c r="A157" i="6"/>
  <c r="A157" i="7" s="1"/>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5" i="7" s="1"/>
  <c r="F185" i="7" s="1"/>
  <c r="A186" i="6"/>
  <c r="E186" i="6" s="1"/>
  <c r="A187" i="6"/>
  <c r="A188" i="6"/>
  <c r="I188" i="6" s="1"/>
  <c r="A189" i="6"/>
  <c r="A189" i="7" s="1"/>
  <c r="B189" i="7" s="1"/>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G240" i="2"/>
  <c r="C241" i="2"/>
  <c r="D241" i="2"/>
  <c r="F241" i="2"/>
  <c r="G241" i="2"/>
  <c r="C242" i="2"/>
  <c r="D242" i="2"/>
  <c r="F242" i="2"/>
  <c r="G242" i="2"/>
  <c r="C243" i="2"/>
  <c r="D243" i="2"/>
  <c r="F243" i="2"/>
  <c r="G243" i="2"/>
  <c r="C244" i="2"/>
  <c r="D244" i="2"/>
  <c r="F244" i="2"/>
  <c r="G244" i="2"/>
  <c r="A101" i="7" l="1"/>
  <c r="A29" i="7"/>
  <c r="L29" i="7" s="1"/>
  <c r="A159" i="7"/>
  <c r="A119" i="7"/>
  <c r="N119" i="7" s="1"/>
  <c r="A148" i="7"/>
  <c r="I148" i="7" s="1"/>
  <c r="A136" i="7"/>
  <c r="O136" i="7" s="1"/>
  <c r="A114" i="7"/>
  <c r="D114" i="7" s="1"/>
  <c r="A183" i="7"/>
  <c r="I183" i="7" s="1"/>
  <c r="A173" i="7"/>
  <c r="L173" i="7" s="1"/>
  <c r="A90" i="7"/>
  <c r="F90" i="7" s="1"/>
  <c r="A60" i="7"/>
  <c r="D60" i="7" s="1"/>
  <c r="A52" i="7"/>
  <c r="F52" i="7" s="1"/>
  <c r="A171" i="7"/>
  <c r="D171" i="7" s="1"/>
  <c r="A78" i="7"/>
  <c r="J78" i="7" s="1"/>
  <c r="A30" i="7"/>
  <c r="B30" i="7" s="1"/>
  <c r="A163" i="7"/>
  <c r="B163" i="7" s="1"/>
  <c r="A131" i="7"/>
  <c r="B131" i="7" s="1"/>
  <c r="A107" i="7"/>
  <c r="N107" i="7" s="1"/>
  <c r="A47" i="7"/>
  <c r="H47" i="7" s="1"/>
  <c r="A155" i="7"/>
  <c r="J155" i="7" s="1"/>
  <c r="A59" i="7"/>
  <c r="C59" i="7" s="1"/>
  <c r="A35" i="7"/>
  <c r="B35" i="7" s="1"/>
  <c r="A11" i="7"/>
  <c r="I11" i="7" s="1"/>
  <c r="A181" i="7"/>
  <c r="H181" i="7" s="1"/>
  <c r="A94" i="7"/>
  <c r="F94" i="7" s="1"/>
  <c r="A178" i="7"/>
  <c r="B178" i="7" s="1"/>
  <c r="A46" i="7"/>
  <c r="J46" i="7" s="1"/>
  <c r="A177" i="7"/>
  <c r="E177" i="7" s="1"/>
  <c r="A82" i="7"/>
  <c r="F82" i="7" s="1"/>
  <c r="B104" i="13"/>
  <c r="A130" i="7"/>
  <c r="B130" i="7" s="1"/>
  <c r="A80" i="7"/>
  <c r="K80" i="7" s="1"/>
  <c r="A34" i="7"/>
  <c r="G34" i="7" s="1"/>
  <c r="C240" i="2"/>
  <c r="F240" i="2" s="1"/>
  <c r="A169" i="7"/>
  <c r="F169" i="7" s="1"/>
  <c r="A127" i="7"/>
  <c r="B127" i="7" s="1"/>
  <c r="A67" i="7"/>
  <c r="O67" i="7" s="1"/>
  <c r="A16" i="7"/>
  <c r="H16" i="7" s="1"/>
  <c r="F19" i="14"/>
  <c r="A97" i="7"/>
  <c r="G97" i="7" s="1"/>
  <c r="L155" i="6"/>
  <c r="J155" i="6"/>
  <c r="E155" i="6"/>
  <c r="A146" i="7"/>
  <c r="D146" i="7" s="1"/>
  <c r="A122" i="7"/>
  <c r="A96" i="7"/>
  <c r="G96" i="7" s="1"/>
  <c r="A50" i="7"/>
  <c r="F50" i="7" s="1"/>
  <c r="A170" i="7"/>
  <c r="B170" i="7" s="1"/>
  <c r="A145" i="7"/>
  <c r="A121" i="7"/>
  <c r="E121" i="7" s="1"/>
  <c r="A74" i="7"/>
  <c r="F74" i="7" s="1"/>
  <c r="A49" i="7"/>
  <c r="E49" i="7" s="1"/>
  <c r="A26" i="7"/>
  <c r="B26" i="7" s="1"/>
  <c r="A144" i="7"/>
  <c r="I144" i="7" s="1"/>
  <c r="A120" i="7"/>
  <c r="K120" i="7" s="1"/>
  <c r="A73" i="7"/>
  <c r="G73" i="7" s="1"/>
  <c r="A48" i="7"/>
  <c r="K48" i="7" s="1"/>
  <c r="A25" i="7"/>
  <c r="K25" i="7" s="1"/>
  <c r="A167" i="7"/>
  <c r="E167" i="7" s="1"/>
  <c r="A24" i="7"/>
  <c r="E24" i="7" s="1"/>
  <c r="A166" i="7"/>
  <c r="I166" i="7" s="1"/>
  <c r="A89" i="7"/>
  <c r="G89" i="7" s="1"/>
  <c r="A23" i="7"/>
  <c r="C23" i="7" s="1"/>
  <c r="A182" i="7"/>
  <c r="M182" i="7" s="1"/>
  <c r="A165" i="7"/>
  <c r="N165" i="7" s="1"/>
  <c r="A113" i="7"/>
  <c r="C113" i="7" s="1"/>
  <c r="A85" i="7"/>
  <c r="C85" i="7" s="1"/>
  <c r="A68" i="7"/>
  <c r="D68" i="7" s="1"/>
  <c r="A17" i="7"/>
  <c r="A134" i="7"/>
  <c r="E134" i="7" s="1"/>
  <c r="A84" i="7"/>
  <c r="O84" i="7" s="1"/>
  <c r="A38" i="7"/>
  <c r="B38" i="7" s="1"/>
  <c r="A180" i="7"/>
  <c r="C180" i="7" s="1"/>
  <c r="A133" i="7"/>
  <c r="C133" i="7" s="1"/>
  <c r="A111" i="7"/>
  <c r="B111" i="7" s="1"/>
  <c r="A37" i="7"/>
  <c r="O37" i="7" s="1"/>
  <c r="A179" i="7"/>
  <c r="K179" i="7" s="1"/>
  <c r="A132" i="7"/>
  <c r="J132" i="7" s="1"/>
  <c r="A108" i="7"/>
  <c r="B108" i="7" s="1"/>
  <c r="A61" i="7"/>
  <c r="C61" i="7" s="1"/>
  <c r="A36" i="7"/>
  <c r="D36" i="7" s="1"/>
  <c r="A13" i="7"/>
  <c r="K13" i="7" s="1"/>
  <c r="A129" i="7"/>
  <c r="G129" i="7" s="1"/>
  <c r="A33" i="7"/>
  <c r="C33" i="7" s="1"/>
  <c r="A162" i="7"/>
  <c r="E162" i="7" s="1"/>
  <c r="A123" i="7"/>
  <c r="J123" i="7" s="1"/>
  <c r="A45" i="7"/>
  <c r="I45" i="7" s="1"/>
  <c r="A175" i="7"/>
  <c r="I175" i="7" s="1"/>
  <c r="A161" i="7"/>
  <c r="L161" i="7" s="1"/>
  <c r="A92" i="7"/>
  <c r="C92" i="7" s="1"/>
  <c r="A75" i="7"/>
  <c r="C75" i="7" s="1"/>
  <c r="A44" i="7"/>
  <c r="A174" i="7"/>
  <c r="A142" i="7"/>
  <c r="A106" i="7"/>
  <c r="B106" i="7" s="1"/>
  <c r="A91" i="7"/>
  <c r="C91" i="7" s="1"/>
  <c r="A58" i="7"/>
  <c r="A43" i="7"/>
  <c r="K43" i="7" s="1"/>
  <c r="A105" i="7"/>
  <c r="C105" i="7" s="1"/>
  <c r="A57" i="7"/>
  <c r="H57" i="7" s="1"/>
  <c r="A10" i="7"/>
  <c r="C10" i="7" s="1"/>
  <c r="A184" i="7"/>
  <c r="A156" i="7"/>
  <c r="E156" i="7" s="1"/>
  <c r="A104" i="7"/>
  <c r="A56" i="7"/>
  <c r="A39" i="7"/>
  <c r="O39" i="7" s="1"/>
  <c r="A8" i="7"/>
  <c r="I8" i="7" s="1"/>
  <c r="A117" i="7"/>
  <c r="L117" i="7" s="1"/>
  <c r="A103" i="7"/>
  <c r="C103" i="7" s="1"/>
  <c r="A55" i="7"/>
  <c r="F55" i="7" s="1"/>
  <c r="A154" i="7"/>
  <c r="L154" i="7" s="1"/>
  <c r="A116" i="7"/>
  <c r="D116" i="7" s="1"/>
  <c r="A70" i="7"/>
  <c r="B70" i="7" s="1"/>
  <c r="A22" i="7"/>
  <c r="F22" i="7" s="1"/>
  <c r="E165" i="5"/>
  <c r="A168" i="7"/>
  <c r="A153" i="7"/>
  <c r="A115" i="7"/>
  <c r="A99" i="7"/>
  <c r="C99" i="7" s="1"/>
  <c r="A69" i="7"/>
  <c r="L69" i="7" s="1"/>
  <c r="A21" i="7"/>
  <c r="E21" i="7" s="1"/>
  <c r="L23" i="6"/>
  <c r="O23" i="12" s="1"/>
  <c r="E243" i="2"/>
  <c r="O32" i="3"/>
  <c r="N69" i="3"/>
  <c r="O93" i="5"/>
  <c r="L145" i="10"/>
  <c r="I33" i="10"/>
  <c r="D73" i="13"/>
  <c r="I18" i="8"/>
  <c r="C84" i="14"/>
  <c r="O73" i="5"/>
  <c r="F167" i="12"/>
  <c r="F161" i="14"/>
  <c r="M167" i="6"/>
  <c r="K132" i="10"/>
  <c r="M109" i="6"/>
  <c r="H244" i="2"/>
  <c r="K73" i="5"/>
  <c r="E137" i="14"/>
  <c r="B67" i="14"/>
  <c r="N77" i="5"/>
  <c r="H141" i="10"/>
  <c r="I177" i="6"/>
  <c r="J167" i="6"/>
  <c r="L76" i="2"/>
  <c r="L57" i="2"/>
  <c r="L183" i="3"/>
  <c r="K71" i="7"/>
  <c r="M161" i="10"/>
  <c r="O141" i="10"/>
  <c r="M89" i="10"/>
  <c r="L128" i="2"/>
  <c r="L170" i="3"/>
  <c r="N53" i="3"/>
  <c r="B42" i="3"/>
  <c r="J183" i="6"/>
  <c r="B167" i="6"/>
  <c r="O119" i="6"/>
  <c r="G39" i="6"/>
  <c r="K161" i="10"/>
  <c r="H89" i="10"/>
  <c r="K119" i="6"/>
  <c r="R119" i="12" s="1"/>
  <c r="J8" i="6"/>
  <c r="C161" i="10"/>
  <c r="L110" i="10"/>
  <c r="Q111" i="2"/>
  <c r="D89" i="2"/>
  <c r="O171" i="3"/>
  <c r="M113" i="7"/>
  <c r="J119" i="6"/>
  <c r="H18" i="7"/>
  <c r="M18" i="7"/>
  <c r="Q143" i="3"/>
  <c r="C165" i="5"/>
  <c r="A137" i="7"/>
  <c r="A77" i="7"/>
  <c r="L77" i="7" s="1"/>
  <c r="A53" i="7"/>
  <c r="L53" i="7" s="1"/>
  <c r="H167" i="6"/>
  <c r="L109" i="6"/>
  <c r="O109" i="12" s="1"/>
  <c r="M8" i="6"/>
  <c r="K120" i="10"/>
  <c r="E110" i="10"/>
  <c r="K113" i="11"/>
  <c r="E78" i="12"/>
  <c r="F13" i="13"/>
  <c r="I161" i="2"/>
  <c r="I36" i="5"/>
  <c r="A151" i="7"/>
  <c r="I151" i="7" s="1"/>
  <c r="A88" i="7"/>
  <c r="B88" i="7" s="1"/>
  <c r="A65" i="7"/>
  <c r="G65" i="7" s="1"/>
  <c r="A51" i="7"/>
  <c r="L51" i="7" s="1"/>
  <c r="O56" i="10"/>
  <c r="M146" i="11"/>
  <c r="C170" i="12"/>
  <c r="C161" i="14"/>
  <c r="E70" i="14"/>
  <c r="P140" i="2"/>
  <c r="C56" i="2"/>
  <c r="A176" i="7"/>
  <c r="O176" i="7" s="1"/>
  <c r="A149" i="7"/>
  <c r="G149" i="7" s="1"/>
  <c r="C3" i="21" s="1"/>
  <c r="A98" i="7"/>
  <c r="L98" i="7" s="1"/>
  <c r="A86" i="7"/>
  <c r="L86" i="7" s="1"/>
  <c r="E16" i="6"/>
  <c r="K93" i="5"/>
  <c r="A188" i="7"/>
  <c r="E188" i="7" s="1"/>
  <c r="M165" i="6"/>
  <c r="I96" i="10"/>
  <c r="K74" i="11"/>
  <c r="D125" i="14"/>
  <c r="E193" i="2"/>
  <c r="R147" i="2"/>
  <c r="L32" i="2"/>
  <c r="I171" i="3"/>
  <c r="M37" i="3"/>
  <c r="N163" i="5"/>
  <c r="A186" i="7"/>
  <c r="E186" i="7" s="1"/>
  <c r="A118" i="7"/>
  <c r="H118" i="7" s="1"/>
  <c r="A109" i="7"/>
  <c r="D109" i="7" s="1"/>
  <c r="L10" i="7"/>
  <c r="N35" i="6"/>
  <c r="H242" i="2"/>
  <c r="B56" i="3"/>
  <c r="O165" i="5"/>
  <c r="A158" i="7"/>
  <c r="H158" i="7" s="1"/>
  <c r="F71" i="7"/>
  <c r="A9" i="7"/>
  <c r="B9" i="7" s="1"/>
  <c r="F131" i="6"/>
  <c r="L120" i="6"/>
  <c r="O120" i="12" s="1"/>
  <c r="E103" i="6"/>
  <c r="O80" i="6"/>
  <c r="F104" i="10"/>
  <c r="K84" i="10"/>
  <c r="I62" i="10"/>
  <c r="N72" i="11"/>
  <c r="F87" i="14"/>
  <c r="C44" i="14"/>
  <c r="I40" i="2"/>
  <c r="M178" i="3"/>
  <c r="O12" i="3"/>
  <c r="N165" i="5"/>
  <c r="A128" i="7"/>
  <c r="K128" i="7" s="1"/>
  <c r="F111" i="6"/>
  <c r="I84" i="10"/>
  <c r="L72" i="11"/>
  <c r="G173" i="12"/>
  <c r="F47" i="12"/>
  <c r="Q144" i="2"/>
  <c r="L124" i="2"/>
  <c r="L92" i="2"/>
  <c r="Q60" i="2"/>
  <c r="F187" i="3"/>
  <c r="L135" i="3"/>
  <c r="L12" i="3"/>
  <c r="K165" i="5"/>
  <c r="L38" i="10"/>
  <c r="F173" i="12"/>
  <c r="A100" i="7"/>
  <c r="F100" i="7" s="1"/>
  <c r="D144" i="2"/>
  <c r="Q16" i="2"/>
  <c r="I64" i="3"/>
  <c r="B12" i="3"/>
  <c r="K101" i="5"/>
  <c r="A139" i="7"/>
  <c r="I139" i="7" s="1"/>
  <c r="A126" i="7"/>
  <c r="H126" i="7" s="1"/>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G177" i="14" s="1"/>
  <c r="F125" i="14"/>
  <c r="E119" i="14"/>
  <c r="B79" i="14"/>
  <c r="F55" i="14"/>
  <c r="I188" i="2"/>
  <c r="B109" i="6"/>
  <c r="I96" i="6"/>
  <c r="M96" i="12" s="1"/>
  <c r="H21" i="6"/>
  <c r="M133" i="10"/>
  <c r="M121" i="10"/>
  <c r="J100" i="10"/>
  <c r="E72" i="10"/>
  <c r="D62" i="10"/>
  <c r="I37" i="10"/>
  <c r="L34" i="10"/>
  <c r="I25" i="10"/>
  <c r="J12" i="3"/>
  <c r="D10" i="3"/>
  <c r="M7" i="3"/>
  <c r="K95" i="7"/>
  <c r="L132" i="6"/>
  <c r="G130" i="6"/>
  <c r="E119" i="6"/>
  <c r="I133" i="10"/>
  <c r="E121" i="10"/>
  <c r="E109" i="10"/>
  <c r="F88" i="10"/>
  <c r="H25" i="10"/>
  <c r="L187" i="2"/>
  <c r="J135" i="3"/>
  <c r="P36" i="3"/>
  <c r="F95" i="7"/>
  <c r="C27" i="7"/>
  <c r="L179" i="6"/>
  <c r="F177" i="6"/>
  <c r="M36" i="6"/>
  <c r="O16" i="6"/>
  <c r="L11" i="6"/>
  <c r="O11" i="12" s="1"/>
  <c r="F8" i="6"/>
  <c r="O176" i="10"/>
  <c r="I157" i="10"/>
  <c r="E133" i="10"/>
  <c r="M13" i="10"/>
  <c r="D187" i="2"/>
  <c r="F187" i="2" s="1"/>
  <c r="Q140" i="2"/>
  <c r="L116" i="2"/>
  <c r="E80" i="2"/>
  <c r="L56" i="2"/>
  <c r="I28" i="2"/>
  <c r="L187" i="3"/>
  <c r="P182" i="3"/>
  <c r="L179" i="3"/>
  <c r="I68" i="3"/>
  <c r="G52" i="3"/>
  <c r="E52" i="5" s="1"/>
  <c r="O36" i="3"/>
  <c r="F30" i="3"/>
  <c r="M15" i="3"/>
  <c r="F109" i="6"/>
  <c r="M38" i="6"/>
  <c r="J16" i="6"/>
  <c r="H11" i="6"/>
  <c r="P11" i="12" s="1"/>
  <c r="E176" i="10"/>
  <c r="N25" i="10"/>
  <c r="I19" i="8"/>
  <c r="F18" i="8"/>
  <c r="O141" i="5"/>
  <c r="I122" i="5"/>
  <c r="O101" i="5"/>
  <c r="N85" i="5"/>
  <c r="K65" i="5"/>
  <c r="I13" i="5"/>
  <c r="F78" i="12"/>
  <c r="F77" i="12"/>
  <c r="E134" i="13"/>
  <c r="E116" i="13"/>
  <c r="G110" i="13"/>
  <c r="F98" i="13"/>
  <c r="C69" i="13"/>
  <c r="B29" i="13"/>
  <c r="G9" i="13"/>
  <c r="E172" i="14"/>
  <c r="E169" i="14"/>
  <c r="B161" i="14"/>
  <c r="D139" i="14"/>
  <c r="E129" i="14"/>
  <c r="G129" i="14" s="1"/>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F76" i="2" s="1"/>
  <c r="D50" i="2"/>
  <c r="H48" i="2"/>
  <c r="D41" i="2"/>
  <c r="I21" i="2"/>
  <c r="E20" i="2"/>
  <c r="C16" i="2"/>
  <c r="C186" i="3"/>
  <c r="P183" i="3"/>
  <c r="C183" i="3"/>
  <c r="Q127" i="3"/>
  <c r="Q85" i="3"/>
  <c r="G81" i="7"/>
  <c r="N31" i="7"/>
  <c r="O27" i="7"/>
  <c r="O181" i="6"/>
  <c r="L175" i="6"/>
  <c r="E168" i="6"/>
  <c r="L107" i="6"/>
  <c r="K104" i="6"/>
  <c r="S104" i="12" s="1"/>
  <c r="I94" i="6"/>
  <c r="N77" i="6"/>
  <c r="I25" i="6"/>
  <c r="G16" i="6"/>
  <c r="E171" i="10"/>
  <c r="N164" i="10"/>
  <c r="J157" i="10"/>
  <c r="I156" i="10"/>
  <c r="I141" i="10"/>
  <c r="C141" i="10"/>
  <c r="I121" i="10"/>
  <c r="F120" i="10"/>
  <c r="I110" i="10"/>
  <c r="K96" i="10"/>
  <c r="L94" i="10"/>
  <c r="I86" i="10"/>
  <c r="K56" i="10"/>
  <c r="O112" i="7"/>
  <c r="H181" i="6"/>
  <c r="G122" i="6"/>
  <c r="O114" i="6"/>
  <c r="L69" i="6"/>
  <c r="M72" i="10"/>
  <c r="I61" i="10"/>
  <c r="F56" i="10"/>
  <c r="I34" i="10"/>
  <c r="M140" i="2"/>
  <c r="S104" i="2"/>
  <c r="I76" i="2"/>
  <c r="R20" i="2"/>
  <c r="M16" i="2"/>
  <c r="J183" i="3"/>
  <c r="G143" i="3"/>
  <c r="H143" i="3" s="1"/>
  <c r="Q135" i="3"/>
  <c r="G135" i="3"/>
  <c r="N108" i="3"/>
  <c r="O56" i="3"/>
  <c r="P42" i="3"/>
  <c r="L36" i="3"/>
  <c r="N152" i="7"/>
  <c r="G112" i="7"/>
  <c r="C181" i="6"/>
  <c r="F155" i="6"/>
  <c r="K128" i="6"/>
  <c r="N128" i="12" s="1"/>
  <c r="F122" i="6"/>
  <c r="F119" i="6"/>
  <c r="O111" i="6"/>
  <c r="L103" i="6"/>
  <c r="M55" i="6"/>
  <c r="O48" i="6"/>
  <c r="O36" i="6"/>
  <c r="I21" i="6"/>
  <c r="K16" i="6"/>
  <c r="S16" i="12" s="1"/>
  <c r="B16" i="6"/>
  <c r="I185" i="10"/>
  <c r="E161" i="10"/>
  <c r="B157" i="10"/>
  <c r="H155" i="10"/>
  <c r="D153" i="10"/>
  <c r="M141" i="10"/>
  <c r="G141" i="10"/>
  <c r="F132" i="10"/>
  <c r="C129" i="10"/>
  <c r="K72" i="10"/>
  <c r="E56" i="10"/>
  <c r="O49" i="10"/>
  <c r="Q187" i="2"/>
  <c r="D140" i="2"/>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E108" i="5" s="1"/>
  <c r="Q68" i="3"/>
  <c r="L56" i="3"/>
  <c r="F44" i="3"/>
  <c r="N42" i="3"/>
  <c r="D36" i="3"/>
  <c r="P16" i="3"/>
  <c r="N14" i="3"/>
  <c r="H171" i="10"/>
  <c r="L141" i="10"/>
  <c r="D141" i="10"/>
  <c r="B25" i="10"/>
  <c r="M15" i="10"/>
  <c r="L13" i="10"/>
  <c r="J27" i="7"/>
  <c r="I27" i="7"/>
  <c r="H94" i="7"/>
  <c r="J30"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G41" i="14" s="1"/>
  <c r="B31" i="14"/>
  <c r="F29" i="14"/>
  <c r="D15" i="14"/>
  <c r="C13" i="14"/>
  <c r="I168" i="2"/>
  <c r="C166" i="2"/>
  <c r="D157" i="2"/>
  <c r="C147" i="2"/>
  <c r="F147" i="2" s="1"/>
  <c r="D137" i="2"/>
  <c r="P128" i="2"/>
  <c r="L80" i="2"/>
  <c r="P76" i="2"/>
  <c r="I75" i="2"/>
  <c r="R68" i="2"/>
  <c r="D66" i="2"/>
  <c r="H52" i="2"/>
  <c r="H40" i="2"/>
  <c r="J40" i="2" s="1"/>
  <c r="K40" i="2" s="1"/>
  <c r="I32" i="2"/>
  <c r="S16" i="2"/>
  <c r="J188" i="3"/>
  <c r="M187" i="3"/>
  <c r="D187" i="3"/>
  <c r="E187" i="3" s="1"/>
  <c r="O183" i="3"/>
  <c r="D183" i="3"/>
  <c r="B179" i="3"/>
  <c r="D178" i="3"/>
  <c r="O175" i="3"/>
  <c r="I172" i="3"/>
  <c r="N171" i="3"/>
  <c r="F171" i="3"/>
  <c r="Q168" i="3"/>
  <c r="O166" i="3"/>
  <c r="I163" i="3"/>
  <c r="P157" i="3"/>
  <c r="O135" i="3"/>
  <c r="D135" i="3"/>
  <c r="E135" i="3" s="1"/>
  <c r="J129" i="3"/>
  <c r="P127" i="3"/>
  <c r="M122" i="3"/>
  <c r="Q108" i="3"/>
  <c r="C108" i="3"/>
  <c r="E108" i="3" s="1"/>
  <c r="P103" i="3"/>
  <c r="J93" i="3"/>
  <c r="P87" i="3"/>
  <c r="I85" i="3"/>
  <c r="J82" i="3"/>
  <c r="M79" i="3"/>
  <c r="M71" i="3"/>
  <c r="G68" i="3"/>
  <c r="G64" i="3"/>
  <c r="F56" i="3"/>
  <c r="L48" i="3"/>
  <c r="N46" i="3"/>
  <c r="I42" i="3"/>
  <c r="F36" i="3"/>
  <c r="G32" i="3"/>
  <c r="E32" i="5" s="1"/>
  <c r="F32" i="5" s="1"/>
  <c r="G32" i="5" s="1"/>
  <c r="N20" i="3"/>
  <c r="Q12" i="3"/>
  <c r="D12" i="3"/>
  <c r="M180" i="7"/>
  <c r="L171" i="7"/>
  <c r="R191" i="2"/>
  <c r="Q173" i="2"/>
  <c r="L171" i="3"/>
  <c r="D171" i="3"/>
  <c r="G127" i="3"/>
  <c r="Q72" i="3"/>
  <c r="L189" i="7"/>
  <c r="I171" i="7"/>
  <c r="G113" i="7"/>
  <c r="M112" i="7"/>
  <c r="B90" i="7"/>
  <c r="I191" i="2"/>
  <c r="Q188" i="2"/>
  <c r="S181" i="2"/>
  <c r="C173" i="2"/>
  <c r="R167" i="2"/>
  <c r="D165" i="2"/>
  <c r="E140" i="2"/>
  <c r="M136" i="2"/>
  <c r="I133" i="2"/>
  <c r="B128" i="2"/>
  <c r="Q106" i="2"/>
  <c r="R104" i="2"/>
  <c r="H96" i="2"/>
  <c r="C87" i="2"/>
  <c r="B12" i="2"/>
  <c r="Q187" i="3"/>
  <c r="G187" i="3"/>
  <c r="O178" i="3"/>
  <c r="P171" i="3"/>
  <c r="J171" i="3"/>
  <c r="C171" i="3"/>
  <c r="L162" i="3"/>
  <c r="Q156" i="3"/>
  <c r="B127" i="3"/>
  <c r="I112" i="3"/>
  <c r="Q109" i="3"/>
  <c r="L108" i="3"/>
  <c r="Q104" i="3"/>
  <c r="L94" i="3"/>
  <c r="L92" i="3"/>
  <c r="G72" i="3"/>
  <c r="E72" i="5" s="1"/>
  <c r="P68" i="3"/>
  <c r="L67" i="3"/>
  <c r="Q64" i="3"/>
  <c r="G59" i="3"/>
  <c r="P47" i="3"/>
  <c r="J28" i="3"/>
  <c r="H189" i="7"/>
  <c r="E171" i="7"/>
  <c r="E113" i="7"/>
  <c r="S75" i="2"/>
  <c r="I100" i="7"/>
  <c r="I96" i="7"/>
  <c r="G72" i="7"/>
  <c r="C72" i="7"/>
  <c r="O72" i="7"/>
  <c r="D72" i="7"/>
  <c r="I72" i="7"/>
  <c r="I12" i="10"/>
  <c r="L18" i="7"/>
  <c r="I183" i="6"/>
  <c r="K169" i="6"/>
  <c r="N169" i="12" s="1"/>
  <c r="L52" i="6"/>
  <c r="O52" i="12" s="1"/>
  <c r="M187" i="10"/>
  <c r="L133" i="10"/>
  <c r="H133" i="10"/>
  <c r="D133" i="10"/>
  <c r="O132" i="10"/>
  <c r="J132" i="10"/>
  <c r="E132" i="10"/>
  <c r="J125" i="10"/>
  <c r="N69" i="10"/>
  <c r="O68" i="10"/>
  <c r="L57" i="10"/>
  <c r="M49" i="10"/>
  <c r="F18" i="7"/>
  <c r="E183" i="6"/>
  <c r="I169" i="6"/>
  <c r="O130" i="6"/>
  <c r="J97" i="6"/>
  <c r="I77" i="6"/>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I21" i="7"/>
  <c r="B18" i="7"/>
  <c r="L183" i="6"/>
  <c r="D183" i="6"/>
  <c r="I181" i="6"/>
  <c r="N177" i="6"/>
  <c r="K176" i="6"/>
  <c r="I170" i="6"/>
  <c r="C169" i="6"/>
  <c r="L131" i="6"/>
  <c r="K130" i="6"/>
  <c r="N122" i="6"/>
  <c r="H109" i="6"/>
  <c r="I108" i="6"/>
  <c r="M103" i="6"/>
  <c r="L99" i="6"/>
  <c r="H97" i="6"/>
  <c r="G52" i="6"/>
  <c r="M49" i="6"/>
  <c r="K43" i="6"/>
  <c r="M29" i="6"/>
  <c r="G24" i="6"/>
  <c r="H17" i="6"/>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K95" i="5"/>
  <c r="C93" i="5"/>
  <c r="N89" i="5"/>
  <c r="O85" i="5"/>
  <c r="K83" i="5"/>
  <c r="C81" i="5"/>
  <c r="C77" i="5"/>
  <c r="N73" i="5"/>
  <c r="O69" i="5"/>
  <c r="K67" i="5"/>
  <c r="C65" i="5"/>
  <c r="I45" i="5"/>
  <c r="I44" i="5"/>
  <c r="N39" i="5"/>
  <c r="N31" i="5"/>
  <c r="I28" i="5"/>
  <c r="O143" i="5"/>
  <c r="K141" i="5"/>
  <c r="O111" i="5"/>
  <c r="K109" i="5"/>
  <c r="N105" i="5"/>
  <c r="P105" i="5" s="1"/>
  <c r="O99" i="5"/>
  <c r="K97" i="5"/>
  <c r="O91" i="5"/>
  <c r="K89" i="5"/>
  <c r="O166" i="5"/>
  <c r="I161" i="5"/>
  <c r="O149" i="5"/>
  <c r="K143" i="5"/>
  <c r="C141" i="5"/>
  <c r="N131" i="5"/>
  <c r="N123" i="5"/>
  <c r="N122" i="5"/>
  <c r="K117" i="5"/>
  <c r="K111" i="5"/>
  <c r="C109" i="5"/>
  <c r="C105" i="5"/>
  <c r="N101" i="5"/>
  <c r="K99" i="5"/>
  <c r="C97" i="5"/>
  <c r="N93" i="5"/>
  <c r="K91" i="5"/>
  <c r="C89" i="5"/>
  <c r="C85" i="5"/>
  <c r="N81" i="5"/>
  <c r="O77" i="5"/>
  <c r="K75" i="5"/>
  <c r="C73" i="5"/>
  <c r="C69" i="5"/>
  <c r="N65" i="5"/>
  <c r="P65" i="5" s="1"/>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F3" i="21" s="1"/>
  <c r="B137" i="14"/>
  <c r="C129" i="14"/>
  <c r="E126" i="14"/>
  <c r="E123" i="14"/>
  <c r="B95" i="14"/>
  <c r="E93" i="14"/>
  <c r="E17" i="14"/>
  <c r="E15" i="14"/>
  <c r="E14" i="14"/>
  <c r="E12" i="14"/>
  <c r="C165" i="6"/>
  <c r="E165" i="6"/>
  <c r="B138" i="6"/>
  <c r="K138" i="6"/>
  <c r="P120" i="2"/>
  <c r="E120" i="2"/>
  <c r="G120" i="2" s="1"/>
  <c r="P48" i="2"/>
  <c r="E48" i="2"/>
  <c r="Q34" i="2"/>
  <c r="L182" i="3"/>
  <c r="M166" i="3"/>
  <c r="M157" i="3"/>
  <c r="N147" i="3"/>
  <c r="Q133" i="3"/>
  <c r="O104" i="3"/>
  <c r="I94" i="3"/>
  <c r="Q93" i="3"/>
  <c r="G93" i="3"/>
  <c r="Q92" i="3"/>
  <c r="G92" i="3"/>
  <c r="O85" i="3"/>
  <c r="G85" i="3"/>
  <c r="E85" i="5" s="1"/>
  <c r="L47" i="3"/>
  <c r="P40" i="3"/>
  <c r="Q39" i="3"/>
  <c r="I91" i="7"/>
  <c r="O61" i="7"/>
  <c r="L165" i="6"/>
  <c r="F165" i="6"/>
  <c r="C161" i="6"/>
  <c r="I161" i="6"/>
  <c r="F161" i="6"/>
  <c r="E112" i="6"/>
  <c r="L112" i="6"/>
  <c r="I112" i="6"/>
  <c r="Q112" i="12" s="1"/>
  <c r="C95" i="6"/>
  <c r="L95" i="5" s="1"/>
  <c r="L95" i="6"/>
  <c r="O95" i="12" s="1"/>
  <c r="E73" i="6"/>
  <c r="H73" i="6"/>
  <c r="L73" i="12" s="1"/>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P92" i="3"/>
  <c r="F92" i="3"/>
  <c r="N85" i="3"/>
  <c r="C85" i="3"/>
  <c r="P72" i="3"/>
  <c r="L66" i="3"/>
  <c r="I47" i="3"/>
  <c r="L40" i="3"/>
  <c r="M39" i="3"/>
  <c r="Q24" i="3"/>
  <c r="I93" i="7"/>
  <c r="N27" i="7"/>
  <c r="F27" i="7"/>
  <c r="M181" i="6"/>
  <c r="G181" i="6"/>
  <c r="M180" i="6"/>
  <c r="O169" i="6"/>
  <c r="G169" i="6"/>
  <c r="M168" i="6"/>
  <c r="F167" i="6"/>
  <c r="J165" i="6"/>
  <c r="D165" i="6"/>
  <c r="E128" i="6"/>
  <c r="H128" i="6"/>
  <c r="P128" i="12" s="1"/>
  <c r="G128" i="6"/>
  <c r="B101" i="6"/>
  <c r="F101" i="6"/>
  <c r="I101" i="6"/>
  <c r="E101" i="6"/>
  <c r="N101" i="6"/>
  <c r="I72" i="6"/>
  <c r="M72" i="12" s="1"/>
  <c r="K72" i="6"/>
  <c r="S72" i="12" s="1"/>
  <c r="G72" i="6"/>
  <c r="C44" i="6"/>
  <c r="G44" i="6"/>
  <c r="H44" i="6"/>
  <c r="E44" i="6"/>
  <c r="M44" i="6"/>
  <c r="I31" i="6"/>
  <c r="Q31" i="12" s="1"/>
  <c r="O31" i="6"/>
  <c r="G31" i="6"/>
  <c r="I177" i="10"/>
  <c r="H177" i="10"/>
  <c r="B149" i="10"/>
  <c r="K149" i="10"/>
  <c r="F149" i="10"/>
  <c r="I173" i="2"/>
  <c r="M147" i="2"/>
  <c r="L144" i="2"/>
  <c r="I184" i="2"/>
  <c r="I182" i="2"/>
  <c r="D175" i="2"/>
  <c r="F175" i="2" s="1"/>
  <c r="S173" i="2"/>
  <c r="E173" i="2"/>
  <c r="H147" i="2"/>
  <c r="L145" i="2"/>
  <c r="L143" i="2"/>
  <c r="H140" i="2"/>
  <c r="R128" i="2"/>
  <c r="E128" i="2"/>
  <c r="G128" i="2" s="1"/>
  <c r="L126" i="2"/>
  <c r="S120" i="2"/>
  <c r="I120" i="2"/>
  <c r="J120" i="2" s="1"/>
  <c r="K120" i="2" s="1"/>
  <c r="B120" i="2"/>
  <c r="L117" i="2"/>
  <c r="E104" i="2"/>
  <c r="G104" i="2" s="1"/>
  <c r="R96" i="2"/>
  <c r="M88" i="2"/>
  <c r="D81" i="2"/>
  <c r="I59" i="2"/>
  <c r="P52" i="2"/>
  <c r="L50" i="2"/>
  <c r="S48" i="2"/>
  <c r="I48" i="2"/>
  <c r="D34" i="2"/>
  <c r="Q32" i="2"/>
  <c r="P28" i="2"/>
  <c r="H20" i="2"/>
  <c r="P12" i="2"/>
  <c r="N183" i="3"/>
  <c r="F183" i="3"/>
  <c r="Q182" i="3"/>
  <c r="G182" i="3"/>
  <c r="P178" i="3"/>
  <c r="G178" i="3"/>
  <c r="D166" i="3"/>
  <c r="O163" i="3"/>
  <c r="D157" i="3"/>
  <c r="N152" i="3"/>
  <c r="O143" i="3"/>
  <c r="M135" i="3"/>
  <c r="F135" i="3"/>
  <c r="D133" i="3"/>
  <c r="I131" i="3"/>
  <c r="L127" i="3"/>
  <c r="O122" i="3"/>
  <c r="N117" i="3"/>
  <c r="L112" i="3"/>
  <c r="G104" i="3"/>
  <c r="M98" i="3"/>
  <c r="I96" i="3"/>
  <c r="N94" i="3"/>
  <c r="M93" i="3"/>
  <c r="M92" i="3"/>
  <c r="B92" i="3"/>
  <c r="J85" i="3"/>
  <c r="B85" i="3"/>
  <c r="M82" i="3"/>
  <c r="I72" i="3"/>
  <c r="B66" i="3"/>
  <c r="P64" i="3"/>
  <c r="Q57" i="3"/>
  <c r="J56" i="3"/>
  <c r="Q47" i="3"/>
  <c r="C47" i="3"/>
  <c r="E47" i="3" s="1"/>
  <c r="F40" i="3"/>
  <c r="C39" i="3"/>
  <c r="J36" i="3"/>
  <c r="Q35" i="3"/>
  <c r="Q28" i="3"/>
  <c r="I24" i="3"/>
  <c r="N21" i="3"/>
  <c r="H183" i="7"/>
  <c r="H113" i="7"/>
  <c r="J94" i="7"/>
  <c r="D93" i="7"/>
  <c r="K91" i="7"/>
  <c r="H72" i="7"/>
  <c r="N71" i="7"/>
  <c r="K27" i="7"/>
  <c r="E27" i="7"/>
  <c r="K21" i="7"/>
  <c r="L181" i="6"/>
  <c r="D181" i="6"/>
  <c r="I180" i="6"/>
  <c r="M180" i="12" s="1"/>
  <c r="M169" i="6"/>
  <c r="E169" i="6"/>
  <c r="I168" i="6"/>
  <c r="Q168" i="12" s="1"/>
  <c r="L167" i="6"/>
  <c r="E167" i="6"/>
  <c r="N165" i="6"/>
  <c r="I165" i="6"/>
  <c r="B165" i="6"/>
  <c r="B114" i="6"/>
  <c r="G114" i="6"/>
  <c r="E114" i="6"/>
  <c r="C71" i="6"/>
  <c r="K71" i="6"/>
  <c r="S71" i="12" s="1"/>
  <c r="O71" i="6"/>
  <c r="G71" i="6"/>
  <c r="D69" i="6"/>
  <c r="I69" i="6"/>
  <c r="N69" i="6"/>
  <c r="E69" i="6"/>
  <c r="J69" i="6"/>
  <c r="B69" i="6"/>
  <c r="H69" i="6"/>
  <c r="M69" i="6"/>
  <c r="B41" i="6"/>
  <c r="I41" i="6"/>
  <c r="Q41" i="12" s="1"/>
  <c r="N41" i="6"/>
  <c r="H41" i="6"/>
  <c r="E27" i="6"/>
  <c r="I27" i="6"/>
  <c r="K27" i="6"/>
  <c r="N27" i="12" s="1"/>
  <c r="G27" i="6"/>
  <c r="C166" i="10"/>
  <c r="G166" i="10"/>
  <c r="K166" i="10"/>
  <c r="E166" i="10"/>
  <c r="B148" i="10"/>
  <c r="G148" i="10"/>
  <c r="N148" i="10"/>
  <c r="C148" i="10"/>
  <c r="I122" i="6"/>
  <c r="M122" i="12" s="1"/>
  <c r="I111" i="6"/>
  <c r="N109" i="6"/>
  <c r="I109" i="6"/>
  <c r="Q109" i="12" s="1"/>
  <c r="D109" i="6"/>
  <c r="K108" i="6"/>
  <c r="N108" i="12" s="1"/>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P117" i="5" s="1"/>
  <c r="C117" i="5"/>
  <c r="K151" i="5"/>
  <c r="K149" i="5"/>
  <c r="N139" i="5"/>
  <c r="O127" i="5"/>
  <c r="I125" i="5"/>
  <c r="C125" i="5"/>
  <c r="N125" i="5"/>
  <c r="O87" i="5"/>
  <c r="K85" i="5"/>
  <c r="O79" i="5"/>
  <c r="K77" i="5"/>
  <c r="O71" i="5"/>
  <c r="K69" i="5"/>
  <c r="O63" i="5"/>
  <c r="N46" i="5"/>
  <c r="O42" i="5"/>
  <c r="N32" i="5"/>
  <c r="N28" i="5"/>
  <c r="C26" i="5"/>
  <c r="I21" i="5"/>
  <c r="O18" i="5"/>
  <c r="N14" i="5"/>
  <c r="O10" i="5"/>
  <c r="P10" i="5" s="1"/>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G125" i="14"/>
  <c r="D115" i="14"/>
  <c r="C113" i="14"/>
  <c r="E55" i="14"/>
  <c r="F52" i="14"/>
  <c r="E39" i="14"/>
  <c r="E37" i="14"/>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G3" i="21" s="1"/>
  <c r="B148" i="14"/>
  <c r="B127" i="14"/>
  <c r="B115" i="14"/>
  <c r="F113" i="14"/>
  <c r="B113" i="14"/>
  <c r="G113" i="14" s="1"/>
  <c r="F111" i="14"/>
  <c r="E109" i="14"/>
  <c r="G109" i="14" s="1"/>
  <c r="F107" i="14"/>
  <c r="E97" i="14"/>
  <c r="E95" i="14"/>
  <c r="E94" i="14"/>
  <c r="D59" i="14"/>
  <c r="D55" i="14"/>
  <c r="E53" i="14"/>
  <c r="E52" i="14"/>
  <c r="B39" i="14"/>
  <c r="C37" i="14"/>
  <c r="B33" i="14"/>
  <c r="E31" i="14"/>
  <c r="B29" i="14"/>
  <c r="F27" i="14"/>
  <c r="E20" i="14"/>
  <c r="D11" i="14"/>
  <c r="C9" i="14"/>
  <c r="E7" i="14"/>
  <c r="E80" i="13"/>
  <c r="G38" i="13"/>
  <c r="E156" i="14"/>
  <c r="F148" i="14"/>
  <c r="F127" i="14"/>
  <c r="E115" i="14"/>
  <c r="F39" i="14"/>
  <c r="E33" i="14"/>
  <c r="E29" i="14"/>
  <c r="P191" i="2"/>
  <c r="H191" i="2"/>
  <c r="Q190" i="2"/>
  <c r="S189" i="2"/>
  <c r="C184" i="2"/>
  <c r="M182" i="2"/>
  <c r="S177" i="2"/>
  <c r="C177" i="2"/>
  <c r="F177" i="2" s="1"/>
  <c r="R173" i="2"/>
  <c r="L173" i="2"/>
  <c r="D173" i="2"/>
  <c r="Q172" i="2"/>
  <c r="I158" i="2"/>
  <c r="C158" i="2"/>
  <c r="S158" i="2"/>
  <c r="L155" i="2"/>
  <c r="D134" i="2"/>
  <c r="L134" i="2"/>
  <c r="I131" i="2"/>
  <c r="C127" i="2"/>
  <c r="I119" i="2"/>
  <c r="Q119" i="2"/>
  <c r="C112" i="2"/>
  <c r="L112" i="2"/>
  <c r="R112" i="2"/>
  <c r="R92" i="2"/>
  <c r="Q88" i="2"/>
  <c r="I65" i="2"/>
  <c r="L65" i="2"/>
  <c r="Q65" i="2"/>
  <c r="R36" i="2"/>
  <c r="E4" i="21" s="1"/>
  <c r="I33" i="2"/>
  <c r="Q33" i="2"/>
  <c r="I27" i="2"/>
  <c r="Q181" i="3"/>
  <c r="I154" i="3"/>
  <c r="M154" i="3"/>
  <c r="P154" i="3"/>
  <c r="D145" i="3"/>
  <c r="I145" i="3"/>
  <c r="Q145" i="3"/>
  <c r="B144" i="3"/>
  <c r="M144" i="3"/>
  <c r="F144" i="3"/>
  <c r="N144" i="3"/>
  <c r="L141" i="3"/>
  <c r="I141" i="3"/>
  <c r="P141" i="3"/>
  <c r="I134" i="3"/>
  <c r="C134" i="3"/>
  <c r="P134" i="3"/>
  <c r="G134" i="3"/>
  <c r="E134" i="5" s="1"/>
  <c r="L134" i="3"/>
  <c r="C121" i="3"/>
  <c r="D121" i="3"/>
  <c r="J121" i="3"/>
  <c r="N121" i="3"/>
  <c r="F106" i="3"/>
  <c r="D106" i="3"/>
  <c r="Q106" i="3"/>
  <c r="I106" i="3"/>
  <c r="L106" i="3"/>
  <c r="L84" i="3"/>
  <c r="P84" i="3"/>
  <c r="D76" i="3"/>
  <c r="J76" i="3"/>
  <c r="L76" i="3"/>
  <c r="I138" i="2"/>
  <c r="D138" i="2"/>
  <c r="L138" i="2"/>
  <c r="L90" i="2"/>
  <c r="D90" i="2"/>
  <c r="Q90" i="2"/>
  <c r="C72" i="2"/>
  <c r="F72" i="2" s="1"/>
  <c r="I72" i="2"/>
  <c r="Q72" i="2"/>
  <c r="I39" i="2"/>
  <c r="Q39" i="2"/>
  <c r="C36" i="2"/>
  <c r="H4" i="21" s="1"/>
  <c r="D36" i="2"/>
  <c r="I4" i="21" s="1"/>
  <c r="M36" i="2"/>
  <c r="E36" i="2"/>
  <c r="J4" i="21" s="1"/>
  <c r="P36" i="2"/>
  <c r="D4" i="21" s="1"/>
  <c r="L189" i="3"/>
  <c r="F189" i="3"/>
  <c r="Q189" i="3"/>
  <c r="C188" i="3"/>
  <c r="M188" i="3"/>
  <c r="F188" i="3"/>
  <c r="H188" i="3" s="1"/>
  <c r="N188" i="3"/>
  <c r="C125" i="3"/>
  <c r="B125" i="3"/>
  <c r="M125" i="3"/>
  <c r="F125" i="3"/>
  <c r="N125" i="3"/>
  <c r="I125" i="3"/>
  <c r="K125" i="3" s="1"/>
  <c r="P125" i="3"/>
  <c r="D78" i="3"/>
  <c r="L78" i="3"/>
  <c r="M191" i="2"/>
  <c r="D191" i="2"/>
  <c r="F191" i="2" s="1"/>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I23" i="2"/>
  <c r="Q23" i="2"/>
  <c r="S23" i="2"/>
  <c r="Q188" i="3"/>
  <c r="F184" i="3"/>
  <c r="F179" i="3"/>
  <c r="G179" i="3"/>
  <c r="Q179" i="3"/>
  <c r="J179" i="3"/>
  <c r="D155" i="3"/>
  <c r="Q155" i="3"/>
  <c r="L149" i="3"/>
  <c r="D149" i="3"/>
  <c r="J144" i="3"/>
  <c r="I142" i="3"/>
  <c r="F86" i="3"/>
  <c r="L86" i="3"/>
  <c r="B74" i="3"/>
  <c r="Q74" i="3"/>
  <c r="I177" i="2"/>
  <c r="D153" i="2"/>
  <c r="I3" i="21" s="1"/>
  <c r="I153" i="2"/>
  <c r="C107" i="2"/>
  <c r="I107" i="2"/>
  <c r="S107" i="2"/>
  <c r="D93" i="2"/>
  <c r="I93" i="2"/>
  <c r="L93" i="2"/>
  <c r="D92" i="2"/>
  <c r="B92" i="2"/>
  <c r="M92" i="2"/>
  <c r="E92" i="2"/>
  <c r="Q92" i="2"/>
  <c r="B88" i="2"/>
  <c r="E88" i="2"/>
  <c r="S88" i="2"/>
  <c r="I88" i="2"/>
  <c r="I79" i="2"/>
  <c r="Q79" i="2"/>
  <c r="D60" i="2"/>
  <c r="C60" i="2"/>
  <c r="I60" i="2"/>
  <c r="Q49" i="2"/>
  <c r="D49" i="2"/>
  <c r="H36" i="2"/>
  <c r="B4" i="21" s="1"/>
  <c r="L10" i="2"/>
  <c r="P10" i="2"/>
  <c r="M126" i="3"/>
  <c r="I126" i="3"/>
  <c r="Q126" i="3"/>
  <c r="D119" i="3"/>
  <c r="C119" i="3"/>
  <c r="N119" i="3"/>
  <c r="F119" i="3"/>
  <c r="P119" i="3"/>
  <c r="I119" i="3"/>
  <c r="B101" i="3"/>
  <c r="I101" i="3"/>
  <c r="J101" i="3"/>
  <c r="C157" i="7"/>
  <c r="L157" i="7"/>
  <c r="D152" i="7"/>
  <c r="E152" i="7"/>
  <c r="J152" i="7"/>
  <c r="O152" i="7"/>
  <c r="C145" i="7"/>
  <c r="G145" i="7"/>
  <c r="C136" i="7"/>
  <c r="C109" i="7"/>
  <c r="B107" i="7"/>
  <c r="I13" i="7"/>
  <c r="B187" i="6"/>
  <c r="M187" i="6"/>
  <c r="F187" i="6"/>
  <c r="H187" i="6"/>
  <c r="M172" i="6"/>
  <c r="A172" i="7"/>
  <c r="I172" i="7" s="1"/>
  <c r="I164" i="6"/>
  <c r="Q164" i="12" s="1"/>
  <c r="K164" i="6"/>
  <c r="A164" i="7"/>
  <c r="E164" i="7" s="1"/>
  <c r="B147" i="6"/>
  <c r="F147" i="6"/>
  <c r="I147" i="6"/>
  <c r="M147" i="12" s="1"/>
  <c r="L147" i="6"/>
  <c r="B135" i="6"/>
  <c r="F135" i="6"/>
  <c r="J135" i="6"/>
  <c r="N135" i="6"/>
  <c r="C135" i="6"/>
  <c r="G135" i="6"/>
  <c r="K135" i="6"/>
  <c r="O135" i="6"/>
  <c r="D135" i="6"/>
  <c r="H135" i="6"/>
  <c r="L135" i="6"/>
  <c r="O135" i="12" s="1"/>
  <c r="B125" i="6"/>
  <c r="E125" i="6"/>
  <c r="H125" i="6"/>
  <c r="P125" i="12" s="1"/>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B140" i="2"/>
  <c r="H68" i="2"/>
  <c r="R56" i="2"/>
  <c r="I53" i="2"/>
  <c r="S32" i="2"/>
  <c r="B32" i="2"/>
  <c r="D21" i="2"/>
  <c r="P20" i="2"/>
  <c r="B20" i="2"/>
  <c r="L17" i="2"/>
  <c r="D13" i="2"/>
  <c r="P187" i="3"/>
  <c r="J187" i="3"/>
  <c r="B187" i="3"/>
  <c r="Q183" i="3"/>
  <c r="M183" i="3"/>
  <c r="G183" i="3"/>
  <c r="O182" i="3"/>
  <c r="Q178" i="3"/>
  <c r="L178" i="3"/>
  <c r="C178" i="3"/>
  <c r="Q171" i="3"/>
  <c r="M171" i="3"/>
  <c r="G171" i="3"/>
  <c r="C170" i="3"/>
  <c r="F168" i="3"/>
  <c r="I122" i="3"/>
  <c r="G117" i="3"/>
  <c r="E117" i="5" s="1"/>
  <c r="L115" i="3"/>
  <c r="L114" i="3"/>
  <c r="P112" i="3"/>
  <c r="F112" i="3"/>
  <c r="L110" i="3"/>
  <c r="J109" i="3"/>
  <c r="C105" i="3"/>
  <c r="N104" i="3"/>
  <c r="F104" i="3"/>
  <c r="F98" i="3"/>
  <c r="O83" i="3"/>
  <c r="J77" i="3"/>
  <c r="N73" i="3"/>
  <c r="N72" i="3"/>
  <c r="C72" i="3"/>
  <c r="E72" i="3" s="1"/>
  <c r="C71" i="3"/>
  <c r="G69" i="3"/>
  <c r="H69" i="3" s="1"/>
  <c r="N68" i="3"/>
  <c r="C68" i="3"/>
  <c r="E68" i="3" s="1"/>
  <c r="D67" i="3"/>
  <c r="N64" i="3"/>
  <c r="C64" i="3"/>
  <c r="E64" i="3" s="1"/>
  <c r="F57" i="3"/>
  <c r="M53" i="3"/>
  <c r="Q48" i="3"/>
  <c r="G48" i="3"/>
  <c r="E48" i="5" s="1"/>
  <c r="F48" i="5" s="1"/>
  <c r="G48" i="5" s="1"/>
  <c r="L46" i="3"/>
  <c r="O45" i="3"/>
  <c r="O40" i="3"/>
  <c r="J40" i="3"/>
  <c r="D40" i="3"/>
  <c r="N36" i="3"/>
  <c r="I36" i="3"/>
  <c r="C36" i="3"/>
  <c r="E36" i="3" s="1"/>
  <c r="O35" i="3"/>
  <c r="P34" i="3"/>
  <c r="M32" i="3"/>
  <c r="F32" i="3"/>
  <c r="O31" i="3"/>
  <c r="P28" i="3"/>
  <c r="G28" i="3"/>
  <c r="I25" i="3"/>
  <c r="P24" i="3"/>
  <c r="G24" i="3"/>
  <c r="I20" i="3"/>
  <c r="O19" i="3"/>
  <c r="N16" i="3"/>
  <c r="L14" i="3"/>
  <c r="O13" i="3"/>
  <c r="L7" i="3"/>
  <c r="F189" i="7"/>
  <c r="A187" i="7"/>
  <c r="C187" i="7" s="1"/>
  <c r="E180" i="7"/>
  <c r="M171" i="7"/>
  <c r="I161" i="7"/>
  <c r="M152" i="7"/>
  <c r="F152" i="7"/>
  <c r="J148" i="7"/>
  <c r="F136" i="7"/>
  <c r="A135" i="7"/>
  <c r="B135" i="7" s="1"/>
  <c r="F114" i="7"/>
  <c r="E112" i="7"/>
  <c r="C112" i="7"/>
  <c r="I112" i="7"/>
  <c r="D112" i="7"/>
  <c r="L112" i="7"/>
  <c r="J83" i="7"/>
  <c r="B83" i="7"/>
  <c r="C81" i="7"/>
  <c r="H81" i="7"/>
  <c r="M81" i="7"/>
  <c r="D81" i="7"/>
  <c r="I81" i="7"/>
  <c r="O81" i="7"/>
  <c r="E81" i="7"/>
  <c r="K81" i="7"/>
  <c r="B63" i="7"/>
  <c r="F63" i="7"/>
  <c r="K63" i="7"/>
  <c r="E46" i="7"/>
  <c r="B46" i="7"/>
  <c r="M46" i="7"/>
  <c r="F46" i="7"/>
  <c r="H46" i="7"/>
  <c r="E150" i="6"/>
  <c r="A150" i="7"/>
  <c r="I150" i="7" s="1"/>
  <c r="M135" i="6"/>
  <c r="I66" i="6"/>
  <c r="A66" i="7"/>
  <c r="M66" i="7" s="1"/>
  <c r="C62" i="6"/>
  <c r="A62" i="7"/>
  <c r="K62" i="7" s="1"/>
  <c r="B13" i="6"/>
  <c r="F13" i="6"/>
  <c r="J13" i="6"/>
  <c r="N13" i="6"/>
  <c r="C13" i="6"/>
  <c r="G13" i="6"/>
  <c r="K13" i="6"/>
  <c r="O13" i="6"/>
  <c r="D13" i="6"/>
  <c r="L13" i="6"/>
  <c r="E13" i="6"/>
  <c r="M13" i="6"/>
  <c r="H13" i="6"/>
  <c r="P13" i="12" s="1"/>
  <c r="D175" i="10"/>
  <c r="N175" i="10"/>
  <c r="I175" i="10"/>
  <c r="G162" i="10"/>
  <c r="D162" i="10"/>
  <c r="I162" i="10"/>
  <c r="O162" i="10"/>
  <c r="C105" i="10"/>
  <c r="B105" i="10"/>
  <c r="H105" i="10"/>
  <c r="M105" i="10"/>
  <c r="D105" i="10"/>
  <c r="I105" i="10"/>
  <c r="N105" i="10"/>
  <c r="E105" i="10"/>
  <c r="F105" i="10"/>
  <c r="J105" i="10"/>
  <c r="L105" i="10"/>
  <c r="M102" i="10"/>
  <c r="E102" i="10"/>
  <c r="R120" i="2"/>
  <c r="L120" i="2"/>
  <c r="L104" i="2"/>
  <c r="N104" i="2" s="1"/>
  <c r="O104" i="2" s="1"/>
  <c r="R80" i="2"/>
  <c r="L143" i="3"/>
  <c r="N136" i="3"/>
  <c r="P133" i="3"/>
  <c r="L130" i="3"/>
  <c r="J127" i="3"/>
  <c r="C122" i="3"/>
  <c r="Q117" i="3"/>
  <c r="C117" i="3"/>
  <c r="N112" i="3"/>
  <c r="C112" i="3"/>
  <c r="E112" i="3" s="1"/>
  <c r="M104" i="3"/>
  <c r="O99" i="3"/>
  <c r="B77" i="3"/>
  <c r="L72" i="3"/>
  <c r="B72" i="3"/>
  <c r="L68" i="3"/>
  <c r="B68" i="3"/>
  <c r="L64" i="3"/>
  <c r="B64" i="3"/>
  <c r="C57" i="3"/>
  <c r="Q49" i="3"/>
  <c r="P48" i="3"/>
  <c r="F48" i="3"/>
  <c r="H48" i="3" s="1"/>
  <c r="F46" i="3"/>
  <c r="M45" i="3"/>
  <c r="J42" i="3"/>
  <c r="N40" i="3"/>
  <c r="I40" i="3"/>
  <c r="C40" i="3"/>
  <c r="Q36" i="3"/>
  <c r="M36" i="3"/>
  <c r="G36" i="3"/>
  <c r="L35" i="3"/>
  <c r="Q32" i="3"/>
  <c r="L32" i="3"/>
  <c r="D32" i="3"/>
  <c r="O29" i="3"/>
  <c r="O28" i="3"/>
  <c r="D28" i="3"/>
  <c r="F25" i="3"/>
  <c r="N24" i="3"/>
  <c r="C24" i="3"/>
  <c r="Q22" i="3"/>
  <c r="G20" i="3"/>
  <c r="I19" i="3"/>
  <c r="I16" i="3"/>
  <c r="F14" i="3"/>
  <c r="M13" i="3"/>
  <c r="P12" i="3"/>
  <c r="Q9" i="3"/>
  <c r="Q7" i="3"/>
  <c r="G7" i="3"/>
  <c r="M189" i="7"/>
  <c r="E189" i="7"/>
  <c r="B171" i="7"/>
  <c r="H171" i="7"/>
  <c r="B158" i="7"/>
  <c r="K152" i="7"/>
  <c r="C152" i="7"/>
  <c r="B151" i="7"/>
  <c r="K151" i="7"/>
  <c r="A147" i="7"/>
  <c r="L147" i="7" s="1"/>
  <c r="E136" i="7"/>
  <c r="C119" i="7"/>
  <c r="F119" i="7"/>
  <c r="C77" i="7"/>
  <c r="D77" i="7"/>
  <c r="O77" i="7"/>
  <c r="G77" i="7"/>
  <c r="I77" i="7"/>
  <c r="E185" i="6"/>
  <c r="I185" i="6"/>
  <c r="M185" i="6"/>
  <c r="B141" i="6"/>
  <c r="L141" i="6"/>
  <c r="A141" i="7"/>
  <c r="I135" i="6"/>
  <c r="Q135" i="12" s="1"/>
  <c r="C76" i="6"/>
  <c r="L76" i="5" s="1"/>
  <c r="O76" i="6"/>
  <c r="A76" i="7"/>
  <c r="I76" i="7" s="1"/>
  <c r="F15" i="6"/>
  <c r="L15" i="6"/>
  <c r="A15" i="7"/>
  <c r="C15" i="7" s="1"/>
  <c r="C168" i="10"/>
  <c r="B168" i="10"/>
  <c r="K168" i="10"/>
  <c r="E168" i="10"/>
  <c r="O168" i="10"/>
  <c r="G168" i="10"/>
  <c r="J168" i="10"/>
  <c r="L51" i="3"/>
  <c r="F49" i="3"/>
  <c r="M48" i="3"/>
  <c r="B48" i="3"/>
  <c r="Q46" i="3"/>
  <c r="D46" i="3"/>
  <c r="B45" i="3"/>
  <c r="Q40" i="3"/>
  <c r="M40" i="3"/>
  <c r="G40" i="3"/>
  <c r="P32" i="3"/>
  <c r="J32" i="3"/>
  <c r="L28" i="3"/>
  <c r="L26" i="3"/>
  <c r="L24" i="3"/>
  <c r="P20" i="3"/>
  <c r="B20" i="3"/>
  <c r="Q14" i="3"/>
  <c r="D14" i="3"/>
  <c r="P7" i="3"/>
  <c r="B180" i="7"/>
  <c r="K180" i="7"/>
  <c r="I152" i="7"/>
  <c r="B152" i="7"/>
  <c r="E148" i="7"/>
  <c r="B148" i="7"/>
  <c r="L145" i="7"/>
  <c r="D144" i="7"/>
  <c r="L134" i="7"/>
  <c r="F132" i="7"/>
  <c r="B14" i="7"/>
  <c r="H14" i="7"/>
  <c r="L187" i="6"/>
  <c r="K160" i="6"/>
  <c r="N160" i="12" s="1"/>
  <c r="A160" i="7"/>
  <c r="I160" i="7" s="1"/>
  <c r="B152" i="6"/>
  <c r="I152" i="6"/>
  <c r="Q152" i="12" s="1"/>
  <c r="E135" i="6"/>
  <c r="F110" i="6"/>
  <c r="I110" i="6"/>
  <c r="K110" i="6"/>
  <c r="S110" i="12" s="1"/>
  <c r="A110" i="7"/>
  <c r="C110" i="7" s="1"/>
  <c r="I102" i="6"/>
  <c r="A102" i="7"/>
  <c r="C87" i="6"/>
  <c r="H87" i="6"/>
  <c r="M87" i="6"/>
  <c r="D87" i="6"/>
  <c r="I87" i="6"/>
  <c r="Q87" i="12" s="1"/>
  <c r="O87" i="6"/>
  <c r="E87" i="6"/>
  <c r="G87" i="6"/>
  <c r="A87" i="7"/>
  <c r="F87" i="7" s="1"/>
  <c r="K87" i="6"/>
  <c r="R87" i="12" s="1"/>
  <c r="E83" i="6"/>
  <c r="G83" i="6"/>
  <c r="I83" i="6"/>
  <c r="Q83" i="12" s="1"/>
  <c r="C83" i="6"/>
  <c r="L83" i="5" s="1"/>
  <c r="M83" i="5" s="1"/>
  <c r="K83" i="6"/>
  <c r="O83" i="6"/>
  <c r="B51" i="6"/>
  <c r="G51" i="6"/>
  <c r="M51" i="6"/>
  <c r="C51" i="6"/>
  <c r="I51" i="6"/>
  <c r="M51" i="12" s="1"/>
  <c r="N51" i="6"/>
  <c r="E51" i="6"/>
  <c r="O51" i="6"/>
  <c r="F51" i="6"/>
  <c r="J51" i="6"/>
  <c r="E28" i="6"/>
  <c r="A28" i="7"/>
  <c r="K173" i="10"/>
  <c r="E94" i="7"/>
  <c r="C73" i="7"/>
  <c r="D61" i="7"/>
  <c r="F42" i="7"/>
  <c r="O33" i="7"/>
  <c r="D33" i="7"/>
  <c r="K31" i="7"/>
  <c r="M27" i="7"/>
  <c r="G27" i="7"/>
  <c r="O21" i="7"/>
  <c r="C21" i="7"/>
  <c r="M12" i="7"/>
  <c r="N10" i="7"/>
  <c r="K7" i="7"/>
  <c r="G180" i="6"/>
  <c r="M177" i="6"/>
  <c r="E177" i="6"/>
  <c r="I176" i="6"/>
  <c r="M176" i="12" s="1"/>
  <c r="I175" i="6"/>
  <c r="O173" i="6"/>
  <c r="H171" i="6"/>
  <c r="L163" i="6"/>
  <c r="O163" i="12" s="1"/>
  <c r="L161" i="6"/>
  <c r="E161" i="6"/>
  <c r="N155" i="6"/>
  <c r="I155" i="6"/>
  <c r="D155" i="6"/>
  <c r="M153" i="6"/>
  <c r="L151" i="6"/>
  <c r="O151" i="12" s="1"/>
  <c r="M149" i="6"/>
  <c r="I138" i="6"/>
  <c r="G132" i="6"/>
  <c r="E130" i="6"/>
  <c r="M128" i="6"/>
  <c r="C128" i="6"/>
  <c r="L128" i="5" s="1"/>
  <c r="M122" i="6"/>
  <c r="B122" i="6"/>
  <c r="H120" i="6"/>
  <c r="N119" i="6"/>
  <c r="I119" i="6"/>
  <c r="C119" i="6"/>
  <c r="G112" i="6"/>
  <c r="N111" i="6"/>
  <c r="C96" i="6"/>
  <c r="O96" i="6"/>
  <c r="G96" i="6"/>
  <c r="G80" i="6"/>
  <c r="K80" i="6"/>
  <c r="E59" i="6"/>
  <c r="J59" i="6"/>
  <c r="L59" i="6"/>
  <c r="L56" i="6"/>
  <c r="D56" i="6"/>
  <c r="I56" i="6"/>
  <c r="Q56" i="12" s="1"/>
  <c r="F42" i="6"/>
  <c r="I42" i="6"/>
  <c r="H36" i="6"/>
  <c r="C31" i="6"/>
  <c r="L31" i="5" s="1"/>
  <c r="K31" i="6"/>
  <c r="S31" i="12" s="1"/>
  <c r="E31" i="6"/>
  <c r="M31" i="6"/>
  <c r="H29" i="6"/>
  <c r="G18" i="6"/>
  <c r="L18" i="6"/>
  <c r="C9" i="6"/>
  <c r="L9" i="5" s="1"/>
  <c r="I9" i="6"/>
  <c r="Q9" i="12" s="1"/>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L94" i="7"/>
  <c r="B94" i="7"/>
  <c r="B52" i="7"/>
  <c r="L49" i="7"/>
  <c r="I31" i="7"/>
  <c r="I12" i="7"/>
  <c r="N183" i="6"/>
  <c r="F183" i="6"/>
  <c r="K181" i="6"/>
  <c r="E181" i="6"/>
  <c r="O180" i="6"/>
  <c r="E180" i="6"/>
  <c r="J177" i="6"/>
  <c r="F175" i="6"/>
  <c r="J161" i="6"/>
  <c r="D161" i="6"/>
  <c r="M155" i="6"/>
  <c r="H155" i="6"/>
  <c r="P155" i="12" s="1"/>
  <c r="I139" i="6"/>
  <c r="F138" i="6"/>
  <c r="L133" i="6"/>
  <c r="K123" i="6"/>
  <c r="S123" i="12" s="1"/>
  <c r="G120" i="6"/>
  <c r="M119" i="6"/>
  <c r="G119" i="6"/>
  <c r="O112" i="6"/>
  <c r="B111" i="6"/>
  <c r="E111" i="6"/>
  <c r="K111" i="6"/>
  <c r="C99" i="6"/>
  <c r="G99" i="6"/>
  <c r="K99" i="6"/>
  <c r="B93" i="6"/>
  <c r="F93" i="6"/>
  <c r="L93" i="6"/>
  <c r="E81" i="6"/>
  <c r="L81" i="6"/>
  <c r="I68" i="6"/>
  <c r="O68" i="6"/>
  <c r="C52" i="6"/>
  <c r="H52" i="6"/>
  <c r="M52" i="6"/>
  <c r="D52" i="6"/>
  <c r="I52" i="6"/>
  <c r="O52" i="6"/>
  <c r="F50" i="6"/>
  <c r="I50" i="6"/>
  <c r="M50" i="12" s="1"/>
  <c r="E41" i="6"/>
  <c r="D41" i="6"/>
  <c r="L41" i="6"/>
  <c r="F41" i="6"/>
  <c r="M41" i="6"/>
  <c r="F34" i="6"/>
  <c r="C17" i="6"/>
  <c r="D17" i="6"/>
  <c r="L17" i="6"/>
  <c r="O17" i="12" s="1"/>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12" s="1"/>
  <c r="L119" i="6"/>
  <c r="C112" i="6"/>
  <c r="D112" i="6"/>
  <c r="K112" i="6"/>
  <c r="D85" i="6"/>
  <c r="I85" i="6"/>
  <c r="N85" i="6"/>
  <c r="I63" i="6"/>
  <c r="Q63" i="12" s="1"/>
  <c r="M63" i="6"/>
  <c r="H60" i="6"/>
  <c r="L60" i="6"/>
  <c r="E36" i="6"/>
  <c r="C36" i="6"/>
  <c r="I36" i="6"/>
  <c r="M36" i="12" s="1"/>
  <c r="D36" i="6"/>
  <c r="L36" i="6"/>
  <c r="E30" i="6"/>
  <c r="I30" i="6"/>
  <c r="C29" i="6"/>
  <c r="B29" i="6"/>
  <c r="J29" i="6"/>
  <c r="E29" i="6"/>
  <c r="L29" i="6"/>
  <c r="I20" i="6"/>
  <c r="Q20" i="12" s="1"/>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R35" i="12" s="1"/>
  <c r="O27" i="6"/>
  <c r="C27" i="6"/>
  <c r="H25" i="6"/>
  <c r="P25" i="12" s="1"/>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P34" i="5" s="1"/>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P22" i="5" s="1"/>
  <c r="N8" i="5"/>
  <c r="C54" i="8"/>
  <c r="E54" i="8"/>
  <c r="C30" i="8"/>
  <c r="E30" i="8"/>
  <c r="C14" i="8"/>
  <c r="E14" i="8"/>
  <c r="G14" i="8"/>
  <c r="C10" i="8"/>
  <c r="F10" i="8"/>
  <c r="D181" i="11"/>
  <c r="F181" i="11"/>
  <c r="L171" i="11"/>
  <c r="C170" i="11"/>
  <c r="M170" i="11"/>
  <c r="E170" i="11"/>
  <c r="D161" i="11"/>
  <c r="F161" i="11"/>
  <c r="C158" i="11"/>
  <c r="K158" i="11"/>
  <c r="I149" i="11"/>
  <c r="K149" i="11"/>
  <c r="F149" i="11"/>
  <c r="N166" i="5"/>
  <c r="K159" i="5"/>
  <c r="K155" i="5"/>
  <c r="C153" i="5"/>
  <c r="C147" i="5"/>
  <c r="N142" i="5"/>
  <c r="O131" i="5"/>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I60" i="11"/>
  <c r="I53" i="11"/>
  <c r="E151" i="12"/>
  <c r="F109" i="12"/>
  <c r="E99" i="12"/>
  <c r="E87" i="12"/>
  <c r="F63" i="12"/>
  <c r="G49" i="12"/>
  <c r="E40" i="12"/>
  <c r="C126" i="13"/>
  <c r="B122" i="13"/>
  <c r="G9" i="14"/>
  <c r="G183" i="14"/>
  <c r="Q189" i="2"/>
  <c r="I189" i="2"/>
  <c r="C189" i="2"/>
  <c r="F189" i="2" s="1"/>
  <c r="Q163" i="2"/>
  <c r="I152" i="2"/>
  <c r="S150" i="2"/>
  <c r="S139" i="2"/>
  <c r="S136" i="2"/>
  <c r="E136" i="2"/>
  <c r="G136" i="2" s="1"/>
  <c r="Q124" i="2"/>
  <c r="P189" i="2"/>
  <c r="H189" i="2"/>
  <c r="B189" i="2"/>
  <c r="I187" i="2"/>
  <c r="I186" i="2"/>
  <c r="S184" i="2"/>
  <c r="S182" i="2"/>
  <c r="M181" i="2"/>
  <c r="H177" i="2"/>
  <c r="Q176" i="2"/>
  <c r="P175" i="2"/>
  <c r="H175" i="2"/>
  <c r="Q174" i="2"/>
  <c r="R171" i="2"/>
  <c r="I169" i="2"/>
  <c r="S166" i="2"/>
  <c r="L163" i="2"/>
  <c r="D160" i="2"/>
  <c r="E159" i="2"/>
  <c r="R155" i="2"/>
  <c r="D152" i="2"/>
  <c r="C150" i="2"/>
  <c r="L148" i="2"/>
  <c r="Q147" i="2"/>
  <c r="E147" i="2"/>
  <c r="G147" i="2" s="1"/>
  <c r="S140" i="2"/>
  <c r="I140" i="2"/>
  <c r="I139" i="2"/>
  <c r="L137" i="2"/>
  <c r="R136" i="2"/>
  <c r="B136" i="2"/>
  <c r="S131" i="2"/>
  <c r="M128" i="2"/>
  <c r="C128" i="2"/>
  <c r="F128" i="2" s="1"/>
  <c r="I125" i="2"/>
  <c r="M124" i="2"/>
  <c r="B124" i="2"/>
  <c r="D122" i="2"/>
  <c r="S116" i="2"/>
  <c r="M116" i="2"/>
  <c r="N116" i="2" s="1"/>
  <c r="O116" i="2" s="1"/>
  <c r="E116" i="2"/>
  <c r="I115" i="2"/>
  <c r="D114" i="2"/>
  <c r="L110" i="2"/>
  <c r="R108" i="2"/>
  <c r="M108" i="2"/>
  <c r="H108" i="2"/>
  <c r="B108" i="2"/>
  <c r="D106" i="2"/>
  <c r="D105" i="2"/>
  <c r="I101" i="2"/>
  <c r="E100" i="2"/>
  <c r="S96" i="2"/>
  <c r="L96" i="2"/>
  <c r="B96" i="2"/>
  <c r="L94" i="2"/>
  <c r="R88" i="2"/>
  <c r="L88" i="2"/>
  <c r="N88" i="2" s="1"/>
  <c r="O88" i="2" s="1"/>
  <c r="D88" i="2"/>
  <c r="F88" i="2" s="1"/>
  <c r="Q87" i="2"/>
  <c r="L85" i="2"/>
  <c r="R84" i="2"/>
  <c r="L84" i="2"/>
  <c r="D78" i="2"/>
  <c r="L78" i="2"/>
  <c r="B76" i="2"/>
  <c r="H76" i="2"/>
  <c r="M76" i="2"/>
  <c r="R76" i="2"/>
  <c r="I74" i="2"/>
  <c r="R72" i="2"/>
  <c r="H72" i="2"/>
  <c r="S68" i="2"/>
  <c r="L68" i="2"/>
  <c r="Q64" i="2"/>
  <c r="S59" i="2"/>
  <c r="E56" i="2"/>
  <c r="H56" i="2"/>
  <c r="S56" i="2"/>
  <c r="D48" i="2"/>
  <c r="G48" i="2" s="1"/>
  <c r="L48" i="2"/>
  <c r="R48" i="2"/>
  <c r="I44" i="2"/>
  <c r="J44" i="2" s="1"/>
  <c r="K44" i="2" s="1"/>
  <c r="D40" i="2"/>
  <c r="C40" i="2"/>
  <c r="R40" i="2"/>
  <c r="L38" i="2"/>
  <c r="E28" i="2"/>
  <c r="G28" i="2" s="1"/>
  <c r="Q28" i="2"/>
  <c r="C28" i="2"/>
  <c r="F28" i="2" s="1"/>
  <c r="L28" i="2"/>
  <c r="D26" i="2"/>
  <c r="I26" i="2"/>
  <c r="D16" i="2"/>
  <c r="G16" i="2" s="1"/>
  <c r="L16" i="2"/>
  <c r="R16" i="2"/>
  <c r="B16" i="2"/>
  <c r="H16" i="2"/>
  <c r="P16" i="2"/>
  <c r="D177" i="3"/>
  <c r="I177" i="3"/>
  <c r="L175" i="3"/>
  <c r="P174" i="3"/>
  <c r="D173" i="3"/>
  <c r="P173" i="3"/>
  <c r="Q165" i="3"/>
  <c r="B164" i="3"/>
  <c r="I164" i="3"/>
  <c r="J160" i="3"/>
  <c r="K160" i="3" s="1"/>
  <c r="Q160" i="3"/>
  <c r="F160" i="3"/>
  <c r="D158" i="3"/>
  <c r="M158" i="3"/>
  <c r="D153" i="3"/>
  <c r="I153" i="3"/>
  <c r="Q153" i="3"/>
  <c r="F147" i="3"/>
  <c r="B147" i="3"/>
  <c r="L147" i="3"/>
  <c r="G147" i="3"/>
  <c r="P147" i="3"/>
  <c r="D84" i="2"/>
  <c r="E84" i="2"/>
  <c r="L82" i="2"/>
  <c r="D82" i="2"/>
  <c r="I71" i="2"/>
  <c r="Q71" i="2"/>
  <c r="C68" i="2"/>
  <c r="I68" i="2"/>
  <c r="Q68" i="2"/>
  <c r="D45" i="2"/>
  <c r="L45" i="2"/>
  <c r="Q25" i="2"/>
  <c r="L25" i="2"/>
  <c r="B180" i="3"/>
  <c r="I180" i="3"/>
  <c r="I175" i="3"/>
  <c r="L174" i="3"/>
  <c r="M165" i="3"/>
  <c r="C163" i="3"/>
  <c r="E163" i="3" s="1"/>
  <c r="J163" i="3"/>
  <c r="P163" i="3"/>
  <c r="F163" i="3"/>
  <c r="N163" i="3"/>
  <c r="C162" i="3"/>
  <c r="E162" i="3" s="1"/>
  <c r="M162" i="3"/>
  <c r="I162" i="3"/>
  <c r="Q162" i="3"/>
  <c r="N159" i="3"/>
  <c r="F155" i="3"/>
  <c r="G155" i="3"/>
  <c r="P155" i="3"/>
  <c r="B155" i="3"/>
  <c r="L155" i="3"/>
  <c r="C192" i="2"/>
  <c r="R189" i="2"/>
  <c r="L189" i="2"/>
  <c r="P187" i="2"/>
  <c r="B187" i="2"/>
  <c r="L185" i="2"/>
  <c r="R177" i="2"/>
  <c r="L177" i="2"/>
  <c r="B177" i="2"/>
  <c r="L175" i="2"/>
  <c r="B175" i="2"/>
  <c r="C174" i="2"/>
  <c r="I172" i="2"/>
  <c r="M167" i="2"/>
  <c r="R163" i="2"/>
  <c r="B163" i="2"/>
  <c r="R159" i="2"/>
  <c r="B155" i="2"/>
  <c r="D149" i="2"/>
  <c r="S147" i="2"/>
  <c r="L147" i="2"/>
  <c r="B147" i="2"/>
  <c r="I145" i="2"/>
  <c r="L136" i="2"/>
  <c r="R124" i="2"/>
  <c r="H124" i="2"/>
  <c r="D121" i="2"/>
  <c r="C119" i="2"/>
  <c r="I117" i="2"/>
  <c r="Q116" i="2"/>
  <c r="I116" i="2"/>
  <c r="B116" i="2"/>
  <c r="Q114" i="2"/>
  <c r="C111" i="2"/>
  <c r="P108" i="2"/>
  <c r="D108" i="2"/>
  <c r="G108" i="2" s="1"/>
  <c r="L106" i="2"/>
  <c r="Q105" i="2"/>
  <c r="L102" i="2"/>
  <c r="Q100" i="2"/>
  <c r="P96" i="2"/>
  <c r="E96" i="2"/>
  <c r="G96" i="2" s="1"/>
  <c r="C95" i="2"/>
  <c r="P88" i="2"/>
  <c r="H88" i="2"/>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E154" i="3" s="1"/>
  <c r="L154" i="3"/>
  <c r="Q154" i="3"/>
  <c r="G154" i="3"/>
  <c r="E154" i="5" s="1"/>
  <c r="O154" i="3"/>
  <c r="C151" i="3"/>
  <c r="I151" i="3"/>
  <c r="G146" i="3"/>
  <c r="D146" i="3"/>
  <c r="O146" i="3"/>
  <c r="B142" i="3"/>
  <c r="C142" i="3"/>
  <c r="L142" i="3"/>
  <c r="Q142" i="3"/>
  <c r="D142" i="3"/>
  <c r="M142" i="3"/>
  <c r="G142" i="3"/>
  <c r="E142" i="5" s="1"/>
  <c r="O142" i="3"/>
  <c r="I160" i="2"/>
  <c r="M159" i="2"/>
  <c r="L125" i="2"/>
  <c r="E124" i="2"/>
  <c r="G124" i="2" s="1"/>
  <c r="Q122" i="2"/>
  <c r="I114" i="2"/>
  <c r="S108" i="2"/>
  <c r="I108" i="2"/>
  <c r="L105" i="2"/>
  <c r="L100" i="2"/>
  <c r="M96" i="2"/>
  <c r="C96" i="2"/>
  <c r="F96" i="2" s="1"/>
  <c r="S84" i="2"/>
  <c r="M84" i="2"/>
  <c r="C84" i="2"/>
  <c r="Q82" i="2"/>
  <c r="L73" i="2"/>
  <c r="D73" i="2"/>
  <c r="E72" i="2"/>
  <c r="G72" i="2" s="1"/>
  <c r="P72" i="2"/>
  <c r="M68" i="2"/>
  <c r="D68" i="2"/>
  <c r="E44" i="2"/>
  <c r="C44" i="2"/>
  <c r="Q44" i="2"/>
  <c r="C35" i="2"/>
  <c r="I35" i="2"/>
  <c r="B18" i="2"/>
  <c r="Q18" i="2"/>
  <c r="D18" i="2"/>
  <c r="C175" i="3"/>
  <c r="E175" i="3" s="1"/>
  <c r="J175" i="3"/>
  <c r="P175" i="3"/>
  <c r="F175" i="3"/>
  <c r="N175" i="3"/>
  <c r="C174" i="3"/>
  <c r="E174" i="3" s="1"/>
  <c r="M174" i="3"/>
  <c r="I174" i="3"/>
  <c r="Q174" i="3"/>
  <c r="D165" i="3"/>
  <c r="P165" i="3"/>
  <c r="L165" i="3"/>
  <c r="C159" i="3"/>
  <c r="B159" i="3"/>
  <c r="P159" i="3"/>
  <c r="I159" i="3"/>
  <c r="C150" i="3"/>
  <c r="L150" i="3"/>
  <c r="P143" i="3"/>
  <c r="J143" i="3"/>
  <c r="B143" i="3"/>
  <c r="Q141" i="3"/>
  <c r="D141" i="3"/>
  <c r="L138" i="3"/>
  <c r="P131" i="3"/>
  <c r="C131" i="3"/>
  <c r="E131" i="3" s="1"/>
  <c r="C130" i="3"/>
  <c r="E130" i="3" s="1"/>
  <c r="B129" i="3"/>
  <c r="G126" i="3"/>
  <c r="L123" i="3"/>
  <c r="L121" i="3"/>
  <c r="B121" i="3"/>
  <c r="Q119" i="3"/>
  <c r="M119" i="3"/>
  <c r="G119" i="3"/>
  <c r="E119" i="5" s="1"/>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E76" i="5" s="1"/>
  <c r="M76" i="3"/>
  <c r="Q76" i="3"/>
  <c r="C76" i="3"/>
  <c r="I76" i="3"/>
  <c r="N76" i="3"/>
  <c r="L74" i="3"/>
  <c r="G63" i="3"/>
  <c r="P63" i="3"/>
  <c r="Q61" i="3"/>
  <c r="Q60" i="3"/>
  <c r="B53" i="3"/>
  <c r="I53" i="3"/>
  <c r="O53" i="3"/>
  <c r="C53" i="3"/>
  <c r="J53" i="3"/>
  <c r="Q53" i="3"/>
  <c r="C52" i="3"/>
  <c r="B52" i="3"/>
  <c r="M52" i="3"/>
  <c r="F52" i="3"/>
  <c r="P52" i="3"/>
  <c r="F41" i="3"/>
  <c r="N41" i="3"/>
  <c r="C41" i="3"/>
  <c r="Q41" i="3"/>
  <c r="O139" i="3"/>
  <c r="Q132" i="3"/>
  <c r="Q124" i="3"/>
  <c r="G99" i="3"/>
  <c r="E99" i="5" s="1"/>
  <c r="J98" i="3"/>
  <c r="Q98" i="3"/>
  <c r="N96" i="3"/>
  <c r="C96" i="3"/>
  <c r="N89" i="3"/>
  <c r="G87" i="3"/>
  <c r="I83" i="3"/>
  <c r="F82" i="3"/>
  <c r="P82" i="3"/>
  <c r="D79" i="3"/>
  <c r="E79" i="3" s="1"/>
  <c r="J74" i="3"/>
  <c r="L62" i="3"/>
  <c r="J61" i="3"/>
  <c r="L60" i="3"/>
  <c r="S36" i="2"/>
  <c r="I36" i="2"/>
  <c r="L33" i="2"/>
  <c r="R32" i="2"/>
  <c r="D32" i="2"/>
  <c r="G32" i="2" s="1"/>
  <c r="S27" i="2"/>
  <c r="M20" i="2"/>
  <c r="I12" i="2"/>
  <c r="N187" i="3"/>
  <c r="I187" i="3"/>
  <c r="K187" i="3" s="1"/>
  <c r="L186" i="3"/>
  <c r="Q184" i="3"/>
  <c r="O179" i="3"/>
  <c r="D179" i="3"/>
  <c r="P166" i="3"/>
  <c r="Q157" i="3"/>
  <c r="M156" i="3"/>
  <c r="F152" i="3"/>
  <c r="P149" i="3"/>
  <c r="M143" i="3"/>
  <c r="M141" i="3"/>
  <c r="I139" i="3"/>
  <c r="N135" i="3"/>
  <c r="I135" i="3"/>
  <c r="I132" i="3"/>
  <c r="J131" i="3"/>
  <c r="M130" i="3"/>
  <c r="M129" i="3"/>
  <c r="O127" i="3"/>
  <c r="D127" i="3"/>
  <c r="Q125" i="3"/>
  <c r="L125" i="3"/>
  <c r="D125" i="3"/>
  <c r="Q122" i="3"/>
  <c r="G122" i="3"/>
  <c r="P121" i="3"/>
  <c r="I121" i="3"/>
  <c r="O119" i="3"/>
  <c r="J119" i="3"/>
  <c r="M117" i="3"/>
  <c r="L116" i="3"/>
  <c r="O112" i="3"/>
  <c r="J112" i="3"/>
  <c r="K112" i="3" s="1"/>
  <c r="P111" i="3"/>
  <c r="M108" i="3"/>
  <c r="F108" i="3"/>
  <c r="H108" i="3" s="1"/>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E53" i="5" s="1"/>
  <c r="L52" i="3"/>
  <c r="D96" i="3"/>
  <c r="F96" i="3"/>
  <c r="M96" i="3"/>
  <c r="I89" i="3"/>
  <c r="F89" i="3"/>
  <c r="G83" i="3"/>
  <c r="Q83" i="3"/>
  <c r="B81" i="3"/>
  <c r="F81" i="3"/>
  <c r="G79" i="3"/>
  <c r="I79" i="3"/>
  <c r="Q79" i="3"/>
  <c r="F74" i="3"/>
  <c r="D74" i="3"/>
  <c r="N74" i="3"/>
  <c r="I74" i="3"/>
  <c r="P74" i="3"/>
  <c r="D62" i="3"/>
  <c r="N62" i="3"/>
  <c r="F62" i="3"/>
  <c r="Q62" i="3"/>
  <c r="B61" i="3"/>
  <c r="M61" i="3"/>
  <c r="F61" i="3"/>
  <c r="O61" i="3"/>
  <c r="C60" i="3"/>
  <c r="B60" i="3"/>
  <c r="M60" i="3"/>
  <c r="F60" i="3"/>
  <c r="H60" i="3" s="1"/>
  <c r="P60" i="3"/>
  <c r="F58" i="3"/>
  <c r="N58" i="3"/>
  <c r="J50" i="3"/>
  <c r="L50" i="3"/>
  <c r="B38" i="3"/>
  <c r="F38" i="3"/>
  <c r="J37" i="3"/>
  <c r="C27" i="3"/>
  <c r="L27" i="3"/>
  <c r="J26" i="3"/>
  <c r="P23" i="3"/>
  <c r="M21" i="3"/>
  <c r="G13" i="3"/>
  <c r="Q13" i="3"/>
  <c r="J189" i="7"/>
  <c r="B183" i="7"/>
  <c r="D183" i="7"/>
  <c r="L183" i="7"/>
  <c r="E183" i="7"/>
  <c r="M183" i="7"/>
  <c r="I162" i="7"/>
  <c r="M162" i="7"/>
  <c r="J158" i="7"/>
  <c r="K155" i="7"/>
  <c r="N148" i="7"/>
  <c r="F148" i="7"/>
  <c r="O47" i="3"/>
  <c r="G47" i="3"/>
  <c r="J45" i="3"/>
  <c r="P44" i="3"/>
  <c r="M42" i="3"/>
  <c r="F42" i="3"/>
  <c r="Q37" i="3"/>
  <c r="G37" i="3"/>
  <c r="F34" i="3"/>
  <c r="M34" i="3"/>
  <c r="G31" i="3"/>
  <c r="E31" i="5" s="1"/>
  <c r="F31" i="5" s="1"/>
  <c r="G31" i="5" s="1"/>
  <c r="L31" i="3"/>
  <c r="C28" i="3"/>
  <c r="E28" i="3" s="1"/>
  <c r="I28" i="3"/>
  <c r="N28" i="3"/>
  <c r="Q26" i="3"/>
  <c r="D26" i="3"/>
  <c r="M23" i="3"/>
  <c r="J21" i="3"/>
  <c r="J13" i="3"/>
  <c r="I9" i="3"/>
  <c r="F9" i="3"/>
  <c r="C189" i="7"/>
  <c r="D189" i="7"/>
  <c r="I189" i="7"/>
  <c r="N189" i="7"/>
  <c r="J163" i="7"/>
  <c r="M148" i="7"/>
  <c r="M77" i="3"/>
  <c r="M72" i="3"/>
  <c r="F72" i="3"/>
  <c r="P71" i="3"/>
  <c r="M68" i="3"/>
  <c r="F68" i="3"/>
  <c r="O67" i="3"/>
  <c r="M66" i="3"/>
  <c r="M64" i="3"/>
  <c r="F64" i="3"/>
  <c r="N57" i="3"/>
  <c r="P56" i="3"/>
  <c r="G56" i="3"/>
  <c r="M47" i="3"/>
  <c r="F45" i="3"/>
  <c r="H45" i="3" s="1"/>
  <c r="L44" i="3"/>
  <c r="Q42" i="3"/>
  <c r="L42" i="3"/>
  <c r="L39" i="3"/>
  <c r="G39" i="3"/>
  <c r="O37" i="3"/>
  <c r="I35" i="3"/>
  <c r="G35" i="3"/>
  <c r="E35" i="5" s="1"/>
  <c r="F35" i="5" s="1"/>
  <c r="G35" i="5" s="1"/>
  <c r="C32" i="3"/>
  <c r="I32" i="3"/>
  <c r="N32" i="3"/>
  <c r="Q30" i="3"/>
  <c r="M28" i="3"/>
  <c r="F28" i="3"/>
  <c r="Q27" i="3"/>
  <c r="N26" i="3"/>
  <c r="L23" i="3"/>
  <c r="C21" i="3"/>
  <c r="M18" i="3"/>
  <c r="C16" i="3"/>
  <c r="G16" i="3"/>
  <c r="F13" i="3"/>
  <c r="G11" i="3"/>
  <c r="F10" i="3"/>
  <c r="L10" i="3"/>
  <c r="D167" i="7"/>
  <c r="C163" i="7"/>
  <c r="H163" i="7"/>
  <c r="B155" i="7"/>
  <c r="E155" i="7"/>
  <c r="O155" i="7"/>
  <c r="F155" i="7"/>
  <c r="F37" i="3"/>
  <c r="N37" i="3"/>
  <c r="I26" i="3"/>
  <c r="P26" i="3"/>
  <c r="C8" i="3"/>
  <c r="I8" i="3"/>
  <c r="N163" i="7"/>
  <c r="E158" i="7"/>
  <c r="L158" i="7"/>
  <c r="F158" i="7"/>
  <c r="M158" i="7"/>
  <c r="C148" i="7"/>
  <c r="G148" i="7"/>
  <c r="K148" i="7"/>
  <c r="O148" i="7"/>
  <c r="D148" i="7"/>
  <c r="H148" i="7"/>
  <c r="L148" i="7"/>
  <c r="H144" i="7"/>
  <c r="J134" i="7"/>
  <c r="N132" i="7"/>
  <c r="I132" i="7"/>
  <c r="C132" i="7"/>
  <c r="N114" i="7"/>
  <c r="I107" i="7"/>
  <c r="O68" i="7"/>
  <c r="G67" i="7"/>
  <c r="E67" i="7"/>
  <c r="J54" i="7"/>
  <c r="L45" i="7"/>
  <c r="E35" i="7"/>
  <c r="F35" i="7"/>
  <c r="O35" i="7"/>
  <c r="G35" i="7"/>
  <c r="E30" i="7"/>
  <c r="F30" i="7"/>
  <c r="H30" i="7"/>
  <c r="E25" i="7"/>
  <c r="G25" i="7"/>
  <c r="H25" i="7"/>
  <c r="H22" i="7"/>
  <c r="C14" i="7"/>
  <c r="E14" i="7"/>
  <c r="L14" i="7"/>
  <c r="F14" i="7"/>
  <c r="M14" i="7"/>
  <c r="B7" i="7"/>
  <c r="G7" i="7"/>
  <c r="I7" i="7"/>
  <c r="C179" i="6"/>
  <c r="F179" i="6"/>
  <c r="I179" i="6"/>
  <c r="I173" i="6"/>
  <c r="M173" i="12" s="1"/>
  <c r="B172" i="6"/>
  <c r="E172" i="6"/>
  <c r="I172" i="6"/>
  <c r="D171" i="6"/>
  <c r="B171" i="6"/>
  <c r="J171" i="6"/>
  <c r="E171" i="6"/>
  <c r="L171" i="6"/>
  <c r="I149" i="6"/>
  <c r="M149" i="12" s="1"/>
  <c r="B148" i="6"/>
  <c r="C148" i="6"/>
  <c r="K148" i="6"/>
  <c r="R148" i="12" s="1"/>
  <c r="E148" i="6"/>
  <c r="M148" i="6"/>
  <c r="G148" i="6"/>
  <c r="O148" i="6"/>
  <c r="D144" i="6"/>
  <c r="C144" i="6"/>
  <c r="K144" i="6"/>
  <c r="E144" i="6"/>
  <c r="L144" i="6"/>
  <c r="G144" i="6"/>
  <c r="M144" i="6"/>
  <c r="I180" i="7"/>
  <c r="M144" i="7"/>
  <c r="E144" i="7"/>
  <c r="L136" i="7"/>
  <c r="H136" i="7"/>
  <c r="K135" i="7"/>
  <c r="F134" i="7"/>
  <c r="M132" i="7"/>
  <c r="G132" i="7"/>
  <c r="B132" i="7"/>
  <c r="L114" i="7"/>
  <c r="K112" i="7"/>
  <c r="K111" i="7"/>
  <c r="J111" i="12" s="1"/>
  <c r="G107" i="7"/>
  <c r="M105" i="7"/>
  <c r="M97" i="7"/>
  <c r="M94" i="7"/>
  <c r="L92" i="7"/>
  <c r="K88" i="7"/>
  <c r="M72" i="7"/>
  <c r="N68" i="7"/>
  <c r="F68" i="7"/>
  <c r="K41" i="7"/>
  <c r="M35" i="7"/>
  <c r="M30" i="7"/>
  <c r="M25" i="7"/>
  <c r="C18" i="7"/>
  <c r="D18" i="7"/>
  <c r="I18" i="7"/>
  <c r="N18" i="7"/>
  <c r="E18" i="7"/>
  <c r="J18" i="7"/>
  <c r="J14" i="7"/>
  <c r="O7" i="7"/>
  <c r="E189" i="6"/>
  <c r="I189" i="6"/>
  <c r="M190" i="12" s="1"/>
  <c r="M189" i="6"/>
  <c r="C187" i="6"/>
  <c r="D187" i="6"/>
  <c r="I187" i="6"/>
  <c r="M187" i="12" s="1"/>
  <c r="N187" i="6"/>
  <c r="E187" i="6"/>
  <c r="J187" i="6"/>
  <c r="N179" i="6"/>
  <c r="C177" i="6"/>
  <c r="G177" i="6"/>
  <c r="K177" i="6"/>
  <c r="O177" i="6"/>
  <c r="D177" i="6"/>
  <c r="H177" i="6"/>
  <c r="L177" i="6"/>
  <c r="D176" i="6"/>
  <c r="E176" i="6"/>
  <c r="M176" i="6"/>
  <c r="G176" i="6"/>
  <c r="O176" i="6"/>
  <c r="M171" i="6"/>
  <c r="B164" i="6"/>
  <c r="C164" i="6"/>
  <c r="L164" i="5" s="1"/>
  <c r="O164" i="6"/>
  <c r="G164" i="6"/>
  <c r="C157" i="6"/>
  <c r="L157" i="5" s="1"/>
  <c r="M157" i="5" s="1"/>
  <c r="E157" i="6"/>
  <c r="I157" i="6"/>
  <c r="M157" i="12" s="1"/>
  <c r="M157" i="6"/>
  <c r="B151" i="6"/>
  <c r="H151" i="6"/>
  <c r="L151" i="12" s="1"/>
  <c r="M151" i="6"/>
  <c r="D151" i="6"/>
  <c r="I151" i="6"/>
  <c r="M151" i="12" s="1"/>
  <c r="N151" i="6"/>
  <c r="E151" i="6"/>
  <c r="J151" i="6"/>
  <c r="C143" i="6"/>
  <c r="L143" i="5" s="1"/>
  <c r="E143" i="6"/>
  <c r="I143" i="6"/>
  <c r="M143" i="12" s="1"/>
  <c r="M143" i="6"/>
  <c r="D49" i="7"/>
  <c r="C45" i="7"/>
  <c r="D45" i="7"/>
  <c r="O45" i="7"/>
  <c r="G45" i="7"/>
  <c r="C22" i="7"/>
  <c r="B22" i="7"/>
  <c r="J22" i="7"/>
  <c r="E22" i="7"/>
  <c r="L22" i="7"/>
  <c r="E20" i="7"/>
  <c r="M20" i="7"/>
  <c r="B173" i="6"/>
  <c r="C173" i="6"/>
  <c r="K173" i="6"/>
  <c r="E173" i="6"/>
  <c r="M173" i="6"/>
  <c r="B160" i="6"/>
  <c r="C160" i="6"/>
  <c r="L160" i="5" s="1"/>
  <c r="O160" i="6"/>
  <c r="G160" i="6"/>
  <c r="I160" i="6"/>
  <c r="B149" i="6"/>
  <c r="F149" i="6"/>
  <c r="J149" i="6"/>
  <c r="N149" i="6"/>
  <c r="C149" i="6"/>
  <c r="G149" i="6"/>
  <c r="K149" i="6"/>
  <c r="R149" i="12" s="1"/>
  <c r="O149" i="6"/>
  <c r="D149" i="6"/>
  <c r="H149" i="6"/>
  <c r="L149" i="6"/>
  <c r="B58" i="7"/>
  <c r="F58" i="7"/>
  <c r="L58" i="7"/>
  <c r="C57" i="7"/>
  <c r="B54" i="7"/>
  <c r="H54" i="7"/>
  <c r="M54" i="7"/>
  <c r="D54" i="7"/>
  <c r="I54" i="7"/>
  <c r="N54" i="7"/>
  <c r="N52" i="7"/>
  <c r="J52" i="7"/>
  <c r="E41" i="7"/>
  <c r="C41" i="7"/>
  <c r="M41" i="7"/>
  <c r="G41" i="7"/>
  <c r="M22" i="7"/>
  <c r="C31" i="7"/>
  <c r="O13" i="7"/>
  <c r="C13" i="7"/>
  <c r="I186" i="6"/>
  <c r="M186" i="12" s="1"/>
  <c r="M183" i="6"/>
  <c r="H183" i="6"/>
  <c r="B183" i="6"/>
  <c r="N181" i="6"/>
  <c r="J181" i="6"/>
  <c r="F181" i="6"/>
  <c r="K180" i="6"/>
  <c r="N180" i="12" s="1"/>
  <c r="C180" i="6"/>
  <c r="N175" i="6"/>
  <c r="D175" i="6"/>
  <c r="F163" i="6"/>
  <c r="M161" i="6"/>
  <c r="H161" i="6"/>
  <c r="B161" i="6"/>
  <c r="L159" i="6"/>
  <c r="I156" i="6"/>
  <c r="Q156" i="12" s="1"/>
  <c r="I153" i="6"/>
  <c r="M153" i="12" s="1"/>
  <c r="N147" i="6"/>
  <c r="D147" i="6"/>
  <c r="K142" i="6"/>
  <c r="H141" i="6"/>
  <c r="P141" i="12" s="1"/>
  <c r="O139" i="6"/>
  <c r="G139" i="6"/>
  <c r="N138" i="6"/>
  <c r="C138" i="6"/>
  <c r="H136" i="6"/>
  <c r="F133" i="6"/>
  <c r="J131" i="6"/>
  <c r="E131" i="6"/>
  <c r="N126" i="6"/>
  <c r="L125" i="6"/>
  <c r="O125" i="12" s="1"/>
  <c r="F123" i="6"/>
  <c r="M120" i="6"/>
  <c r="O116" i="6"/>
  <c r="L115" i="6"/>
  <c r="K114" i="6"/>
  <c r="S114" i="12" s="1"/>
  <c r="M112" i="6"/>
  <c r="H112" i="6"/>
  <c r="M111" i="6"/>
  <c r="G111" i="6"/>
  <c r="C108" i="6"/>
  <c r="I107" i="6"/>
  <c r="M107" i="12" s="1"/>
  <c r="G104" i="6"/>
  <c r="K103" i="6"/>
  <c r="C103" i="6"/>
  <c r="M101" i="6"/>
  <c r="H101" i="6"/>
  <c r="O99" i="6"/>
  <c r="I99" i="6"/>
  <c r="D99" i="6"/>
  <c r="F97" i="6"/>
  <c r="G95" i="6"/>
  <c r="J93" i="6"/>
  <c r="E93" i="6"/>
  <c r="O92" i="6"/>
  <c r="L91" i="6"/>
  <c r="L89" i="6"/>
  <c r="K88" i="6"/>
  <c r="L85" i="6"/>
  <c r="E85" i="6"/>
  <c r="K84" i="6"/>
  <c r="R84" i="12" s="1"/>
  <c r="H81" i="6"/>
  <c r="E80" i="6"/>
  <c r="I80" i="6"/>
  <c r="M80" i="12" s="1"/>
  <c r="L77" i="6"/>
  <c r="O77" i="12" s="1"/>
  <c r="E77" i="6"/>
  <c r="K76" i="6"/>
  <c r="D73" i="6"/>
  <c r="F73" i="6"/>
  <c r="M73" i="6"/>
  <c r="E72" i="6"/>
  <c r="C72" i="6"/>
  <c r="L72" i="5" s="1"/>
  <c r="O72" i="6"/>
  <c r="I67" i="6"/>
  <c r="F61" i="6"/>
  <c r="I55" i="6"/>
  <c r="F49" i="6"/>
  <c r="E49" i="6"/>
  <c r="H49" i="6"/>
  <c r="O47" i="6"/>
  <c r="J46" i="6"/>
  <c r="J38" i="6"/>
  <c r="M33" i="6"/>
  <c r="M25" i="6"/>
  <c r="E25" i="6"/>
  <c r="M21" i="6"/>
  <c r="E21" i="6"/>
  <c r="M11" i="6"/>
  <c r="F159" i="6"/>
  <c r="I154" i="6"/>
  <c r="Q154" i="12" s="1"/>
  <c r="E153" i="6"/>
  <c r="F142" i="6"/>
  <c r="E141" i="6"/>
  <c r="M139" i="6"/>
  <c r="E139" i="6"/>
  <c r="F134" i="6"/>
  <c r="N131" i="6"/>
  <c r="I131" i="6"/>
  <c r="D131" i="6"/>
  <c r="L127" i="6"/>
  <c r="K126" i="6"/>
  <c r="N126" i="12" s="1"/>
  <c r="L121" i="6"/>
  <c r="O121" i="12" s="1"/>
  <c r="L116" i="6"/>
  <c r="O116" i="12" s="1"/>
  <c r="F115" i="6"/>
  <c r="G107" i="6"/>
  <c r="H105" i="6"/>
  <c r="M99" i="6"/>
  <c r="H99" i="6"/>
  <c r="L99" i="12" s="1"/>
  <c r="M97" i="6"/>
  <c r="B97" i="6"/>
  <c r="O95" i="6"/>
  <c r="D95" i="6"/>
  <c r="N93" i="6"/>
  <c r="I93" i="6"/>
  <c r="M93" i="12" s="1"/>
  <c r="D93" i="6"/>
  <c r="K92" i="6"/>
  <c r="G91" i="6"/>
  <c r="H89" i="6"/>
  <c r="J85" i="6"/>
  <c r="F81" i="6"/>
  <c r="C79" i="6"/>
  <c r="I79" i="6"/>
  <c r="J77" i="6"/>
  <c r="C75" i="6"/>
  <c r="I75" i="6"/>
  <c r="Q75" i="12" s="1"/>
  <c r="E71" i="6"/>
  <c r="I71" i="6"/>
  <c r="G68" i="6"/>
  <c r="C68" i="6"/>
  <c r="L68" i="5" s="1"/>
  <c r="G67" i="6"/>
  <c r="C63" i="6"/>
  <c r="E63" i="6"/>
  <c r="C59" i="6"/>
  <c r="B59" i="6"/>
  <c r="H59" i="6"/>
  <c r="M59" i="6"/>
  <c r="D59" i="6"/>
  <c r="I59" i="6"/>
  <c r="Q59" i="12" s="1"/>
  <c r="N59" i="6"/>
  <c r="D57" i="6"/>
  <c r="L57" i="6"/>
  <c r="O57" i="12" s="1"/>
  <c r="G55" i="6"/>
  <c r="L47" i="6"/>
  <c r="B43" i="6"/>
  <c r="F43" i="6"/>
  <c r="I43" i="6"/>
  <c r="Q43" i="12" s="1"/>
  <c r="E35" i="6"/>
  <c r="G35" i="6"/>
  <c r="O35" i="6"/>
  <c r="I35" i="6"/>
  <c r="Q35" i="12" s="1"/>
  <c r="J33" i="6"/>
  <c r="L25" i="6"/>
  <c r="L21" i="6"/>
  <c r="E19" i="6"/>
  <c r="H19" i="6"/>
  <c r="H14" i="6"/>
  <c r="L14" i="12" s="1"/>
  <c r="E14" i="6"/>
  <c r="L14" i="6"/>
  <c r="D11" i="6"/>
  <c r="I11" i="6"/>
  <c r="N11" i="6"/>
  <c r="E11" i="6"/>
  <c r="J11" i="6"/>
  <c r="B181" i="10"/>
  <c r="C181" i="10"/>
  <c r="K181" i="10"/>
  <c r="E181" i="10"/>
  <c r="M181" i="10"/>
  <c r="G181" i="10"/>
  <c r="O181" i="10"/>
  <c r="K139" i="6"/>
  <c r="C139" i="6"/>
  <c r="L137" i="6"/>
  <c r="O137" i="12" s="1"/>
  <c r="M131" i="6"/>
  <c r="H131" i="6"/>
  <c r="B131" i="6"/>
  <c r="G127" i="6"/>
  <c r="C126" i="6"/>
  <c r="F121" i="6"/>
  <c r="I117" i="6"/>
  <c r="Q117" i="12" s="1"/>
  <c r="D116" i="6"/>
  <c r="O107" i="6"/>
  <c r="D107" i="6"/>
  <c r="O100" i="6"/>
  <c r="M93" i="6"/>
  <c r="H93" i="6"/>
  <c r="P93" i="12" s="1"/>
  <c r="C92" i="6"/>
  <c r="L92" i="5" s="1"/>
  <c r="E89" i="6"/>
  <c r="B85" i="6"/>
  <c r="H85" i="6"/>
  <c r="M85" i="6"/>
  <c r="G84" i="6"/>
  <c r="I84" i="6"/>
  <c r="Q84" i="12" s="1"/>
  <c r="M81" i="6"/>
  <c r="B77" i="6"/>
  <c r="H77" i="6"/>
  <c r="M77" i="6"/>
  <c r="G76" i="6"/>
  <c r="I76" i="6"/>
  <c r="O67" i="6"/>
  <c r="D64" i="6"/>
  <c r="G64" i="6"/>
  <c r="K62" i="6"/>
  <c r="N55" i="6"/>
  <c r="E46" i="6"/>
  <c r="C46" i="6"/>
  <c r="L46" i="5" s="1"/>
  <c r="N46" i="6"/>
  <c r="F46" i="6"/>
  <c r="O46" i="6"/>
  <c r="F38" i="6"/>
  <c r="O38" i="6"/>
  <c r="G38" i="6"/>
  <c r="I28" i="6"/>
  <c r="L26" i="6"/>
  <c r="B25" i="6"/>
  <c r="F25" i="6"/>
  <c r="J25" i="6"/>
  <c r="N25" i="6"/>
  <c r="C25" i="6"/>
  <c r="G25" i="6"/>
  <c r="K25" i="6"/>
  <c r="S25" i="12" s="1"/>
  <c r="O25" i="6"/>
  <c r="L22" i="6"/>
  <c r="B21" i="6"/>
  <c r="F21" i="6"/>
  <c r="J21" i="6"/>
  <c r="N21" i="6"/>
  <c r="C21" i="6"/>
  <c r="G21" i="6"/>
  <c r="K21" i="6"/>
  <c r="S21" i="12" s="1"/>
  <c r="O21" i="6"/>
  <c r="C189" i="10"/>
  <c r="K189" i="10"/>
  <c r="E189" i="10"/>
  <c r="M189" i="10"/>
  <c r="G189" i="10"/>
  <c r="O189" i="10"/>
  <c r="D81" i="6"/>
  <c r="B81" i="6"/>
  <c r="J81" i="6"/>
  <c r="C67" i="6"/>
  <c r="L67" i="5" s="1"/>
  <c r="K67" i="6"/>
  <c r="N67" i="12" s="1"/>
  <c r="C55" i="6"/>
  <c r="L55" i="5" s="1"/>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M39" i="12" s="1"/>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H243" i="2"/>
  <c r="F245" i="2"/>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163" i="5"/>
  <c r="C159" i="5"/>
  <c r="C155" i="5"/>
  <c r="K147" i="5"/>
  <c r="N146" i="5"/>
  <c r="O145" i="5"/>
  <c r="C145" i="5"/>
  <c r="C143" i="5"/>
  <c r="I142" i="5"/>
  <c r="K137" i="5"/>
  <c r="N135" i="5"/>
  <c r="K131" i="5"/>
  <c r="N130" i="5"/>
  <c r="O129" i="5"/>
  <c r="C129" i="5"/>
  <c r="C127" i="5"/>
  <c r="I126" i="5"/>
  <c r="K121" i="5"/>
  <c r="N119" i="5"/>
  <c r="P119" i="5" s="1"/>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P48" i="5" s="1"/>
  <c r="C48" i="5"/>
  <c r="K46" i="5"/>
  <c r="N45" i="5"/>
  <c r="O44" i="5"/>
  <c r="C44" i="5"/>
  <c r="K42" i="5"/>
  <c r="N41" i="5"/>
  <c r="O40" i="5"/>
  <c r="C40" i="5"/>
  <c r="K38" i="5"/>
  <c r="N37" i="5"/>
  <c r="O36" i="5"/>
  <c r="C36" i="5"/>
  <c r="K34" i="5"/>
  <c r="N33" i="5"/>
  <c r="O32" i="5"/>
  <c r="C32" i="5"/>
  <c r="K30" i="5"/>
  <c r="N29" i="5"/>
  <c r="O28" i="5"/>
  <c r="C28" i="5"/>
  <c r="K26" i="5"/>
  <c r="N25" i="5"/>
  <c r="O24" i="5"/>
  <c r="C24" i="5"/>
  <c r="K22" i="5"/>
  <c r="N21" i="5"/>
  <c r="O20" i="5"/>
  <c r="C20" i="5"/>
  <c r="K18" i="5"/>
  <c r="N17" i="5"/>
  <c r="O16" i="5"/>
  <c r="C16" i="5"/>
  <c r="K14" i="5"/>
  <c r="N13" i="5"/>
  <c r="O12" i="5"/>
  <c r="P12" i="5" s="1"/>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I160" i="5"/>
  <c r="N159" i="5"/>
  <c r="P159" i="5" s="1"/>
  <c r="N155" i="5"/>
  <c r="I150" i="5"/>
  <c r="N143" i="5"/>
  <c r="O137" i="5"/>
  <c r="P137" i="5" s="1"/>
  <c r="C135" i="5"/>
  <c r="I134" i="5"/>
  <c r="N127" i="5"/>
  <c r="O121" i="5"/>
  <c r="C119" i="5"/>
  <c r="I118" i="5"/>
  <c r="N111" i="5"/>
  <c r="P111" i="5" s="1"/>
  <c r="N108" i="5"/>
  <c r="N107" i="5"/>
  <c r="N104" i="5"/>
  <c r="N103" i="5"/>
  <c r="N100" i="5"/>
  <c r="N99" i="5"/>
  <c r="N96" i="5"/>
  <c r="N95" i="5"/>
  <c r="N92" i="5"/>
  <c r="N91" i="5"/>
  <c r="N88" i="5"/>
  <c r="N87" i="5"/>
  <c r="P87" i="5" s="1"/>
  <c r="N84" i="5"/>
  <c r="N83" i="5"/>
  <c r="P83" i="5" s="1"/>
  <c r="N80" i="5"/>
  <c r="N79" i="5"/>
  <c r="N76" i="5"/>
  <c r="N75" i="5"/>
  <c r="N72" i="5"/>
  <c r="N71" i="5"/>
  <c r="N68" i="5"/>
  <c r="N67" i="5"/>
  <c r="P67" i="5" s="1"/>
  <c r="N64" i="5"/>
  <c r="N63" i="5"/>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D172" i="14"/>
  <c r="B172" i="14"/>
  <c r="G172" i="14" s="1"/>
  <c r="B169" i="14"/>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B99" i="14"/>
  <c r="F97" i="14"/>
  <c r="B97" i="14"/>
  <c r="G97" i="14" s="1"/>
  <c r="B91" i="14"/>
  <c r="C89" i="14"/>
  <c r="E87" i="14"/>
  <c r="G87" i="14" s="1"/>
  <c r="E79" i="14"/>
  <c r="G79" i="14" s="1"/>
  <c r="B77" i="14"/>
  <c r="E75" i="14"/>
  <c r="B73" i="14"/>
  <c r="E71" i="14"/>
  <c r="B69" i="14"/>
  <c r="E67" i="14"/>
  <c r="B65" i="14"/>
  <c r="E63" i="14"/>
  <c r="B61" i="14"/>
  <c r="F57" i="14"/>
  <c r="B57" i="14"/>
  <c r="B49" i="14"/>
  <c r="D41" i="14"/>
  <c r="B35" i="14"/>
  <c r="D31" i="14"/>
  <c r="B27" i="14"/>
  <c r="F25" i="14"/>
  <c r="B25" i="14"/>
  <c r="E23" i="14"/>
  <c r="E21" i="14"/>
  <c r="B19" i="14"/>
  <c r="F17" i="14"/>
  <c r="B17" i="14"/>
  <c r="G17" i="14" s="1"/>
  <c r="E11" i="14"/>
  <c r="E10" i="14"/>
  <c r="D9" i="14"/>
  <c r="E8" i="14"/>
  <c r="D7" i="14"/>
  <c r="F129" i="14"/>
  <c r="B123" i="14"/>
  <c r="B119" i="14"/>
  <c r="B111" i="14"/>
  <c r="F109" i="14"/>
  <c r="F103" i="14"/>
  <c r="E99" i="14"/>
  <c r="E96" i="14"/>
  <c r="F91" i="14"/>
  <c r="E77" i="14"/>
  <c r="E73" i="14"/>
  <c r="E69" i="14"/>
  <c r="E65" i="14"/>
  <c r="E61" i="14"/>
  <c r="F56" i="14"/>
  <c r="E49" i="14"/>
  <c r="F48" i="14"/>
  <c r="F41" i="14"/>
  <c r="F35" i="14"/>
  <c r="E34" i="14"/>
  <c r="E27" i="14"/>
  <c r="E26" i="14"/>
  <c r="E19" i="14"/>
  <c r="E18" i="14"/>
  <c r="E16" i="14"/>
  <c r="G16" i="14" s="1"/>
  <c r="B11" i="14"/>
  <c r="F9" i="14"/>
  <c r="C183" i="2"/>
  <c r="I183" i="2"/>
  <c r="E183" i="2"/>
  <c r="Q183" i="2"/>
  <c r="B183" i="2"/>
  <c r="H183" i="2"/>
  <c r="M183" i="2"/>
  <c r="D183" i="2"/>
  <c r="P183" i="2"/>
  <c r="C179" i="2"/>
  <c r="D179" i="2"/>
  <c r="L179" i="2"/>
  <c r="Q179" i="2"/>
  <c r="E179" i="2"/>
  <c r="M179" i="2"/>
  <c r="R179" i="2"/>
  <c r="B179" i="2"/>
  <c r="I179" i="2"/>
  <c r="J179" i="2" s="1"/>
  <c r="K179" i="2" s="1"/>
  <c r="P179" i="2"/>
  <c r="C185" i="2"/>
  <c r="D185" i="2"/>
  <c r="G185" i="2" s="1"/>
  <c r="P185" i="2"/>
  <c r="B185" i="2"/>
  <c r="H185" i="2"/>
  <c r="M185" i="2"/>
  <c r="R185" i="2"/>
  <c r="I185" i="2"/>
  <c r="S185" i="2"/>
  <c r="D193" i="2"/>
  <c r="P193" i="2"/>
  <c r="B193" i="2"/>
  <c r="H193" i="2"/>
  <c r="M193" i="2"/>
  <c r="R193" i="2"/>
  <c r="C193" i="2"/>
  <c r="I193" i="2"/>
  <c r="S193" i="2"/>
  <c r="R183" i="2"/>
  <c r="C180" i="2"/>
  <c r="Q180" i="2"/>
  <c r="I180" i="2"/>
  <c r="L193" i="2"/>
  <c r="G189" i="2"/>
  <c r="Q185" i="2"/>
  <c r="L183" i="2"/>
  <c r="E167" i="2"/>
  <c r="R181" i="2"/>
  <c r="Q171" i="2"/>
  <c r="L171" i="2"/>
  <c r="E171" i="2"/>
  <c r="Q167" i="2"/>
  <c r="L167" i="2"/>
  <c r="D167" i="2"/>
  <c r="L159" i="2"/>
  <c r="D159" i="2"/>
  <c r="M192" i="2"/>
  <c r="E177" i="2"/>
  <c r="G177" i="2" s="1"/>
  <c r="I174" i="2"/>
  <c r="P171" i="2"/>
  <c r="D171" i="2"/>
  <c r="F171" i="2" s="1"/>
  <c r="C167" i="2"/>
  <c r="P159" i="2"/>
  <c r="C159" i="2"/>
  <c r="Q158" i="2"/>
  <c r="Q157" i="2"/>
  <c r="P155" i="2"/>
  <c r="I155" i="2"/>
  <c r="D155" i="2"/>
  <c r="P151" i="2"/>
  <c r="C151" i="2"/>
  <c r="Q150" i="2"/>
  <c r="Q149" i="2"/>
  <c r="L141" i="2"/>
  <c r="Q191" i="2"/>
  <c r="E191" i="2"/>
  <c r="S190" i="2"/>
  <c r="E190" i="2"/>
  <c r="R187" i="2"/>
  <c r="M187" i="2"/>
  <c r="E187" i="2"/>
  <c r="Q186" i="2"/>
  <c r="P181" i="2"/>
  <c r="H181" i="2"/>
  <c r="C181" i="2"/>
  <c r="F181" i="2" s="1"/>
  <c r="P177" i="2"/>
  <c r="S176" i="2"/>
  <c r="E176" i="2"/>
  <c r="Q175" i="2"/>
  <c r="E175" i="2"/>
  <c r="S174" i="2"/>
  <c r="S171" i="2"/>
  <c r="I171" i="2"/>
  <c r="B171" i="2"/>
  <c r="L169" i="2"/>
  <c r="L168" i="2"/>
  <c r="S167" i="2"/>
  <c r="H167" i="2"/>
  <c r="B167" i="2"/>
  <c r="I166" i="2"/>
  <c r="L165" i="2"/>
  <c r="S163" i="2"/>
  <c r="M163" i="2"/>
  <c r="H163" i="2"/>
  <c r="C163" i="2"/>
  <c r="L161" i="2"/>
  <c r="L160" i="2"/>
  <c r="S159" i="2"/>
  <c r="H159" i="2"/>
  <c r="B159" i="2"/>
  <c r="L157" i="2"/>
  <c r="S155" i="2"/>
  <c r="M155" i="2"/>
  <c r="H155" i="2"/>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J96" i="2" s="1"/>
  <c r="K96" i="2" s="1"/>
  <c r="Q95" i="2"/>
  <c r="S92" i="2"/>
  <c r="I92" i="2"/>
  <c r="J92" i="2" s="1"/>
  <c r="K92" i="2" s="1"/>
  <c r="C92" i="2"/>
  <c r="I91" i="2"/>
  <c r="I90" i="2"/>
  <c r="L89" i="2"/>
  <c r="L86" i="2"/>
  <c r="P84" i="2"/>
  <c r="S83" i="2"/>
  <c r="Q81" i="2"/>
  <c r="S80" i="2"/>
  <c r="M80" i="2"/>
  <c r="N80" i="2" s="1"/>
  <c r="O80" i="2" s="1"/>
  <c r="B80" i="2"/>
  <c r="I77" i="2"/>
  <c r="Q74" i="2"/>
  <c r="B72" i="2"/>
  <c r="M72" i="2"/>
  <c r="S72" i="2"/>
  <c r="L70" i="2"/>
  <c r="I67" i="2"/>
  <c r="R64" i="2"/>
  <c r="I64" i="2"/>
  <c r="L62" i="2"/>
  <c r="S60" i="2"/>
  <c r="L60" i="2"/>
  <c r="I58" i="2"/>
  <c r="I57" i="2"/>
  <c r="D57" i="2"/>
  <c r="M56" i="2"/>
  <c r="L53" i="2"/>
  <c r="Q52" i="2"/>
  <c r="Q50" i="2"/>
  <c r="D46" i="2"/>
  <c r="L46" i="2"/>
  <c r="S44" i="2"/>
  <c r="M44" i="2"/>
  <c r="D42" i="2"/>
  <c r="I41" i="2"/>
  <c r="Q41" i="2"/>
  <c r="L40" i="2"/>
  <c r="M32" i="2"/>
  <c r="N32" i="2" s="1"/>
  <c r="O32" i="2" s="1"/>
  <c r="B28" i="2"/>
  <c r="H28" i="2"/>
  <c r="M28" i="2"/>
  <c r="R28" i="2"/>
  <c r="Q26" i="2"/>
  <c r="R24" i="2"/>
  <c r="H24" i="2"/>
  <c r="D20" i="2"/>
  <c r="I20" i="2"/>
  <c r="S20" i="2"/>
  <c r="Q12" i="2"/>
  <c r="C6" i="3"/>
  <c r="O6" i="3" s="1"/>
  <c r="H10" i="2"/>
  <c r="B188" i="3"/>
  <c r="I188" i="3"/>
  <c r="O188" i="3"/>
  <c r="P186" i="3"/>
  <c r="B182" i="3"/>
  <c r="D182" i="3"/>
  <c r="E182" i="3" s="1"/>
  <c r="M182" i="3"/>
  <c r="M179" i="3"/>
  <c r="B175" i="3"/>
  <c r="G175" i="3"/>
  <c r="M175" i="3"/>
  <c r="Q175" i="3"/>
  <c r="B174" i="3"/>
  <c r="G174" i="3"/>
  <c r="O174" i="3"/>
  <c r="B172" i="3"/>
  <c r="M172" i="3"/>
  <c r="P170" i="3"/>
  <c r="P167" i="3"/>
  <c r="I167" i="3"/>
  <c r="B166" i="3"/>
  <c r="C166" i="3"/>
  <c r="L166" i="3"/>
  <c r="Q166" i="3"/>
  <c r="Q164" i="3"/>
  <c r="B163" i="3"/>
  <c r="G163" i="3"/>
  <c r="M163" i="3"/>
  <c r="Q163" i="3"/>
  <c r="B162" i="3"/>
  <c r="G162" i="3"/>
  <c r="O162" i="3"/>
  <c r="Q159" i="3"/>
  <c r="L159" i="3"/>
  <c r="O158" i="3"/>
  <c r="M155" i="3"/>
  <c r="J152" i="3"/>
  <c r="K152" i="3" s="1"/>
  <c r="P151" i="3"/>
  <c r="J151" i="3"/>
  <c r="M150" i="3"/>
  <c r="B148" i="3"/>
  <c r="I148" i="3"/>
  <c r="M147" i="3"/>
  <c r="P146" i="3"/>
  <c r="C143" i="3"/>
  <c r="E143" i="3" s="1"/>
  <c r="I143" i="3"/>
  <c r="N143" i="3"/>
  <c r="P139" i="3"/>
  <c r="J139" i="3"/>
  <c r="M138" i="3"/>
  <c r="D137" i="3"/>
  <c r="Q137" i="3"/>
  <c r="Q134" i="3"/>
  <c r="L131" i="3"/>
  <c r="P130" i="3"/>
  <c r="N129" i="3"/>
  <c r="M127" i="3"/>
  <c r="B126" i="3"/>
  <c r="C126" i="3"/>
  <c r="O126" i="3"/>
  <c r="O123" i="3"/>
  <c r="M116" i="3"/>
  <c r="D115" i="3"/>
  <c r="O115" i="3"/>
  <c r="G115" i="3"/>
  <c r="E115" i="5" s="1"/>
  <c r="Q115" i="3"/>
  <c r="B114" i="3"/>
  <c r="M114" i="3"/>
  <c r="F114" i="3"/>
  <c r="P114" i="3"/>
  <c r="Q111" i="3"/>
  <c r="D110" i="3"/>
  <c r="N110" i="3"/>
  <c r="F110" i="3"/>
  <c r="Q110" i="3"/>
  <c r="B109" i="3"/>
  <c r="M109" i="3"/>
  <c r="F109" i="3"/>
  <c r="H109" i="3" s="1"/>
  <c r="O109" i="3"/>
  <c r="G107" i="3"/>
  <c r="E107" i="5" s="1"/>
  <c r="L107" i="3"/>
  <c r="D88" i="3"/>
  <c r="J88" i="3"/>
  <c r="O88" i="3"/>
  <c r="B88" i="3"/>
  <c r="G88" i="3"/>
  <c r="E88" i="5" s="1"/>
  <c r="M88" i="3"/>
  <c r="Q88" i="3"/>
  <c r="C88" i="3"/>
  <c r="I88" i="3"/>
  <c r="N88" i="3"/>
  <c r="D84" i="3"/>
  <c r="J84" i="3"/>
  <c r="O84" i="3"/>
  <c r="B84" i="3"/>
  <c r="G84" i="3"/>
  <c r="M84" i="3"/>
  <c r="Q84" i="3"/>
  <c r="C84" i="3"/>
  <c r="I84" i="3"/>
  <c r="N84" i="3"/>
  <c r="H171" i="2"/>
  <c r="Q132" i="2"/>
  <c r="L132" i="2"/>
  <c r="E132" i="2"/>
  <c r="Q130" i="2"/>
  <c r="C64" i="2"/>
  <c r="H64" i="2"/>
  <c r="P64" i="2"/>
  <c r="I55" i="2"/>
  <c r="Q55" i="2"/>
  <c r="C52" i="2"/>
  <c r="I52" i="2"/>
  <c r="S52" i="2"/>
  <c r="C43" i="2"/>
  <c r="S43" i="2"/>
  <c r="D37" i="2"/>
  <c r="I37" i="2"/>
  <c r="I31" i="2"/>
  <c r="C31" i="2"/>
  <c r="D29" i="2"/>
  <c r="L29" i="2"/>
  <c r="D24" i="2"/>
  <c r="I24" i="2"/>
  <c r="Q24" i="2"/>
  <c r="D185" i="3"/>
  <c r="M185" i="3"/>
  <c r="D181" i="3"/>
  <c r="P181" i="3"/>
  <c r="I173" i="3"/>
  <c r="Q173" i="3"/>
  <c r="D169" i="3"/>
  <c r="M169" i="3"/>
  <c r="D167" i="3"/>
  <c r="J167" i="3"/>
  <c r="O167" i="3"/>
  <c r="B158" i="3"/>
  <c r="C158" i="3"/>
  <c r="L158" i="3"/>
  <c r="Q158" i="3"/>
  <c r="B151" i="3"/>
  <c r="G151" i="3"/>
  <c r="M151" i="3"/>
  <c r="Q151" i="3"/>
  <c r="B150" i="3"/>
  <c r="G150" i="3"/>
  <c r="E150" i="5" s="1"/>
  <c r="O150" i="3"/>
  <c r="B139" i="3"/>
  <c r="G139" i="3"/>
  <c r="E139" i="5" s="1"/>
  <c r="M139" i="3"/>
  <c r="Q139" i="3"/>
  <c r="B138" i="3"/>
  <c r="G138" i="3"/>
  <c r="E138" i="5" s="1"/>
  <c r="O138" i="3"/>
  <c r="F136" i="3"/>
  <c r="Q136" i="3"/>
  <c r="B123" i="3"/>
  <c r="G123" i="3"/>
  <c r="M123" i="3"/>
  <c r="Q123" i="3"/>
  <c r="C123" i="3"/>
  <c r="E123" i="3" s="1"/>
  <c r="I123" i="3"/>
  <c r="N123" i="3"/>
  <c r="C116" i="3"/>
  <c r="I116" i="3"/>
  <c r="N116" i="3"/>
  <c r="D116" i="3"/>
  <c r="J116" i="3"/>
  <c r="O116" i="3"/>
  <c r="D111" i="3"/>
  <c r="E111" i="3" s="1"/>
  <c r="M111" i="3"/>
  <c r="G111" i="3"/>
  <c r="O111" i="3"/>
  <c r="D100" i="3"/>
  <c r="J100" i="3"/>
  <c r="O100" i="3"/>
  <c r="B100" i="3"/>
  <c r="G100" i="3"/>
  <c r="H100" i="3" s="1"/>
  <c r="M100" i="3"/>
  <c r="Q100" i="3"/>
  <c r="C100" i="3"/>
  <c r="I100" i="3"/>
  <c r="N100" i="3"/>
  <c r="M176" i="2"/>
  <c r="Q159" i="2"/>
  <c r="Q151" i="2"/>
  <c r="L151" i="2"/>
  <c r="D151" i="2"/>
  <c r="P132" i="2"/>
  <c r="D132" i="2"/>
  <c r="F132" i="2" s="1"/>
  <c r="L130" i="2"/>
  <c r="Q129" i="2"/>
  <c r="Q112" i="2"/>
  <c r="I112" i="2"/>
  <c r="D112" i="2"/>
  <c r="P100" i="2"/>
  <c r="D100" i="2"/>
  <c r="L98" i="2"/>
  <c r="Q97" i="2"/>
  <c r="Q80" i="2"/>
  <c r="I80" i="2"/>
  <c r="D80" i="2"/>
  <c r="I73" i="2"/>
  <c r="Q73" i="2"/>
  <c r="M64" i="2"/>
  <c r="E64" i="2"/>
  <c r="B60" i="2"/>
  <c r="H60" i="2"/>
  <c r="J60" i="2" s="1"/>
  <c r="K60" i="2" s="1"/>
  <c r="M60" i="2"/>
  <c r="R60" i="2"/>
  <c r="Q58" i="2"/>
  <c r="M52" i="2"/>
  <c r="E52" i="2"/>
  <c r="I49" i="2"/>
  <c r="L49" i="2"/>
  <c r="Q42" i="2"/>
  <c r="B40" i="2"/>
  <c r="M40" i="2"/>
  <c r="S40" i="2"/>
  <c r="I25" i="2"/>
  <c r="D25" i="2"/>
  <c r="M24" i="2"/>
  <c r="E24" i="2"/>
  <c r="C13" i="2"/>
  <c r="I13" i="2"/>
  <c r="C12" i="2"/>
  <c r="F12" i="2" s="1"/>
  <c r="H12" i="2"/>
  <c r="M12" i="2"/>
  <c r="R12" i="2"/>
  <c r="B186" i="3"/>
  <c r="D186" i="3"/>
  <c r="M186" i="3"/>
  <c r="B184" i="3"/>
  <c r="N184" i="3"/>
  <c r="M181" i="3"/>
  <c r="I176" i="3"/>
  <c r="Q176" i="3"/>
  <c r="M173" i="3"/>
  <c r="B170" i="3"/>
  <c r="D170" i="3"/>
  <c r="M170" i="3"/>
  <c r="B168" i="3"/>
  <c r="N168" i="3"/>
  <c r="M167" i="3"/>
  <c r="F167" i="3"/>
  <c r="H167" i="3" s="1"/>
  <c r="D161" i="3"/>
  <c r="Q161" i="3"/>
  <c r="D159" i="3"/>
  <c r="J159" i="3"/>
  <c r="O159" i="3"/>
  <c r="I158" i="3"/>
  <c r="N151" i="3"/>
  <c r="F151" i="3"/>
  <c r="Q150" i="3"/>
  <c r="I150" i="3"/>
  <c r="I149" i="3"/>
  <c r="Q149" i="3"/>
  <c r="B146" i="3"/>
  <c r="C146" i="3"/>
  <c r="L146" i="3"/>
  <c r="Q146" i="3"/>
  <c r="N139" i="3"/>
  <c r="F139" i="3"/>
  <c r="Q138" i="3"/>
  <c r="I138" i="3"/>
  <c r="J136" i="3"/>
  <c r="B131" i="3"/>
  <c r="G131" i="3"/>
  <c r="M131" i="3"/>
  <c r="Q131" i="3"/>
  <c r="B130" i="3"/>
  <c r="G130" i="3"/>
  <c r="O130" i="3"/>
  <c r="C129" i="3"/>
  <c r="D129" i="3"/>
  <c r="L129" i="3"/>
  <c r="Q129" i="3"/>
  <c r="J123" i="3"/>
  <c r="Q116" i="3"/>
  <c r="G116" i="3"/>
  <c r="L111" i="3"/>
  <c r="P100" i="3"/>
  <c r="L88" i="3"/>
  <c r="D80" i="3"/>
  <c r="J80" i="3"/>
  <c r="O80" i="3"/>
  <c r="B80" i="3"/>
  <c r="G80" i="3"/>
  <c r="M80" i="3"/>
  <c r="Q80" i="3"/>
  <c r="C80" i="3"/>
  <c r="I80" i="3"/>
  <c r="N80" i="3"/>
  <c r="M171" i="2"/>
  <c r="R151" i="2"/>
  <c r="M151" i="2"/>
  <c r="E151" i="2"/>
  <c r="L181" i="2"/>
  <c r="E181" i="2"/>
  <c r="G181" i="2" s="1"/>
  <c r="Q155" i="2"/>
  <c r="H187" i="2"/>
  <c r="Q181" i="2"/>
  <c r="I181" i="2"/>
  <c r="P167" i="2"/>
  <c r="Q165" i="2"/>
  <c r="P163" i="2"/>
  <c r="I163" i="2"/>
  <c r="Q136" i="2"/>
  <c r="I136" i="2"/>
  <c r="Q135" i="2"/>
  <c r="S132" i="2"/>
  <c r="I132" i="2"/>
  <c r="L129" i="2"/>
  <c r="P124" i="2"/>
  <c r="S123" i="2"/>
  <c r="Q121" i="2"/>
  <c r="F120" i="2"/>
  <c r="P112" i="2"/>
  <c r="H112" i="2"/>
  <c r="L109" i="2"/>
  <c r="Q104" i="2"/>
  <c r="I104" i="2"/>
  <c r="Q103" i="2"/>
  <c r="S100" i="2"/>
  <c r="I100" i="2"/>
  <c r="L97" i="2"/>
  <c r="P92" i="2"/>
  <c r="S91" i="2"/>
  <c r="Q89" i="2"/>
  <c r="P80" i="2"/>
  <c r="H80" i="2"/>
  <c r="L77" i="2"/>
  <c r="D69" i="2"/>
  <c r="I69" i="2"/>
  <c r="S67" i="2"/>
  <c r="S64" i="2"/>
  <c r="L64" i="2"/>
  <c r="D64" i="2"/>
  <c r="I63" i="2"/>
  <c r="C63" i="2"/>
  <c r="D61" i="2"/>
  <c r="L61" i="2"/>
  <c r="E60" i="2"/>
  <c r="L58" i="2"/>
  <c r="D56" i="2"/>
  <c r="I56" i="2"/>
  <c r="Q56" i="2"/>
  <c r="R52" i="2"/>
  <c r="L52" i="2"/>
  <c r="D52" i="2"/>
  <c r="F52" i="2" s="1"/>
  <c r="C51" i="2"/>
  <c r="I51" i="2"/>
  <c r="D44" i="2"/>
  <c r="F44" i="2" s="1"/>
  <c r="P44" i="2"/>
  <c r="I42" i="2"/>
  <c r="P40" i="2"/>
  <c r="E40" i="2"/>
  <c r="C32" i="2"/>
  <c r="H32" i="2"/>
  <c r="J32" i="2" s="1"/>
  <c r="K32" i="2" s="1"/>
  <c r="P32" i="2"/>
  <c r="S24" i="2"/>
  <c r="L24" i="2"/>
  <c r="C24" i="2"/>
  <c r="Q13" i="2"/>
  <c r="S12" i="2"/>
  <c r="L12" i="2"/>
  <c r="E12" i="2"/>
  <c r="G12" i="2" s="1"/>
  <c r="Q186" i="3"/>
  <c r="I186" i="3"/>
  <c r="Q185" i="3"/>
  <c r="J184" i="3"/>
  <c r="L181" i="3"/>
  <c r="C179" i="3"/>
  <c r="I179" i="3"/>
  <c r="N179" i="3"/>
  <c r="J176" i="3"/>
  <c r="L173" i="3"/>
  <c r="Q170" i="3"/>
  <c r="I170" i="3"/>
  <c r="Q169" i="3"/>
  <c r="J168" i="3"/>
  <c r="K168" i="3" s="1"/>
  <c r="Q167" i="3"/>
  <c r="L167" i="3"/>
  <c r="C167" i="3"/>
  <c r="M160" i="3"/>
  <c r="B160" i="3"/>
  <c r="N160" i="3"/>
  <c r="M159" i="3"/>
  <c r="F159" i="3"/>
  <c r="H159" i="3" s="1"/>
  <c r="P158" i="3"/>
  <c r="G158" i="3"/>
  <c r="C155" i="3"/>
  <c r="E155" i="3" s="1"/>
  <c r="I155" i="3"/>
  <c r="K155" i="3" s="1"/>
  <c r="N155" i="3"/>
  <c r="L151" i="3"/>
  <c r="D151" i="3"/>
  <c r="P150" i="3"/>
  <c r="D150" i="3"/>
  <c r="M149" i="3"/>
  <c r="D147" i="3"/>
  <c r="E147" i="3" s="1"/>
  <c r="J147" i="3"/>
  <c r="K147" i="3" s="1"/>
  <c r="O147" i="3"/>
  <c r="I146" i="3"/>
  <c r="B140" i="3"/>
  <c r="Q140" i="3"/>
  <c r="L139" i="3"/>
  <c r="D139" i="3"/>
  <c r="E139" i="3" s="1"/>
  <c r="P138" i="3"/>
  <c r="D138" i="3"/>
  <c r="E138" i="3" s="1"/>
  <c r="I136" i="3"/>
  <c r="B134" i="3"/>
  <c r="D134" i="3"/>
  <c r="M134" i="3"/>
  <c r="N131" i="3"/>
  <c r="F131" i="3"/>
  <c r="Q130" i="3"/>
  <c r="I130" i="3"/>
  <c r="P129" i="3"/>
  <c r="I129" i="3"/>
  <c r="C127" i="3"/>
  <c r="I127" i="3"/>
  <c r="N127" i="3"/>
  <c r="P123" i="3"/>
  <c r="F123" i="3"/>
  <c r="M120" i="3"/>
  <c r="Q120" i="3"/>
  <c r="P116" i="3"/>
  <c r="F116" i="3"/>
  <c r="I111" i="3"/>
  <c r="F105" i="3"/>
  <c r="I105" i="3"/>
  <c r="L100" i="3"/>
  <c r="G95" i="3"/>
  <c r="E95" i="5" s="1"/>
  <c r="O95" i="3"/>
  <c r="C95" i="3"/>
  <c r="L95" i="3"/>
  <c r="Q95" i="3"/>
  <c r="D95" i="3"/>
  <c r="M95" i="3"/>
  <c r="F90" i="3"/>
  <c r="M90" i="3"/>
  <c r="B90" i="3"/>
  <c r="J90" i="3"/>
  <c r="K90" i="3" s="1"/>
  <c r="P90" i="3"/>
  <c r="D90" i="3"/>
  <c r="L90" i="3"/>
  <c r="Q90" i="3"/>
  <c r="F88" i="3"/>
  <c r="F84" i="3"/>
  <c r="P80" i="3"/>
  <c r="O92" i="3"/>
  <c r="J92" i="3"/>
  <c r="D92" i="3"/>
  <c r="E92" i="3" s="1"/>
  <c r="Q91" i="3"/>
  <c r="I78" i="3"/>
  <c r="Q77" i="3"/>
  <c r="G77" i="3"/>
  <c r="E77" i="5" s="1"/>
  <c r="F73" i="3"/>
  <c r="L71" i="3"/>
  <c r="Q70" i="3"/>
  <c r="Q69" i="3"/>
  <c r="J69" i="3"/>
  <c r="C69" i="3"/>
  <c r="I67" i="3"/>
  <c r="Q66" i="3"/>
  <c r="J66" i="3"/>
  <c r="Q65" i="3"/>
  <c r="M63" i="3"/>
  <c r="D63" i="3"/>
  <c r="O60" i="3"/>
  <c r="J60" i="3"/>
  <c r="D60" i="3"/>
  <c r="E60" i="3" s="1"/>
  <c r="Q59" i="3"/>
  <c r="Q58" i="3"/>
  <c r="L58" i="3"/>
  <c r="D58" i="3"/>
  <c r="N56" i="3"/>
  <c r="I56" i="3"/>
  <c r="D56" i="3"/>
  <c r="E56" i="3" s="1"/>
  <c r="Q55" i="3"/>
  <c r="G55" i="3"/>
  <c r="E55" i="5" s="1"/>
  <c r="L54" i="3"/>
  <c r="O52" i="3"/>
  <c r="J52" i="3"/>
  <c r="D52" i="3"/>
  <c r="Q51" i="3"/>
  <c r="G51" i="3"/>
  <c r="E51" i="5" s="1"/>
  <c r="P50" i="3"/>
  <c r="F50" i="3"/>
  <c r="O48" i="3"/>
  <c r="J48" i="3"/>
  <c r="D48" i="3"/>
  <c r="E48" i="3" s="1"/>
  <c r="N44" i="3"/>
  <c r="I44" i="3"/>
  <c r="C44" i="3"/>
  <c r="E44" i="3" s="1"/>
  <c r="L43" i="3"/>
  <c r="I41" i="3"/>
  <c r="L34" i="3"/>
  <c r="Q31" i="3"/>
  <c r="I31" i="3"/>
  <c r="D30" i="3"/>
  <c r="N30" i="3"/>
  <c r="G29" i="3"/>
  <c r="D24" i="3"/>
  <c r="J24" i="3"/>
  <c r="O24" i="3"/>
  <c r="B22" i="3"/>
  <c r="L22" i="3"/>
  <c r="B21" i="3"/>
  <c r="I21" i="3"/>
  <c r="K21" i="3" s="1"/>
  <c r="O21" i="3"/>
  <c r="M20" i="3"/>
  <c r="F20" i="3"/>
  <c r="H20" i="3" s="1"/>
  <c r="G19" i="3"/>
  <c r="E19" i="5" s="1"/>
  <c r="F19" i="5" s="1"/>
  <c r="G19" i="5" s="1"/>
  <c r="Q19" i="3"/>
  <c r="J18" i="3"/>
  <c r="B17" i="3"/>
  <c r="F17" i="3"/>
  <c r="M16" i="3"/>
  <c r="F16" i="3"/>
  <c r="P15" i="3"/>
  <c r="G15" i="3"/>
  <c r="E15" i="5" s="1"/>
  <c r="F15" i="5" s="1"/>
  <c r="G15" i="5" s="1"/>
  <c r="C12" i="3"/>
  <c r="I12" i="3"/>
  <c r="K12" i="3" s="1"/>
  <c r="N12" i="3"/>
  <c r="Q10" i="3"/>
  <c r="I10" i="3"/>
  <c r="L8" i="3"/>
  <c r="D8" i="3"/>
  <c r="L185" i="7"/>
  <c r="B184" i="7"/>
  <c r="C184" i="7"/>
  <c r="K184" i="7"/>
  <c r="E184" i="7"/>
  <c r="M184" i="7"/>
  <c r="G184" i="7"/>
  <c r="O184" i="7"/>
  <c r="C173" i="7"/>
  <c r="B173" i="7"/>
  <c r="H173" i="7"/>
  <c r="M173" i="7"/>
  <c r="D173" i="7"/>
  <c r="I173" i="7"/>
  <c r="N173" i="7"/>
  <c r="E173" i="7"/>
  <c r="J173" i="7"/>
  <c r="M121" i="3"/>
  <c r="F121" i="3"/>
  <c r="O108" i="3"/>
  <c r="J108" i="3"/>
  <c r="M101" i="3"/>
  <c r="O96" i="3"/>
  <c r="J96" i="3"/>
  <c r="N92" i="3"/>
  <c r="I92" i="3"/>
  <c r="L91" i="3"/>
  <c r="M85" i="3"/>
  <c r="O79" i="3"/>
  <c r="Q78" i="3"/>
  <c r="O77" i="3"/>
  <c r="M74" i="3"/>
  <c r="Q73" i="3"/>
  <c r="C73" i="3"/>
  <c r="O72" i="3"/>
  <c r="J72" i="3"/>
  <c r="Q71" i="3"/>
  <c r="L70" i="3"/>
  <c r="O69" i="3"/>
  <c r="I69" i="3"/>
  <c r="B69" i="3"/>
  <c r="O68" i="3"/>
  <c r="J68" i="3"/>
  <c r="K68" i="3" s="1"/>
  <c r="Q67" i="3"/>
  <c r="P66" i="3"/>
  <c r="F65" i="3"/>
  <c r="O64" i="3"/>
  <c r="J64" i="3"/>
  <c r="K64" i="3" s="1"/>
  <c r="Q63" i="3"/>
  <c r="L63" i="3"/>
  <c r="C63" i="3"/>
  <c r="N60" i="3"/>
  <c r="I60" i="3"/>
  <c r="L59" i="3"/>
  <c r="P58" i="3"/>
  <c r="J58" i="3"/>
  <c r="K58" i="3" s="1"/>
  <c r="B58" i="3"/>
  <c r="Q56" i="3"/>
  <c r="M56" i="3"/>
  <c r="P55" i="3"/>
  <c r="C55" i="3"/>
  <c r="F54" i="3"/>
  <c r="N52" i="3"/>
  <c r="I52" i="3"/>
  <c r="O51" i="3"/>
  <c r="D51" i="3"/>
  <c r="M50" i="3"/>
  <c r="B50" i="3"/>
  <c r="N48" i="3"/>
  <c r="I48" i="3"/>
  <c r="Q45" i="3"/>
  <c r="Q44" i="3"/>
  <c r="M44" i="3"/>
  <c r="G44" i="3"/>
  <c r="B44" i="3"/>
  <c r="G43" i="3"/>
  <c r="Q38" i="3"/>
  <c r="B37" i="3"/>
  <c r="I37" i="3"/>
  <c r="B33" i="3"/>
  <c r="Q33" i="3"/>
  <c r="P31" i="3"/>
  <c r="L30" i="3"/>
  <c r="Q29" i="3"/>
  <c r="F26" i="3"/>
  <c r="M26" i="3"/>
  <c r="C25" i="3"/>
  <c r="Q25" i="3"/>
  <c r="M24" i="3"/>
  <c r="F24" i="3"/>
  <c r="H24" i="3" s="1"/>
  <c r="G23" i="3"/>
  <c r="E23" i="5" s="1"/>
  <c r="F23" i="5" s="1"/>
  <c r="G23" i="5" s="1"/>
  <c r="Q23" i="3"/>
  <c r="Q21" i="3"/>
  <c r="G21" i="3"/>
  <c r="E21" i="5" s="1"/>
  <c r="F21" i="5" s="1"/>
  <c r="G21" i="5" s="1"/>
  <c r="Q20" i="3"/>
  <c r="L20" i="3"/>
  <c r="L19" i="3"/>
  <c r="Q18" i="3"/>
  <c r="Q16" i="3"/>
  <c r="L16" i="3"/>
  <c r="O15" i="3"/>
  <c r="M12" i="3"/>
  <c r="F12" i="3"/>
  <c r="H12" i="3" s="1"/>
  <c r="N10" i="3"/>
  <c r="N9" i="3"/>
  <c r="P8" i="3"/>
  <c r="J8" i="3"/>
  <c r="G179" i="7"/>
  <c r="B29" i="3"/>
  <c r="M29" i="3"/>
  <c r="F18" i="3"/>
  <c r="P18" i="3"/>
  <c r="C15" i="3"/>
  <c r="E15" i="3" s="1"/>
  <c r="L15" i="3"/>
  <c r="Q15" i="3"/>
  <c r="B8" i="3"/>
  <c r="G8" i="3"/>
  <c r="E8" i="5" s="1"/>
  <c r="F8" i="5" s="1"/>
  <c r="G8" i="5" s="1"/>
  <c r="M8" i="3"/>
  <c r="Q8" i="3"/>
  <c r="C185" i="7"/>
  <c r="B185" i="7"/>
  <c r="H185" i="7"/>
  <c r="M185" i="7"/>
  <c r="D185" i="7"/>
  <c r="I185" i="7"/>
  <c r="N185" i="7"/>
  <c r="E185" i="7"/>
  <c r="J185" i="7"/>
  <c r="M69" i="3"/>
  <c r="O63" i="3"/>
  <c r="M58" i="3"/>
  <c r="Q54" i="3"/>
  <c r="Q50" i="3"/>
  <c r="O44" i="3"/>
  <c r="J44" i="3"/>
  <c r="Q43" i="3"/>
  <c r="J34" i="3"/>
  <c r="Q34" i="3"/>
  <c r="D31" i="3"/>
  <c r="E31" i="3" s="1"/>
  <c r="M31" i="3"/>
  <c r="J29" i="3"/>
  <c r="D20" i="3"/>
  <c r="E20" i="3" s="1"/>
  <c r="J20" i="3"/>
  <c r="K20" i="3" s="1"/>
  <c r="O20" i="3"/>
  <c r="L18" i="3"/>
  <c r="D16" i="3"/>
  <c r="J16" i="3"/>
  <c r="O16" i="3"/>
  <c r="I15" i="3"/>
  <c r="C11" i="3"/>
  <c r="L11" i="3"/>
  <c r="B10" i="3"/>
  <c r="J10" i="3"/>
  <c r="P10" i="3"/>
  <c r="N8" i="3"/>
  <c r="F8" i="3"/>
  <c r="I184" i="7"/>
  <c r="I179" i="7"/>
  <c r="F173" i="7"/>
  <c r="O183" i="7"/>
  <c r="K183" i="7"/>
  <c r="G183" i="7"/>
  <c r="C183" i="7"/>
  <c r="I177" i="7"/>
  <c r="O171" i="7"/>
  <c r="K171" i="7"/>
  <c r="G171" i="7"/>
  <c r="C171" i="7"/>
  <c r="M164" i="7"/>
  <c r="I157" i="7"/>
  <c r="N155" i="7"/>
  <c r="I155" i="7"/>
  <c r="C155" i="7"/>
  <c r="F151" i="7"/>
  <c r="K145" i="7"/>
  <c r="E145" i="7"/>
  <c r="O144" i="7"/>
  <c r="K144" i="7"/>
  <c r="G144" i="7"/>
  <c r="C144" i="7"/>
  <c r="I135" i="7"/>
  <c r="N134" i="7"/>
  <c r="I134" i="7"/>
  <c r="D134" i="7"/>
  <c r="B119" i="7"/>
  <c r="I119" i="7"/>
  <c r="D118" i="7"/>
  <c r="N118" i="7"/>
  <c r="K113" i="7"/>
  <c r="B112" i="7"/>
  <c r="F112" i="7"/>
  <c r="J112" i="7"/>
  <c r="N112" i="7"/>
  <c r="K107" i="7"/>
  <c r="K105" i="7"/>
  <c r="N103" i="7"/>
  <c r="G92" i="7"/>
  <c r="F88" i="7"/>
  <c r="K83" i="7"/>
  <c r="N183" i="7"/>
  <c r="J183" i="7"/>
  <c r="F183" i="7"/>
  <c r="O180" i="7"/>
  <c r="G180" i="7"/>
  <c r="N171" i="7"/>
  <c r="J171" i="7"/>
  <c r="F171" i="7"/>
  <c r="H167" i="7"/>
  <c r="M166" i="7"/>
  <c r="K164" i="7"/>
  <c r="J164" i="12" s="1"/>
  <c r="G157" i="7"/>
  <c r="M155" i="7"/>
  <c r="G155" i="7"/>
  <c r="L152" i="7"/>
  <c r="H152" i="7"/>
  <c r="N151" i="7"/>
  <c r="C151" i="7"/>
  <c r="O145" i="7"/>
  <c r="I145" i="7"/>
  <c r="D145" i="7"/>
  <c r="N144" i="7"/>
  <c r="J144" i="7"/>
  <c r="F144" i="7"/>
  <c r="F135" i="7"/>
  <c r="M134" i="7"/>
  <c r="H134" i="7"/>
  <c r="L132" i="7"/>
  <c r="H132" i="7"/>
  <c r="K119" i="7"/>
  <c r="B114" i="7"/>
  <c r="I114" i="7"/>
  <c r="D113" i="7"/>
  <c r="I113" i="7"/>
  <c r="O113" i="7"/>
  <c r="E107" i="7"/>
  <c r="J107" i="7"/>
  <c r="O107" i="7"/>
  <c r="F107" i="7"/>
  <c r="M107" i="7"/>
  <c r="G105" i="7"/>
  <c r="F103" i="7"/>
  <c r="M92" i="7"/>
  <c r="M88" i="7"/>
  <c r="D82" i="7"/>
  <c r="E166" i="7"/>
  <c r="O157" i="7"/>
  <c r="D157" i="7"/>
  <c r="M145" i="7"/>
  <c r="H145" i="7"/>
  <c r="N135" i="7"/>
  <c r="C135" i="7"/>
  <c r="N130" i="7"/>
  <c r="G117" i="7"/>
  <c r="C101" i="7"/>
  <c r="G101" i="7"/>
  <c r="L101" i="7"/>
  <c r="B92" i="7"/>
  <c r="F92" i="7"/>
  <c r="J92" i="7"/>
  <c r="N92" i="7"/>
  <c r="D92" i="7"/>
  <c r="I92" i="7"/>
  <c r="O92" i="7"/>
  <c r="E92" i="7"/>
  <c r="K92" i="7"/>
  <c r="D88" i="7"/>
  <c r="H88" i="7"/>
  <c r="L88" i="7"/>
  <c r="C88" i="7"/>
  <c r="I88" i="7"/>
  <c r="N88" i="7"/>
  <c r="E88" i="7"/>
  <c r="J88" i="7"/>
  <c r="O88" i="7"/>
  <c r="E105" i="7"/>
  <c r="L105" i="7"/>
  <c r="H105" i="7"/>
  <c r="B103" i="7"/>
  <c r="I103" i="7"/>
  <c r="K103" i="7"/>
  <c r="H92" i="7"/>
  <c r="G88" i="7"/>
  <c r="F83" i="7"/>
  <c r="M83" i="7"/>
  <c r="E83" i="7"/>
  <c r="O83" i="7"/>
  <c r="G83" i="7"/>
  <c r="L80" i="7"/>
  <c r="E80" i="7"/>
  <c r="O80" i="7"/>
  <c r="B96" i="7"/>
  <c r="F96" i="7"/>
  <c r="J96" i="7"/>
  <c r="N96" i="7"/>
  <c r="C93" i="7"/>
  <c r="G93" i="7"/>
  <c r="M91" i="7"/>
  <c r="K84" i="7"/>
  <c r="B79" i="7"/>
  <c r="K79" i="7"/>
  <c r="B72" i="7"/>
  <c r="F72" i="7"/>
  <c r="J72" i="7"/>
  <c r="N72" i="7"/>
  <c r="K67" i="7"/>
  <c r="M64" i="7"/>
  <c r="E64" i="7"/>
  <c r="M60" i="7"/>
  <c r="E59" i="7"/>
  <c r="O59" i="7"/>
  <c r="C29" i="7"/>
  <c r="G29" i="7"/>
  <c r="C185" i="6"/>
  <c r="G185" i="6"/>
  <c r="K185" i="6"/>
  <c r="O185" i="6"/>
  <c r="D185" i="6"/>
  <c r="H185" i="6"/>
  <c r="L185" i="6"/>
  <c r="B185" i="6"/>
  <c r="F185" i="6"/>
  <c r="J185" i="6"/>
  <c r="N185" i="6"/>
  <c r="B98" i="7"/>
  <c r="I98" i="7"/>
  <c r="D97" i="7"/>
  <c r="K96" i="7"/>
  <c r="E96" i="7"/>
  <c r="L93" i="7"/>
  <c r="F91" i="7"/>
  <c r="E73" i="7"/>
  <c r="K72" i="7"/>
  <c r="E72" i="7"/>
  <c r="B71" i="7"/>
  <c r="I71" i="7"/>
  <c r="K64" i="7"/>
  <c r="C20" i="7"/>
  <c r="G20" i="7"/>
  <c r="K20" i="7"/>
  <c r="O20" i="7"/>
  <c r="D20" i="7"/>
  <c r="H20" i="7"/>
  <c r="L20" i="7"/>
  <c r="B20" i="7"/>
  <c r="F20" i="7"/>
  <c r="J20" i="7"/>
  <c r="N20" i="7"/>
  <c r="C12" i="7"/>
  <c r="G12" i="7"/>
  <c r="K12" i="7"/>
  <c r="O12" i="7"/>
  <c r="D12" i="7"/>
  <c r="H12" i="7"/>
  <c r="L12" i="7"/>
  <c r="B12" i="7"/>
  <c r="F12" i="7"/>
  <c r="J12" i="7"/>
  <c r="N12" i="7"/>
  <c r="C189" i="6"/>
  <c r="L166" i="5" s="1"/>
  <c r="G189" i="6"/>
  <c r="K189" i="6"/>
  <c r="N190" i="12" s="1"/>
  <c r="O189" i="6"/>
  <c r="D189" i="6"/>
  <c r="H189" i="6"/>
  <c r="L189" i="6"/>
  <c r="O190" i="12" s="1"/>
  <c r="B189" i="6"/>
  <c r="F189" i="6"/>
  <c r="J189" i="6"/>
  <c r="N189" i="6"/>
  <c r="D64" i="7"/>
  <c r="H64" i="7"/>
  <c r="L64" i="7"/>
  <c r="B64" i="7"/>
  <c r="F64" i="7"/>
  <c r="J64" i="7"/>
  <c r="N64" i="7"/>
  <c r="B60" i="7"/>
  <c r="K24" i="7"/>
  <c r="D24" i="7"/>
  <c r="C19" i="7"/>
  <c r="I19" i="7"/>
  <c r="M19" i="7"/>
  <c r="E19" i="7"/>
  <c r="D184" i="6"/>
  <c r="E184" i="6"/>
  <c r="M184" i="6"/>
  <c r="G184" i="6"/>
  <c r="O184" i="6"/>
  <c r="C184" i="6"/>
  <c r="K184" i="6"/>
  <c r="B74" i="7"/>
  <c r="L74" i="7"/>
  <c r="G69" i="7"/>
  <c r="F67" i="7"/>
  <c r="M67" i="7"/>
  <c r="B67" i="7"/>
  <c r="J67" i="7"/>
  <c r="O64" i="7"/>
  <c r="G64" i="7"/>
  <c r="C53" i="7"/>
  <c r="G53" i="7"/>
  <c r="J51" i="7"/>
  <c r="M51" i="7"/>
  <c r="G11" i="7"/>
  <c r="D188" i="6"/>
  <c r="E188" i="6"/>
  <c r="M188" i="6"/>
  <c r="G188" i="6"/>
  <c r="O188" i="6"/>
  <c r="C188" i="6"/>
  <c r="K188" i="6"/>
  <c r="I65" i="7"/>
  <c r="L46" i="7"/>
  <c r="L42" i="7"/>
  <c r="L41" i="7"/>
  <c r="K35" i="7"/>
  <c r="F31" i="7"/>
  <c r="L30" i="7"/>
  <c r="L25" i="7"/>
  <c r="N22" i="7"/>
  <c r="I22" i="7"/>
  <c r="D22" i="7"/>
  <c r="M21" i="7"/>
  <c r="N14" i="7"/>
  <c r="I14" i="7"/>
  <c r="D14" i="7"/>
  <c r="M13" i="7"/>
  <c r="K8" i="7"/>
  <c r="M7" i="7"/>
  <c r="E7" i="7"/>
  <c r="J179" i="6"/>
  <c r="E179" i="6"/>
  <c r="I178" i="6"/>
  <c r="M178" i="12" s="1"/>
  <c r="J175" i="6"/>
  <c r="E175" i="6"/>
  <c r="L173" i="6"/>
  <c r="H173" i="6"/>
  <c r="D173" i="6"/>
  <c r="O172" i="6"/>
  <c r="G172" i="6"/>
  <c r="N171" i="6"/>
  <c r="I171" i="6"/>
  <c r="Q171" i="12" s="1"/>
  <c r="L169" i="6"/>
  <c r="H169" i="6"/>
  <c r="D169" i="6"/>
  <c r="O168" i="6"/>
  <c r="G168" i="6"/>
  <c r="N167" i="6"/>
  <c r="I167" i="6"/>
  <c r="O165" i="6"/>
  <c r="K165" i="6"/>
  <c r="R165" i="12" s="1"/>
  <c r="G165" i="6"/>
  <c r="M164" i="6"/>
  <c r="E164" i="6"/>
  <c r="M163" i="6"/>
  <c r="H163" i="6"/>
  <c r="B163" i="6"/>
  <c r="O161" i="6"/>
  <c r="K161" i="6"/>
  <c r="G161" i="6"/>
  <c r="M160" i="6"/>
  <c r="E160" i="6"/>
  <c r="M159" i="6"/>
  <c r="H159" i="6"/>
  <c r="B159" i="6"/>
  <c r="N157" i="6"/>
  <c r="J157" i="6"/>
  <c r="F157" i="6"/>
  <c r="B157" i="6"/>
  <c r="K156" i="6"/>
  <c r="C156" i="6"/>
  <c r="L156" i="5" s="1"/>
  <c r="N153" i="6"/>
  <c r="J153" i="6"/>
  <c r="F153" i="6"/>
  <c r="B153" i="6"/>
  <c r="K152" i="6"/>
  <c r="N152" i="12" s="1"/>
  <c r="C152" i="6"/>
  <c r="L152" i="5" s="1"/>
  <c r="J147" i="6"/>
  <c r="E147" i="6"/>
  <c r="I146" i="6"/>
  <c r="O144" i="6"/>
  <c r="I144" i="6"/>
  <c r="N143" i="6"/>
  <c r="J143" i="6"/>
  <c r="F143" i="6"/>
  <c r="B143" i="6"/>
  <c r="I142" i="6"/>
  <c r="M141" i="6"/>
  <c r="F141" i="6"/>
  <c r="L139" i="6"/>
  <c r="O139" i="12" s="1"/>
  <c r="H139" i="6"/>
  <c r="P139" i="12" s="1"/>
  <c r="D139" i="6"/>
  <c r="O138" i="6"/>
  <c r="J138" i="6"/>
  <c r="E138" i="6"/>
  <c r="N137" i="6"/>
  <c r="D137" i="6"/>
  <c r="K136" i="6"/>
  <c r="C136" i="6"/>
  <c r="M133" i="6"/>
  <c r="H133" i="6"/>
  <c r="B133" i="6"/>
  <c r="I132" i="6"/>
  <c r="O131" i="6"/>
  <c r="K131" i="6"/>
  <c r="R131" i="12" s="1"/>
  <c r="G131" i="6"/>
  <c r="M130" i="6"/>
  <c r="F130" i="6"/>
  <c r="F129" i="6"/>
  <c r="L128" i="6"/>
  <c r="O128" i="12" s="1"/>
  <c r="M127" i="6"/>
  <c r="H127" i="6"/>
  <c r="P127" i="12" s="1"/>
  <c r="F125" i="6"/>
  <c r="M125" i="6"/>
  <c r="M123" i="6"/>
  <c r="G123" i="6"/>
  <c r="K122" i="6"/>
  <c r="R122" i="12" s="1"/>
  <c r="C120" i="6"/>
  <c r="K120" i="6"/>
  <c r="N120" i="12" s="1"/>
  <c r="J117" i="6"/>
  <c r="M115" i="6"/>
  <c r="H115" i="6"/>
  <c r="F114" i="6"/>
  <c r="M114" i="6"/>
  <c r="D111" i="6"/>
  <c r="H111" i="6"/>
  <c r="P111" i="12" s="1"/>
  <c r="L111" i="6"/>
  <c r="B110" i="6"/>
  <c r="C110" i="6"/>
  <c r="L110" i="5" s="1"/>
  <c r="N110" i="6"/>
  <c r="K107" i="6"/>
  <c r="S107" i="12" s="1"/>
  <c r="E107" i="6"/>
  <c r="J105" i="6"/>
  <c r="I104" i="6"/>
  <c r="Q104" i="12" s="1"/>
  <c r="O103" i="6"/>
  <c r="I103" i="6"/>
  <c r="M103" i="12" s="1"/>
  <c r="C100" i="6"/>
  <c r="L100" i="5" s="1"/>
  <c r="B99" i="6"/>
  <c r="F99" i="6"/>
  <c r="J99" i="6"/>
  <c r="N99" i="6"/>
  <c r="L97" i="6"/>
  <c r="E96" i="6"/>
  <c r="M96" i="6"/>
  <c r="K95" i="6"/>
  <c r="E95" i="6"/>
  <c r="I92" i="6"/>
  <c r="M91" i="6"/>
  <c r="H91" i="6"/>
  <c r="P91" i="12" s="1"/>
  <c r="M89" i="6"/>
  <c r="F89" i="6"/>
  <c r="O88" i="6"/>
  <c r="B87" i="6"/>
  <c r="F87" i="6"/>
  <c r="J87" i="6"/>
  <c r="N87" i="6"/>
  <c r="M83" i="6"/>
  <c r="K79" i="6"/>
  <c r="S79" i="12" s="1"/>
  <c r="O75" i="6"/>
  <c r="G75" i="6"/>
  <c r="M71" i="6"/>
  <c r="C70" i="6"/>
  <c r="M70" i="6"/>
  <c r="E70" i="6"/>
  <c r="D67" i="6"/>
  <c r="H67" i="6"/>
  <c r="L67" i="6"/>
  <c r="O67" i="12" s="1"/>
  <c r="B67" i="6"/>
  <c r="F67" i="6"/>
  <c r="J67" i="6"/>
  <c r="N67" i="6"/>
  <c r="O63" i="6"/>
  <c r="G63" i="6"/>
  <c r="N62" i="6"/>
  <c r="D61" i="6"/>
  <c r="N61" i="6"/>
  <c r="I61" i="6"/>
  <c r="Q61" i="12" s="1"/>
  <c r="C60" i="6"/>
  <c r="K60" i="6"/>
  <c r="S60" i="12" s="1"/>
  <c r="G60" i="6"/>
  <c r="M60" i="6"/>
  <c r="I57" i="6"/>
  <c r="M57" i="12" s="1"/>
  <c r="O54" i="6"/>
  <c r="B127" i="6"/>
  <c r="F127" i="6"/>
  <c r="J127" i="6"/>
  <c r="N127" i="6"/>
  <c r="D123" i="6"/>
  <c r="H123" i="6"/>
  <c r="P123" i="12" s="1"/>
  <c r="L123" i="6"/>
  <c r="B117" i="6"/>
  <c r="H117" i="6"/>
  <c r="M117" i="6"/>
  <c r="C115" i="6"/>
  <c r="G115" i="6"/>
  <c r="K115" i="6"/>
  <c r="R115" i="12" s="1"/>
  <c r="O115" i="6"/>
  <c r="D105" i="6"/>
  <c r="I105" i="6"/>
  <c r="M105" i="12" s="1"/>
  <c r="N105" i="6"/>
  <c r="C102" i="6"/>
  <c r="L102" i="5" s="1"/>
  <c r="E102" i="6"/>
  <c r="B91" i="6"/>
  <c r="F91" i="6"/>
  <c r="J91" i="6"/>
  <c r="N91" i="6"/>
  <c r="E88" i="6"/>
  <c r="M88" i="6"/>
  <c r="D79" i="6"/>
  <c r="H79" i="6"/>
  <c r="L79" i="6"/>
  <c r="B79" i="6"/>
  <c r="F79" i="6"/>
  <c r="J79" i="6"/>
  <c r="N79" i="6"/>
  <c r="B65" i="6"/>
  <c r="J65" i="6"/>
  <c r="F65" i="6"/>
  <c r="M65" i="6"/>
  <c r="E62" i="6"/>
  <c r="J62" i="6"/>
  <c r="O62" i="6"/>
  <c r="B62" i="6"/>
  <c r="G62" i="6"/>
  <c r="M62" i="6"/>
  <c r="D53" i="6"/>
  <c r="N53" i="6"/>
  <c r="L53" i="6"/>
  <c r="O53" i="12" s="1"/>
  <c r="F53" i="6"/>
  <c r="I23" i="7"/>
  <c r="M179" i="6"/>
  <c r="H179" i="6"/>
  <c r="B179" i="6"/>
  <c r="M175" i="6"/>
  <c r="H175" i="6"/>
  <c r="B175" i="6"/>
  <c r="N173" i="6"/>
  <c r="J173" i="6"/>
  <c r="F173" i="6"/>
  <c r="K172" i="6"/>
  <c r="C172" i="6"/>
  <c r="N169" i="6"/>
  <c r="J169" i="6"/>
  <c r="F169" i="6"/>
  <c r="K168" i="6"/>
  <c r="C168" i="6"/>
  <c r="J163" i="6"/>
  <c r="E232" i="2" s="1"/>
  <c r="E163" i="6"/>
  <c r="I162" i="6"/>
  <c r="J159" i="6"/>
  <c r="E159" i="6"/>
  <c r="L157" i="6"/>
  <c r="O157" i="12" s="1"/>
  <c r="H157" i="6"/>
  <c r="P157" i="12" s="1"/>
  <c r="D157" i="6"/>
  <c r="O156" i="6"/>
  <c r="G156" i="6"/>
  <c r="L153" i="6"/>
  <c r="O153" i="12" s="1"/>
  <c r="H153" i="6"/>
  <c r="P153" i="12" s="1"/>
  <c r="D153" i="6"/>
  <c r="O152" i="6"/>
  <c r="G152" i="6"/>
  <c r="M147" i="6"/>
  <c r="H147" i="6"/>
  <c r="L143" i="6"/>
  <c r="O143" i="12" s="1"/>
  <c r="H143" i="6"/>
  <c r="P143" i="12" s="1"/>
  <c r="D143" i="6"/>
  <c r="N142" i="6"/>
  <c r="C142" i="6"/>
  <c r="L142" i="5" s="1"/>
  <c r="J141" i="6"/>
  <c r="N139" i="6"/>
  <c r="J139" i="6"/>
  <c r="F139" i="6"/>
  <c r="M138" i="6"/>
  <c r="G138" i="6"/>
  <c r="I137" i="6"/>
  <c r="M136" i="6"/>
  <c r="G136" i="6"/>
  <c r="J133" i="6"/>
  <c r="E133" i="6"/>
  <c r="O132" i="6"/>
  <c r="D132" i="6"/>
  <c r="J130" i="6"/>
  <c r="D128" i="6"/>
  <c r="I128" i="6"/>
  <c r="Q128" i="12" s="1"/>
  <c r="K127" i="6"/>
  <c r="E127" i="6"/>
  <c r="B126" i="6"/>
  <c r="I126" i="6"/>
  <c r="C11" i="28" s="1"/>
  <c r="O123" i="6"/>
  <c r="J123" i="6"/>
  <c r="E123" i="6"/>
  <c r="E122" i="6"/>
  <c r="J122" i="6"/>
  <c r="O122" i="6"/>
  <c r="B121" i="6"/>
  <c r="D121" i="6"/>
  <c r="N121" i="6"/>
  <c r="N117" i="6"/>
  <c r="F117" i="6"/>
  <c r="C116" i="6"/>
  <c r="L116" i="5" s="1"/>
  <c r="I116" i="6"/>
  <c r="Q116" i="12" s="1"/>
  <c r="J115" i="6"/>
  <c r="E115" i="6"/>
  <c r="M107" i="6"/>
  <c r="H107" i="6"/>
  <c r="L107" i="12" s="1"/>
  <c r="M105" i="6"/>
  <c r="F105" i="6"/>
  <c r="O104" i="6"/>
  <c r="B103" i="6"/>
  <c r="F103" i="6"/>
  <c r="J103" i="6"/>
  <c r="N103" i="6"/>
  <c r="K100" i="6"/>
  <c r="R100" i="12" s="1"/>
  <c r="D97" i="6"/>
  <c r="I97" i="6"/>
  <c r="M97" i="12" s="1"/>
  <c r="N97" i="6"/>
  <c r="M95" i="6"/>
  <c r="H95" i="6"/>
  <c r="P95" i="12" s="1"/>
  <c r="C94" i="6"/>
  <c r="E94" i="6"/>
  <c r="K91" i="6"/>
  <c r="E91" i="6"/>
  <c r="J89" i="6"/>
  <c r="I88" i="6"/>
  <c r="Q88" i="12" s="1"/>
  <c r="C86" i="6"/>
  <c r="M86" i="6"/>
  <c r="E86" i="6"/>
  <c r="D83" i="6"/>
  <c r="H83" i="6"/>
  <c r="L83" i="6"/>
  <c r="B83" i="6"/>
  <c r="F83" i="6"/>
  <c r="J83" i="6"/>
  <c r="N83" i="6"/>
  <c r="O79" i="6"/>
  <c r="G79" i="6"/>
  <c r="K75" i="6"/>
  <c r="S75" i="12" s="1"/>
  <c r="D71" i="6"/>
  <c r="H71" i="6"/>
  <c r="L71" i="12" s="1"/>
  <c r="L71" i="6"/>
  <c r="O71" i="12" s="1"/>
  <c r="B71" i="6"/>
  <c r="F71" i="6"/>
  <c r="J71" i="6"/>
  <c r="N71" i="6"/>
  <c r="L65" i="6"/>
  <c r="K63" i="6"/>
  <c r="S63" i="12" s="1"/>
  <c r="I62" i="6"/>
  <c r="M62" i="12" s="1"/>
  <c r="N57" i="6"/>
  <c r="N163" i="6"/>
  <c r="I163" i="6"/>
  <c r="Q163" i="12" s="1"/>
  <c r="N159" i="6"/>
  <c r="I159" i="6"/>
  <c r="O157" i="6"/>
  <c r="K157" i="6"/>
  <c r="N157" i="12" s="1"/>
  <c r="G157" i="6"/>
  <c r="M156" i="6"/>
  <c r="E156" i="6"/>
  <c r="O153" i="6"/>
  <c r="K153" i="6"/>
  <c r="G153" i="6"/>
  <c r="M152" i="6"/>
  <c r="E152" i="6"/>
  <c r="O143" i="6"/>
  <c r="K143" i="6"/>
  <c r="R143" i="12" s="1"/>
  <c r="G143" i="6"/>
  <c r="F137" i="6"/>
  <c r="L136" i="6"/>
  <c r="N133" i="6"/>
  <c r="I133" i="6"/>
  <c r="O127" i="6"/>
  <c r="I127" i="6"/>
  <c r="D127" i="6"/>
  <c r="N123" i="6"/>
  <c r="I123" i="6"/>
  <c r="Q123" i="12" s="1"/>
  <c r="C123" i="6"/>
  <c r="L117" i="6"/>
  <c r="O117" i="12" s="1"/>
  <c r="E117" i="6"/>
  <c r="N115" i="6"/>
  <c r="I115" i="6"/>
  <c r="D115" i="6"/>
  <c r="B107" i="6"/>
  <c r="F107" i="6"/>
  <c r="J107" i="6"/>
  <c r="N107" i="6"/>
  <c r="L105" i="6"/>
  <c r="O105" i="12" s="1"/>
  <c r="E105" i="6"/>
  <c r="E104" i="6"/>
  <c r="M104" i="6"/>
  <c r="M102" i="6"/>
  <c r="I100" i="6"/>
  <c r="M100" i="12" s="1"/>
  <c r="B95" i="6"/>
  <c r="F95" i="6"/>
  <c r="J95" i="6"/>
  <c r="N95" i="6"/>
  <c r="O91" i="6"/>
  <c r="I91" i="6"/>
  <c r="M91" i="12" s="1"/>
  <c r="D91" i="6"/>
  <c r="D89" i="6"/>
  <c r="I89" i="6"/>
  <c r="Q89" i="12" s="1"/>
  <c r="N89" i="6"/>
  <c r="G88" i="6"/>
  <c r="M79" i="6"/>
  <c r="E79" i="6"/>
  <c r="C78" i="6"/>
  <c r="M78" i="6"/>
  <c r="E78" i="6"/>
  <c r="D75" i="6"/>
  <c r="H75" i="6"/>
  <c r="L75" i="6"/>
  <c r="O75" i="12" s="1"/>
  <c r="B75" i="6"/>
  <c r="F75" i="6"/>
  <c r="J75" i="6"/>
  <c r="N75" i="6"/>
  <c r="H65" i="6"/>
  <c r="P65" i="12" s="1"/>
  <c r="D63" i="6"/>
  <c r="H63" i="6"/>
  <c r="L63" i="12" s="1"/>
  <c r="L63" i="6"/>
  <c r="B63" i="6"/>
  <c r="F63" i="6"/>
  <c r="J63" i="6"/>
  <c r="N63" i="6"/>
  <c r="F62" i="6"/>
  <c r="B57" i="6"/>
  <c r="H57" i="6"/>
  <c r="L57" i="12" s="1"/>
  <c r="M57" i="6"/>
  <c r="E57" i="6"/>
  <c r="J57" i="6"/>
  <c r="F54" i="6"/>
  <c r="M54" i="6"/>
  <c r="G54" i="6"/>
  <c r="B54" i="6"/>
  <c r="K54" i="6"/>
  <c r="S54" i="12" s="1"/>
  <c r="N81" i="6"/>
  <c r="I81" i="6"/>
  <c r="M80" i="6"/>
  <c r="N73" i="6"/>
  <c r="I73" i="6"/>
  <c r="M73" i="12" s="1"/>
  <c r="M72" i="6"/>
  <c r="L64" i="6"/>
  <c r="O59" i="6"/>
  <c r="K59" i="6"/>
  <c r="G59" i="6"/>
  <c r="L55" i="6"/>
  <c r="H55" i="6"/>
  <c r="P55" i="12" s="1"/>
  <c r="D55" i="6"/>
  <c r="D51" i="6"/>
  <c r="H51" i="6"/>
  <c r="P51" i="12" s="1"/>
  <c r="L51" i="6"/>
  <c r="O51" i="12" s="1"/>
  <c r="C50" i="6"/>
  <c r="L50" i="5" s="1"/>
  <c r="N50" i="6"/>
  <c r="L48" i="6"/>
  <c r="M47" i="6"/>
  <c r="H47" i="6"/>
  <c r="K46" i="6"/>
  <c r="S46" i="12" s="1"/>
  <c r="M43" i="6"/>
  <c r="G43" i="6"/>
  <c r="M39" i="6"/>
  <c r="H39" i="6"/>
  <c r="L39" i="12" s="1"/>
  <c r="E38" i="6"/>
  <c r="K38" i="6"/>
  <c r="M35" i="6"/>
  <c r="D31" i="6"/>
  <c r="H31" i="6"/>
  <c r="L31" i="6"/>
  <c r="O31" i="12" s="1"/>
  <c r="B31" i="6"/>
  <c r="F31" i="6"/>
  <c r="J31" i="6"/>
  <c r="N31" i="6"/>
  <c r="G30" i="6"/>
  <c r="O30" i="6"/>
  <c r="C30" i="6"/>
  <c r="K30" i="6"/>
  <c r="M27" i="6"/>
  <c r="I22" i="6"/>
  <c r="Q22" i="12" s="1"/>
  <c r="I18" i="6"/>
  <c r="D18" i="6"/>
  <c r="O18" i="6"/>
  <c r="C12" i="6"/>
  <c r="L12" i="5" s="1"/>
  <c r="K12" i="6"/>
  <c r="K9" i="6"/>
  <c r="B189" i="10"/>
  <c r="F189" i="10"/>
  <c r="J189" i="10"/>
  <c r="N189" i="10"/>
  <c r="D189" i="10"/>
  <c r="H189" i="10"/>
  <c r="L189" i="10"/>
  <c r="K185" i="10"/>
  <c r="B47" i="6"/>
  <c r="F47" i="6"/>
  <c r="J47" i="6"/>
  <c r="N47" i="6"/>
  <c r="D43" i="6"/>
  <c r="H43" i="6"/>
  <c r="P43" i="12" s="1"/>
  <c r="L43" i="6"/>
  <c r="O43" i="12" s="1"/>
  <c r="C42" i="6"/>
  <c r="L42" i="5" s="1"/>
  <c r="N42" i="6"/>
  <c r="B39" i="6"/>
  <c r="F39" i="6"/>
  <c r="J39" i="6"/>
  <c r="N39" i="6"/>
  <c r="D26" i="6"/>
  <c r="O26" i="6"/>
  <c r="I26" i="6"/>
  <c r="Q26" i="12" s="1"/>
  <c r="C24" i="6"/>
  <c r="B24" i="6"/>
  <c r="J24" i="6"/>
  <c r="F24" i="6"/>
  <c r="M24" i="6"/>
  <c r="G22" i="6"/>
  <c r="C20" i="6"/>
  <c r="K20" i="6"/>
  <c r="S20" i="12" s="1"/>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N42" i="12" s="1"/>
  <c r="K39" i="6"/>
  <c r="S39" i="12" s="1"/>
  <c r="E39" i="6"/>
  <c r="D37" i="6"/>
  <c r="F37" i="6"/>
  <c r="D35" i="6"/>
  <c r="H35" i="6"/>
  <c r="L35" i="12" s="1"/>
  <c r="L35" i="6"/>
  <c r="B35" i="6"/>
  <c r="F35" i="6"/>
  <c r="J35" i="6"/>
  <c r="D27" i="6"/>
  <c r="H27" i="6"/>
  <c r="L27" i="6"/>
  <c r="O27" i="12" s="1"/>
  <c r="B27" i="6"/>
  <c r="F27" i="6"/>
  <c r="J27" i="6"/>
  <c r="N27" i="6"/>
  <c r="K24" i="6"/>
  <c r="S24" i="12" s="1"/>
  <c r="O22" i="6"/>
  <c r="L19" i="6"/>
  <c r="O19" i="12" s="1"/>
  <c r="D14" i="6"/>
  <c r="C14" i="6"/>
  <c r="K14" i="6"/>
  <c r="S14" i="12" s="1"/>
  <c r="G14" i="6"/>
  <c r="M14" i="6"/>
  <c r="O9" i="6"/>
  <c r="G9" i="6"/>
  <c r="O185" i="10"/>
  <c r="G185" i="10"/>
  <c r="C22" i="6"/>
  <c r="L22" i="5" s="1"/>
  <c r="M22" i="5" s="1"/>
  <c r="H22" i="6"/>
  <c r="M22" i="6"/>
  <c r="E22" i="6"/>
  <c r="K22" i="6"/>
  <c r="S22" i="12" s="1"/>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N34" i="12" s="1"/>
  <c r="L33" i="6"/>
  <c r="O33" i="12" s="1"/>
  <c r="N29" i="6"/>
  <c r="I29" i="6"/>
  <c r="M29" i="12" s="1"/>
  <c r="D29" i="6"/>
  <c r="O17" i="6"/>
  <c r="K17" i="6"/>
  <c r="G17" i="6"/>
  <c r="N16" i="6"/>
  <c r="I16" i="6"/>
  <c r="Q16" i="12" s="1"/>
  <c r="K8" i="6"/>
  <c r="R8" i="12" s="1"/>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E241" i="2"/>
  <c r="G245" i="2"/>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N164" i="5"/>
  <c r="C162" i="5"/>
  <c r="O162" i="5"/>
  <c r="P162" i="5" s="1"/>
  <c r="K162" i="5"/>
  <c r="K156" i="5"/>
  <c r="C156" i="5"/>
  <c r="O156" i="5"/>
  <c r="P156" i="5" s="1"/>
  <c r="N154" i="5"/>
  <c r="N148" i="5"/>
  <c r="H92" i="3"/>
  <c r="C158" i="5"/>
  <c r="O158" i="5"/>
  <c r="K158" i="5"/>
  <c r="K152" i="5"/>
  <c r="C152" i="5"/>
  <c r="O152" i="5"/>
  <c r="P152" i="5" s="1"/>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I162" i="5"/>
  <c r="K160" i="5"/>
  <c r="C160" i="5"/>
  <c r="O160" i="5"/>
  <c r="P160" i="5" s="1"/>
  <c r="I156" i="5"/>
  <c r="C150" i="5"/>
  <c r="O150" i="5"/>
  <c r="P150" i="5" s="1"/>
  <c r="K150" i="5"/>
  <c r="P163" i="5"/>
  <c r="K146" i="5"/>
  <c r="K142" i="5"/>
  <c r="P139" i="5"/>
  <c r="K138" i="5"/>
  <c r="K134" i="5"/>
  <c r="K130" i="5"/>
  <c r="K126" i="5"/>
  <c r="K122" i="5"/>
  <c r="K118" i="5"/>
  <c r="K114" i="5"/>
  <c r="K110" i="5"/>
  <c r="O108" i="5"/>
  <c r="C108" i="5"/>
  <c r="P107" i="5"/>
  <c r="K106" i="5"/>
  <c r="O104" i="5"/>
  <c r="C104" i="5"/>
  <c r="K102" i="5"/>
  <c r="O100" i="5"/>
  <c r="C100" i="5"/>
  <c r="K98" i="5"/>
  <c r="O96" i="5"/>
  <c r="C96" i="5"/>
  <c r="K94" i="5"/>
  <c r="O92" i="5"/>
  <c r="C92" i="5"/>
  <c r="K90" i="5"/>
  <c r="O88" i="5"/>
  <c r="C88" i="5"/>
  <c r="K86" i="5"/>
  <c r="O84" i="5"/>
  <c r="C84" i="5"/>
  <c r="K82" i="5"/>
  <c r="O80" i="5"/>
  <c r="C80" i="5"/>
  <c r="K78" i="5"/>
  <c r="O76" i="5"/>
  <c r="C76" i="5"/>
  <c r="K74" i="5"/>
  <c r="O72" i="5"/>
  <c r="P72" i="5" s="1"/>
  <c r="C72" i="5"/>
  <c r="K70" i="5"/>
  <c r="O68" i="5"/>
  <c r="C68" i="5"/>
  <c r="K66" i="5"/>
  <c r="O64" i="5"/>
  <c r="C64" i="5"/>
  <c r="K49" i="5"/>
  <c r="O47" i="5"/>
  <c r="C47" i="5"/>
  <c r="K45" i="5"/>
  <c r="O43" i="5"/>
  <c r="C43" i="5"/>
  <c r="K41" i="5"/>
  <c r="O39" i="5"/>
  <c r="C39" i="5"/>
  <c r="K37" i="5"/>
  <c r="O35" i="5"/>
  <c r="C35" i="5"/>
  <c r="K33" i="5"/>
  <c r="O31" i="5"/>
  <c r="C31" i="5"/>
  <c r="K29" i="5"/>
  <c r="O27" i="5"/>
  <c r="C27" i="5"/>
  <c r="K25" i="5"/>
  <c r="O23" i="5"/>
  <c r="C23" i="5"/>
  <c r="K21" i="5"/>
  <c r="O19" i="5"/>
  <c r="C19" i="5"/>
  <c r="K17" i="5"/>
  <c r="O15" i="5"/>
  <c r="P15" i="5" s="1"/>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H36" i="3"/>
  <c r="P149" i="5"/>
  <c r="O146" i="5"/>
  <c r="O142" i="5"/>
  <c r="O138" i="5"/>
  <c r="O134" i="5"/>
  <c r="P134" i="5" s="1"/>
  <c r="O130" i="5"/>
  <c r="P130" i="5" s="1"/>
  <c r="O126" i="5"/>
  <c r="P126" i="5" s="1"/>
  <c r="P125" i="5"/>
  <c r="O122" i="5"/>
  <c r="O118" i="5"/>
  <c r="O114" i="5"/>
  <c r="O110" i="5"/>
  <c r="K108" i="5"/>
  <c r="O106" i="5"/>
  <c r="K104" i="5"/>
  <c r="O102" i="5"/>
  <c r="K100" i="5"/>
  <c r="O98" i="5"/>
  <c r="P98" i="5" s="1"/>
  <c r="K96" i="5"/>
  <c r="O94" i="5"/>
  <c r="P93" i="5"/>
  <c r="K92" i="5"/>
  <c r="O90" i="5"/>
  <c r="P90" i="5" s="1"/>
  <c r="K88" i="5"/>
  <c r="O86" i="5"/>
  <c r="P86" i="5" s="1"/>
  <c r="P85" i="5"/>
  <c r="K84" i="5"/>
  <c r="O82" i="5"/>
  <c r="K80" i="5"/>
  <c r="O78" i="5"/>
  <c r="K76" i="5"/>
  <c r="O74" i="5"/>
  <c r="K72" i="5"/>
  <c r="O70" i="5"/>
  <c r="K68" i="5"/>
  <c r="O66" i="5"/>
  <c r="K64" i="5"/>
  <c r="O49" i="5"/>
  <c r="C49" i="5"/>
  <c r="K47" i="5"/>
  <c r="I46" i="5"/>
  <c r="O45" i="5"/>
  <c r="C45" i="5"/>
  <c r="K43" i="5"/>
  <c r="I42" i="5"/>
  <c r="O41" i="5"/>
  <c r="C41" i="5"/>
  <c r="K39" i="5"/>
  <c r="I38" i="5"/>
  <c r="O37" i="5"/>
  <c r="C37" i="5"/>
  <c r="K35" i="5"/>
  <c r="I34" i="5"/>
  <c r="O33" i="5"/>
  <c r="C33" i="5"/>
  <c r="K31" i="5"/>
  <c r="I30" i="5"/>
  <c r="O29" i="5"/>
  <c r="C29" i="5"/>
  <c r="K27" i="5"/>
  <c r="I26" i="5"/>
  <c r="O25" i="5"/>
  <c r="C25" i="5"/>
  <c r="K23" i="5"/>
  <c r="I22" i="5"/>
  <c r="O21" i="5"/>
  <c r="C21" i="5"/>
  <c r="K19" i="5"/>
  <c r="I18" i="5"/>
  <c r="O17" i="5"/>
  <c r="C17" i="5"/>
  <c r="K15" i="5"/>
  <c r="I14" i="5"/>
  <c r="O13" i="5"/>
  <c r="C13" i="5"/>
  <c r="K11" i="5"/>
  <c r="I10" i="5"/>
  <c r="O9" i="5"/>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C146" i="14"/>
  <c r="D140" i="14"/>
  <c r="B140" i="14"/>
  <c r="E140" i="14"/>
  <c r="E138" i="14"/>
  <c r="C134" i="14"/>
  <c r="D134" i="14"/>
  <c r="C132" i="14"/>
  <c r="E132" i="14"/>
  <c r="C116" i="14"/>
  <c r="E116"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C165" i="14"/>
  <c r="E159" i="14"/>
  <c r="G159" i="14" s="1"/>
  <c r="B153" i="14"/>
  <c r="F153" i="14"/>
  <c r="D141" i="14"/>
  <c r="B141" i="14"/>
  <c r="F141" i="14"/>
  <c r="F135" i="14"/>
  <c r="E133" i="14"/>
  <c r="E117" i="14"/>
  <c r="B101" i="14"/>
  <c r="G101" i="14" s="1"/>
  <c r="F101" i="14"/>
  <c r="C101" i="14"/>
  <c r="D101" i="14"/>
  <c r="D58" i="14"/>
  <c r="C58" i="14"/>
  <c r="E58" i="14"/>
  <c r="F105" i="14"/>
  <c r="B105" i="14"/>
  <c r="G105" i="14" s="1"/>
  <c r="E100" i="14"/>
  <c r="F89" i="14"/>
  <c r="B89" i="14"/>
  <c r="B60" i="14"/>
  <c r="C56" i="14"/>
  <c r="F53" i="14"/>
  <c r="B53" i="14"/>
  <c r="D51" i="14"/>
  <c r="C50" i="14"/>
  <c r="C46" i="14"/>
  <c r="F37" i="14"/>
  <c r="B37" i="14"/>
  <c r="F21" i="14"/>
  <c r="B21" i="14"/>
  <c r="C20" i="14"/>
  <c r="C16" i="14"/>
  <c r="C12" i="14"/>
  <c r="C8" i="14"/>
  <c r="G95" i="14"/>
  <c r="G12" i="14"/>
  <c r="G8"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P192" i="2"/>
  <c r="E244" i="2"/>
  <c r="S188" i="2"/>
  <c r="S186" i="2"/>
  <c r="S180" i="2"/>
  <c r="S178" i="2"/>
  <c r="S172" i="2"/>
  <c r="M170" i="2"/>
  <c r="E170" i="2"/>
  <c r="B168" i="2"/>
  <c r="R168" i="2"/>
  <c r="E168" i="2"/>
  <c r="G168" i="2" s="1"/>
  <c r="P168" i="2"/>
  <c r="C168" i="2"/>
  <c r="F168" i="2" s="1"/>
  <c r="H168" i="2"/>
  <c r="M168" i="2"/>
  <c r="S168" i="2"/>
  <c r="D166" i="2"/>
  <c r="H166" i="2"/>
  <c r="L166" i="2"/>
  <c r="P166" i="2"/>
  <c r="B166" i="2"/>
  <c r="M166" i="2"/>
  <c r="R166" i="2"/>
  <c r="E166" i="2"/>
  <c r="Q164" i="2"/>
  <c r="Q162" i="2"/>
  <c r="B160" i="2"/>
  <c r="R160" i="2"/>
  <c r="E160" i="2"/>
  <c r="G160" i="2" s="1"/>
  <c r="P160" i="2"/>
  <c r="C160" i="2"/>
  <c r="F160" i="2" s="1"/>
  <c r="H160" i="2"/>
  <c r="M160" i="2"/>
  <c r="S160" i="2"/>
  <c r="D158" i="2"/>
  <c r="H158" i="2"/>
  <c r="J158" i="2" s="1"/>
  <c r="K158" i="2" s="1"/>
  <c r="L158" i="2"/>
  <c r="P158" i="2"/>
  <c r="B158" i="2"/>
  <c r="M158" i="2"/>
  <c r="R158" i="2"/>
  <c r="E158" i="2"/>
  <c r="Q156" i="2"/>
  <c r="Q154" i="2"/>
  <c r="B152" i="2"/>
  <c r="R152" i="2"/>
  <c r="E152" i="2"/>
  <c r="P152" i="2"/>
  <c r="C152" i="2"/>
  <c r="H152" i="2"/>
  <c r="M152" i="2"/>
  <c r="N152" i="2" s="1"/>
  <c r="O152" i="2" s="1"/>
  <c r="S152" i="2"/>
  <c r="D150" i="2"/>
  <c r="H150" i="2"/>
  <c r="J150" i="2" s="1"/>
  <c r="K150" i="2" s="1"/>
  <c r="L150" i="2"/>
  <c r="P150" i="2"/>
  <c r="B150" i="2"/>
  <c r="M150" i="2"/>
  <c r="R150" i="2"/>
  <c r="E150" i="2"/>
  <c r="Q148" i="2"/>
  <c r="Q146" i="2"/>
  <c r="B144" i="2"/>
  <c r="R144" i="2"/>
  <c r="E144" i="2"/>
  <c r="G144" i="2" s="1"/>
  <c r="P144" i="2"/>
  <c r="C144" i="2"/>
  <c r="F144" i="2" s="1"/>
  <c r="H144" i="2"/>
  <c r="J144" i="2" s="1"/>
  <c r="K144" i="2" s="1"/>
  <c r="M144" i="2"/>
  <c r="S144" i="2"/>
  <c r="Q142" i="2"/>
  <c r="F140" i="2"/>
  <c r="C138" i="2"/>
  <c r="F138" i="2" s="1"/>
  <c r="S138" i="2"/>
  <c r="B138" i="2"/>
  <c r="H138" i="2"/>
  <c r="M138" i="2"/>
  <c r="R138" i="2"/>
  <c r="E138" i="2"/>
  <c r="G138" i="2" s="1"/>
  <c r="P138" i="2"/>
  <c r="S135" i="2"/>
  <c r="Q134" i="2"/>
  <c r="C130" i="2"/>
  <c r="S130" i="2"/>
  <c r="B130" i="2"/>
  <c r="H130" i="2"/>
  <c r="J130" i="2" s="1"/>
  <c r="K130" i="2" s="1"/>
  <c r="M130" i="2"/>
  <c r="R130" i="2"/>
  <c r="E130" i="2"/>
  <c r="P130" i="2"/>
  <c r="S127" i="2"/>
  <c r="Q126" i="2"/>
  <c r="F124" i="2"/>
  <c r="C122" i="2"/>
  <c r="S122" i="2"/>
  <c r="B122" i="2"/>
  <c r="H122" i="2"/>
  <c r="M122" i="2"/>
  <c r="N122" i="2" s="1"/>
  <c r="O122" i="2" s="1"/>
  <c r="R122" i="2"/>
  <c r="E122" i="2"/>
  <c r="P122" i="2"/>
  <c r="S119" i="2"/>
  <c r="Q118" i="2"/>
  <c r="C114" i="2"/>
  <c r="S114" i="2"/>
  <c r="B114" i="2"/>
  <c r="H114" i="2"/>
  <c r="M114" i="2"/>
  <c r="N114" i="2" s="1"/>
  <c r="O114" i="2" s="1"/>
  <c r="R114" i="2"/>
  <c r="E114" i="2"/>
  <c r="P114" i="2"/>
  <c r="S111" i="2"/>
  <c r="Q110" i="2"/>
  <c r="C106" i="2"/>
  <c r="S106" i="2"/>
  <c r="B106" i="2"/>
  <c r="H106" i="2"/>
  <c r="J106" i="2" s="1"/>
  <c r="K106" i="2" s="1"/>
  <c r="M106" i="2"/>
  <c r="N106" i="2" s="1"/>
  <c r="O106" i="2" s="1"/>
  <c r="R106" i="2"/>
  <c r="E106" i="2"/>
  <c r="G106" i="2" s="1"/>
  <c r="P106" i="2"/>
  <c r="S103" i="2"/>
  <c r="Q102" i="2"/>
  <c r="C98" i="2"/>
  <c r="S98" i="2"/>
  <c r="B98" i="2"/>
  <c r="H98" i="2"/>
  <c r="J98" i="2" s="1"/>
  <c r="K98" i="2" s="1"/>
  <c r="M98" i="2"/>
  <c r="R98" i="2"/>
  <c r="E98" i="2"/>
  <c r="P98" i="2"/>
  <c r="S95" i="2"/>
  <c r="Q94" i="2"/>
  <c r="C90" i="2"/>
  <c r="S90" i="2"/>
  <c r="B90" i="2"/>
  <c r="H90" i="2"/>
  <c r="M90" i="2"/>
  <c r="N90" i="2" s="1"/>
  <c r="O90" i="2" s="1"/>
  <c r="R90" i="2"/>
  <c r="E90" i="2"/>
  <c r="P90" i="2"/>
  <c r="S87" i="2"/>
  <c r="Q86" i="2"/>
  <c r="C82" i="2"/>
  <c r="S82" i="2"/>
  <c r="B82" i="2"/>
  <c r="H82" i="2"/>
  <c r="J82" i="2" s="1"/>
  <c r="K82" i="2" s="1"/>
  <c r="M82" i="2"/>
  <c r="N82" i="2" s="1"/>
  <c r="O82" i="2" s="1"/>
  <c r="R82" i="2"/>
  <c r="E82" i="2"/>
  <c r="P82" i="2"/>
  <c r="S79" i="2"/>
  <c r="Q78" i="2"/>
  <c r="C74" i="2"/>
  <c r="S74" i="2"/>
  <c r="B74" i="2"/>
  <c r="H74" i="2"/>
  <c r="M74" i="2"/>
  <c r="R74" i="2"/>
  <c r="E74" i="2"/>
  <c r="P74" i="2"/>
  <c r="S71" i="2"/>
  <c r="Q70" i="2"/>
  <c r="C66" i="2"/>
  <c r="S66" i="2"/>
  <c r="B66" i="2"/>
  <c r="H66" i="2"/>
  <c r="M66" i="2"/>
  <c r="R66" i="2"/>
  <c r="E66" i="2"/>
  <c r="P66" i="2"/>
  <c r="S63" i="2"/>
  <c r="Q62" i="2"/>
  <c r="C58" i="2"/>
  <c r="F58" i="2" s="1"/>
  <c r="S58" i="2"/>
  <c r="B58" i="2"/>
  <c r="H58" i="2"/>
  <c r="M58" i="2"/>
  <c r="R58" i="2"/>
  <c r="E58" i="2"/>
  <c r="G58" i="2" s="1"/>
  <c r="P58" i="2"/>
  <c r="S55" i="2"/>
  <c r="Q54" i="2"/>
  <c r="C50" i="2"/>
  <c r="S50" i="2"/>
  <c r="B50" i="2"/>
  <c r="H50" i="2"/>
  <c r="J50" i="2" s="1"/>
  <c r="K50" i="2" s="1"/>
  <c r="M50" i="2"/>
  <c r="N50" i="2" s="1"/>
  <c r="O50" i="2" s="1"/>
  <c r="R50" i="2"/>
  <c r="E50" i="2"/>
  <c r="P50" i="2"/>
  <c r="S47" i="2"/>
  <c r="Q46" i="2"/>
  <c r="C42" i="2"/>
  <c r="F42" i="2" s="1"/>
  <c r="S42" i="2"/>
  <c r="B42" i="2"/>
  <c r="H42" i="2"/>
  <c r="M42" i="2"/>
  <c r="N42" i="2" s="1"/>
  <c r="O42" i="2" s="1"/>
  <c r="R42" i="2"/>
  <c r="E42" i="2"/>
  <c r="P42" i="2"/>
  <c r="S39" i="2"/>
  <c r="Q38" i="2"/>
  <c r="C34" i="2"/>
  <c r="S34" i="2"/>
  <c r="B34" i="2"/>
  <c r="H34" i="2"/>
  <c r="J34" i="2" s="1"/>
  <c r="K34" i="2" s="1"/>
  <c r="M34" i="2"/>
  <c r="R34" i="2"/>
  <c r="E34" i="2"/>
  <c r="P34" i="2"/>
  <c r="S31" i="2"/>
  <c r="Q30" i="2"/>
  <c r="C26" i="2"/>
  <c r="S26" i="2"/>
  <c r="B26" i="2"/>
  <c r="H26" i="2"/>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O189" i="3"/>
  <c r="D189" i="3"/>
  <c r="I189" i="3"/>
  <c r="N189" i="3"/>
  <c r="J189" i="3"/>
  <c r="P189" i="3"/>
  <c r="B189" i="3"/>
  <c r="M189" i="3"/>
  <c r="B188" i="2"/>
  <c r="R188" i="2"/>
  <c r="D188" i="2"/>
  <c r="H188" i="2"/>
  <c r="J188" i="2" s="1"/>
  <c r="K188" i="2" s="1"/>
  <c r="L188" i="2"/>
  <c r="P188" i="2"/>
  <c r="D186" i="2"/>
  <c r="H186" i="2"/>
  <c r="L186" i="2"/>
  <c r="P186" i="2"/>
  <c r="B186" i="2"/>
  <c r="R186" i="2"/>
  <c r="B180" i="2"/>
  <c r="R180" i="2"/>
  <c r="D180" i="2"/>
  <c r="H180" i="2"/>
  <c r="J180" i="2" s="1"/>
  <c r="K180" i="2" s="1"/>
  <c r="L180" i="2"/>
  <c r="P180" i="2"/>
  <c r="D178" i="2"/>
  <c r="H178" i="2"/>
  <c r="L178" i="2"/>
  <c r="P178" i="2"/>
  <c r="B178" i="2"/>
  <c r="R178" i="2"/>
  <c r="B172" i="2"/>
  <c r="R172" i="2"/>
  <c r="D172" i="2"/>
  <c r="H172" i="2"/>
  <c r="L172" i="2"/>
  <c r="P172" i="2"/>
  <c r="S170" i="2"/>
  <c r="C170" i="2"/>
  <c r="C169" i="2"/>
  <c r="F169" i="2" s="1"/>
  <c r="S169" i="2"/>
  <c r="B169" i="2"/>
  <c r="H169" i="2"/>
  <c r="M169" i="2"/>
  <c r="R169" i="2"/>
  <c r="E169" i="2"/>
  <c r="G169" i="2" s="1"/>
  <c r="P169" i="2"/>
  <c r="D164" i="2"/>
  <c r="C161" i="2"/>
  <c r="F161" i="2" s="1"/>
  <c r="S161" i="2"/>
  <c r="B161" i="2"/>
  <c r="H161" i="2"/>
  <c r="M161" i="2"/>
  <c r="R161" i="2"/>
  <c r="E161" i="2"/>
  <c r="G161" i="2" s="1"/>
  <c r="P161" i="2"/>
  <c r="D156" i="2"/>
  <c r="C153" i="2"/>
  <c r="S153" i="2"/>
  <c r="B153" i="2"/>
  <c r="H153" i="2"/>
  <c r="M153" i="2"/>
  <c r="R153" i="2"/>
  <c r="E153" i="2"/>
  <c r="P153" i="2"/>
  <c r="C145" i="2"/>
  <c r="F145" i="2" s="1"/>
  <c r="S145" i="2"/>
  <c r="B145" i="2"/>
  <c r="H145" i="2"/>
  <c r="M145" i="2"/>
  <c r="N145" i="2" s="1"/>
  <c r="O145" i="2" s="1"/>
  <c r="R145" i="2"/>
  <c r="E145" i="2"/>
  <c r="G145" i="2" s="1"/>
  <c r="P145" i="2"/>
  <c r="B141" i="2"/>
  <c r="R141" i="2"/>
  <c r="C141" i="2"/>
  <c r="F141" i="2" s="1"/>
  <c r="H141" i="2"/>
  <c r="M141" i="2"/>
  <c r="S141" i="2"/>
  <c r="E141" i="2"/>
  <c r="G141" i="2" s="1"/>
  <c r="P141" i="2"/>
  <c r="D139" i="2"/>
  <c r="H139" i="2"/>
  <c r="J139" i="2" s="1"/>
  <c r="K139" i="2" s="1"/>
  <c r="L139" i="2"/>
  <c r="P139" i="2"/>
  <c r="E139" i="2"/>
  <c r="B139" i="2"/>
  <c r="M139" i="2"/>
  <c r="R139" i="2"/>
  <c r="B133" i="2"/>
  <c r="R133" i="2"/>
  <c r="C133" i="2"/>
  <c r="F133" i="2" s="1"/>
  <c r="H133" i="2"/>
  <c r="M133" i="2"/>
  <c r="N133" i="2" s="1"/>
  <c r="O133" i="2" s="1"/>
  <c r="S133" i="2"/>
  <c r="E133" i="2"/>
  <c r="G133" i="2" s="1"/>
  <c r="P133" i="2"/>
  <c r="D131" i="2"/>
  <c r="H131" i="2"/>
  <c r="L131" i="2"/>
  <c r="P131" i="2"/>
  <c r="E131" i="2"/>
  <c r="B131" i="2"/>
  <c r="M131" i="2"/>
  <c r="R131" i="2"/>
  <c r="B125" i="2"/>
  <c r="R125" i="2"/>
  <c r="C125" i="2"/>
  <c r="F125" i="2" s="1"/>
  <c r="H125" i="2"/>
  <c r="M125" i="2"/>
  <c r="S125" i="2"/>
  <c r="E125" i="2"/>
  <c r="G125" i="2" s="1"/>
  <c r="P125" i="2"/>
  <c r="D123" i="2"/>
  <c r="H123" i="2"/>
  <c r="L123" i="2"/>
  <c r="P123" i="2"/>
  <c r="E123" i="2"/>
  <c r="B123" i="2"/>
  <c r="M123" i="2"/>
  <c r="R123" i="2"/>
  <c r="B117" i="2"/>
  <c r="R117" i="2"/>
  <c r="C117" i="2"/>
  <c r="F117" i="2" s="1"/>
  <c r="H117" i="2"/>
  <c r="M117" i="2"/>
  <c r="S117" i="2"/>
  <c r="E117" i="2"/>
  <c r="G117" i="2" s="1"/>
  <c r="P117" i="2"/>
  <c r="D115" i="2"/>
  <c r="H115" i="2"/>
  <c r="J115" i="2" s="1"/>
  <c r="K115" i="2" s="1"/>
  <c r="L115" i="2"/>
  <c r="P115" i="2"/>
  <c r="E115" i="2"/>
  <c r="B115" i="2"/>
  <c r="M115" i="2"/>
  <c r="R115" i="2"/>
  <c r="B109" i="2"/>
  <c r="R109" i="2"/>
  <c r="C109" i="2"/>
  <c r="F109" i="2" s="1"/>
  <c r="H109" i="2"/>
  <c r="J109" i="2" s="1"/>
  <c r="K109" i="2" s="1"/>
  <c r="M109" i="2"/>
  <c r="S109" i="2"/>
  <c r="E109" i="2"/>
  <c r="G109" i="2" s="1"/>
  <c r="P109" i="2"/>
  <c r="D107" i="2"/>
  <c r="H107" i="2"/>
  <c r="L107" i="2"/>
  <c r="P107" i="2"/>
  <c r="E107" i="2"/>
  <c r="B107" i="2"/>
  <c r="M107" i="2"/>
  <c r="R107" i="2"/>
  <c r="B101" i="2"/>
  <c r="R101" i="2"/>
  <c r="C101" i="2"/>
  <c r="F101" i="2" s="1"/>
  <c r="H101" i="2"/>
  <c r="M101" i="2"/>
  <c r="S101" i="2"/>
  <c r="E101" i="2"/>
  <c r="G101" i="2" s="1"/>
  <c r="P101" i="2"/>
  <c r="D99" i="2"/>
  <c r="H99" i="2"/>
  <c r="J99" i="2" s="1"/>
  <c r="K99" i="2" s="1"/>
  <c r="L99" i="2"/>
  <c r="P99" i="2"/>
  <c r="E99" i="2"/>
  <c r="B99" i="2"/>
  <c r="M99" i="2"/>
  <c r="R99" i="2"/>
  <c r="B93" i="2"/>
  <c r="R93" i="2"/>
  <c r="C93" i="2"/>
  <c r="H93" i="2"/>
  <c r="J93" i="2" s="1"/>
  <c r="K93" i="2" s="1"/>
  <c r="M93" i="2"/>
  <c r="S93" i="2"/>
  <c r="E93" i="2"/>
  <c r="P93" i="2"/>
  <c r="D91" i="2"/>
  <c r="H91" i="2"/>
  <c r="L91" i="2"/>
  <c r="P91" i="2"/>
  <c r="E91" i="2"/>
  <c r="B91" i="2"/>
  <c r="M91" i="2"/>
  <c r="R91" i="2"/>
  <c r="B85" i="2"/>
  <c r="R85" i="2"/>
  <c r="C85" i="2"/>
  <c r="F85" i="2" s="1"/>
  <c r="H85" i="2"/>
  <c r="M85" i="2"/>
  <c r="S85" i="2"/>
  <c r="E85" i="2"/>
  <c r="G85" i="2" s="1"/>
  <c r="P85" i="2"/>
  <c r="D83" i="2"/>
  <c r="H83" i="2"/>
  <c r="L83" i="2"/>
  <c r="P83" i="2"/>
  <c r="E83" i="2"/>
  <c r="B83" i="2"/>
  <c r="M83" i="2"/>
  <c r="R83" i="2"/>
  <c r="B77" i="2"/>
  <c r="R77" i="2"/>
  <c r="C77" i="2"/>
  <c r="F77" i="2" s="1"/>
  <c r="H77" i="2"/>
  <c r="M77" i="2"/>
  <c r="S77" i="2"/>
  <c r="E77" i="2"/>
  <c r="G77" i="2" s="1"/>
  <c r="P77" i="2"/>
  <c r="D75" i="2"/>
  <c r="H75" i="2"/>
  <c r="L75" i="2"/>
  <c r="P75" i="2"/>
  <c r="E75" i="2"/>
  <c r="B75" i="2"/>
  <c r="M75" i="2"/>
  <c r="R75" i="2"/>
  <c r="B69" i="2"/>
  <c r="R69" i="2"/>
  <c r="C69" i="2"/>
  <c r="H69" i="2"/>
  <c r="M69" i="2"/>
  <c r="N69" i="2" s="1"/>
  <c r="O69" i="2" s="1"/>
  <c r="S69" i="2"/>
  <c r="E69" i="2"/>
  <c r="P69" i="2"/>
  <c r="D67" i="2"/>
  <c r="H67" i="2"/>
  <c r="J67" i="2" s="1"/>
  <c r="K67" i="2" s="1"/>
  <c r="L67" i="2"/>
  <c r="P67" i="2"/>
  <c r="E67" i="2"/>
  <c r="B67" i="2"/>
  <c r="M67" i="2"/>
  <c r="R67" i="2"/>
  <c r="B61" i="2"/>
  <c r="R61" i="2"/>
  <c r="C61" i="2"/>
  <c r="H61" i="2"/>
  <c r="J61" i="2" s="1"/>
  <c r="K61" i="2" s="1"/>
  <c r="M61" i="2"/>
  <c r="S61" i="2"/>
  <c r="E61" i="2"/>
  <c r="P61" i="2"/>
  <c r="D59" i="2"/>
  <c r="H59" i="2"/>
  <c r="J59" i="2" s="1"/>
  <c r="K59" i="2" s="1"/>
  <c r="L59" i="2"/>
  <c r="P59" i="2"/>
  <c r="E59" i="2"/>
  <c r="B59" i="2"/>
  <c r="M59" i="2"/>
  <c r="R59" i="2"/>
  <c r="B53" i="2"/>
  <c r="R53" i="2"/>
  <c r="C53" i="2"/>
  <c r="F53" i="2" s="1"/>
  <c r="H53" i="2"/>
  <c r="M53" i="2"/>
  <c r="S53" i="2"/>
  <c r="E53" i="2"/>
  <c r="G53" i="2" s="1"/>
  <c r="P53" i="2"/>
  <c r="D51" i="2"/>
  <c r="H51" i="2"/>
  <c r="L51" i="2"/>
  <c r="P51" i="2"/>
  <c r="E51" i="2"/>
  <c r="B51" i="2"/>
  <c r="M51" i="2"/>
  <c r="R51" i="2"/>
  <c r="B45" i="2"/>
  <c r="R45" i="2"/>
  <c r="C45" i="2"/>
  <c r="H45" i="2"/>
  <c r="J45" i="2" s="1"/>
  <c r="K45" i="2" s="1"/>
  <c r="M45" i="2"/>
  <c r="S45" i="2"/>
  <c r="E45" i="2"/>
  <c r="P45" i="2"/>
  <c r="D43" i="2"/>
  <c r="H43" i="2"/>
  <c r="J43" i="2" s="1"/>
  <c r="K43" i="2" s="1"/>
  <c r="L43" i="2"/>
  <c r="P43" i="2"/>
  <c r="E43" i="2"/>
  <c r="B43" i="2"/>
  <c r="M43" i="2"/>
  <c r="R43" i="2"/>
  <c r="B37" i="2"/>
  <c r="R37" i="2"/>
  <c r="C37" i="2"/>
  <c r="H37" i="2"/>
  <c r="M37" i="2"/>
  <c r="N37" i="2" s="1"/>
  <c r="O37" i="2" s="1"/>
  <c r="S37" i="2"/>
  <c r="E37" i="2"/>
  <c r="P37" i="2"/>
  <c r="D35" i="2"/>
  <c r="H35" i="2"/>
  <c r="L35" i="2"/>
  <c r="P35" i="2"/>
  <c r="E35" i="2"/>
  <c r="B35" i="2"/>
  <c r="M35" i="2"/>
  <c r="R35" i="2"/>
  <c r="B29" i="2"/>
  <c r="R29" i="2"/>
  <c r="C29" i="2"/>
  <c r="H29" i="2"/>
  <c r="J29" i="2" s="1"/>
  <c r="K29" i="2" s="1"/>
  <c r="M29" i="2"/>
  <c r="S29" i="2"/>
  <c r="E29" i="2"/>
  <c r="P29" i="2"/>
  <c r="D27" i="2"/>
  <c r="H27" i="2"/>
  <c r="L27" i="2"/>
  <c r="P27" i="2"/>
  <c r="E27" i="2"/>
  <c r="B27" i="2"/>
  <c r="M27" i="2"/>
  <c r="R27" i="2"/>
  <c r="C22" i="2"/>
  <c r="S22" i="2"/>
  <c r="E22" i="2"/>
  <c r="P22" i="2"/>
  <c r="B22" i="2"/>
  <c r="H22" i="2"/>
  <c r="M22" i="2"/>
  <c r="R22" i="2"/>
  <c r="D22" i="2"/>
  <c r="I22" i="2"/>
  <c r="E242" i="2"/>
  <c r="L164" i="2"/>
  <c r="D162" i="2"/>
  <c r="H162" i="2"/>
  <c r="L162" i="2"/>
  <c r="P162" i="2"/>
  <c r="E162" i="2"/>
  <c r="B162" i="2"/>
  <c r="M162" i="2"/>
  <c r="R162" i="2"/>
  <c r="L156" i="2"/>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S142" i="2"/>
  <c r="E142" i="2"/>
  <c r="P142" i="2"/>
  <c r="B142" i="2"/>
  <c r="H142" i="2"/>
  <c r="M142" i="2"/>
  <c r="N142" i="2" s="1"/>
  <c r="O142" i="2" s="1"/>
  <c r="R142" i="2"/>
  <c r="C134" i="2"/>
  <c r="S134" i="2"/>
  <c r="E134" i="2"/>
  <c r="P134" i="2"/>
  <c r="B134" i="2"/>
  <c r="H134" i="2"/>
  <c r="M134" i="2"/>
  <c r="N134" i="2" s="1"/>
  <c r="O134" i="2" s="1"/>
  <c r="R134" i="2"/>
  <c r="C126" i="2"/>
  <c r="F126" i="2" s="1"/>
  <c r="S126" i="2"/>
  <c r="E126" i="2"/>
  <c r="G126" i="2" s="1"/>
  <c r="P126" i="2"/>
  <c r="B126" i="2"/>
  <c r="H126" i="2"/>
  <c r="M126" i="2"/>
  <c r="R126" i="2"/>
  <c r="C118" i="2"/>
  <c r="F118" i="2" s="1"/>
  <c r="S118" i="2"/>
  <c r="E118" i="2"/>
  <c r="G118" i="2" s="1"/>
  <c r="P118" i="2"/>
  <c r="B118" i="2"/>
  <c r="H118" i="2"/>
  <c r="M118" i="2"/>
  <c r="R118" i="2"/>
  <c r="C110" i="2"/>
  <c r="F110" i="2" s="1"/>
  <c r="S110" i="2"/>
  <c r="E110" i="2"/>
  <c r="G110" i="2" s="1"/>
  <c r="P110" i="2"/>
  <c r="B110" i="2"/>
  <c r="H110" i="2"/>
  <c r="M110" i="2"/>
  <c r="R110" i="2"/>
  <c r="C102" i="2"/>
  <c r="F102" i="2" s="1"/>
  <c r="S102" i="2"/>
  <c r="E102" i="2"/>
  <c r="G102" i="2" s="1"/>
  <c r="P102" i="2"/>
  <c r="B102" i="2"/>
  <c r="H102" i="2"/>
  <c r="M102" i="2"/>
  <c r="R102" i="2"/>
  <c r="C94" i="2"/>
  <c r="F94" i="2" s="1"/>
  <c r="S94" i="2"/>
  <c r="E94" i="2"/>
  <c r="G94" i="2" s="1"/>
  <c r="P94" i="2"/>
  <c r="B94" i="2"/>
  <c r="H94" i="2"/>
  <c r="M94" i="2"/>
  <c r="N94" i="2" s="1"/>
  <c r="O94" i="2" s="1"/>
  <c r="R94" i="2"/>
  <c r="C86" i="2"/>
  <c r="F86" i="2" s="1"/>
  <c r="S86" i="2"/>
  <c r="E86" i="2"/>
  <c r="G86" i="2" s="1"/>
  <c r="P86" i="2"/>
  <c r="B86" i="2"/>
  <c r="H86" i="2"/>
  <c r="M86" i="2"/>
  <c r="R86" i="2"/>
  <c r="C78" i="2"/>
  <c r="F78" i="2" s="1"/>
  <c r="S78" i="2"/>
  <c r="E78" i="2"/>
  <c r="G78" i="2" s="1"/>
  <c r="P78" i="2"/>
  <c r="B78" i="2"/>
  <c r="H78" i="2"/>
  <c r="M78" i="2"/>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R54" i="2"/>
  <c r="C46" i="2"/>
  <c r="F46" i="2" s="1"/>
  <c r="S46" i="2"/>
  <c r="E46" i="2"/>
  <c r="G46" i="2" s="1"/>
  <c r="P46" i="2"/>
  <c r="B46" i="2"/>
  <c r="H46" i="2"/>
  <c r="M46" i="2"/>
  <c r="N46" i="2" s="1"/>
  <c r="O46" i="2" s="1"/>
  <c r="R46" i="2"/>
  <c r="C38" i="2"/>
  <c r="S38" i="2"/>
  <c r="E38" i="2"/>
  <c r="P38" i="2"/>
  <c r="B38" i="2"/>
  <c r="H38" i="2"/>
  <c r="M38" i="2"/>
  <c r="R38" i="2"/>
  <c r="C30" i="2"/>
  <c r="S30" i="2"/>
  <c r="E30" i="2"/>
  <c r="P30" i="2"/>
  <c r="B30" i="2"/>
  <c r="H30" i="2"/>
  <c r="M30" i="2"/>
  <c r="N30" i="2" s="1"/>
  <c r="O30" i="2" s="1"/>
  <c r="R30" i="2"/>
  <c r="C14" i="2"/>
  <c r="S14" i="2"/>
  <c r="D14" i="2"/>
  <c r="I14" i="2"/>
  <c r="E14" i="2"/>
  <c r="P14" i="2"/>
  <c r="B14" i="2"/>
  <c r="H14" i="2"/>
  <c r="M14" i="2"/>
  <c r="N14" i="2" s="1"/>
  <c r="O14" i="2" s="1"/>
  <c r="R14" i="2"/>
  <c r="I170" i="2"/>
  <c r="Q192" i="2"/>
  <c r="I192" i="2"/>
  <c r="D190" i="2"/>
  <c r="H190" i="2"/>
  <c r="J190" i="2" s="1"/>
  <c r="K190" i="2" s="1"/>
  <c r="L190" i="2"/>
  <c r="N190" i="2" s="1"/>
  <c r="O190" i="2" s="1"/>
  <c r="P190" i="2"/>
  <c r="B190" i="2"/>
  <c r="R190" i="2"/>
  <c r="M188" i="2"/>
  <c r="E188" i="2"/>
  <c r="M186" i="2"/>
  <c r="E186" i="2"/>
  <c r="B184" i="2"/>
  <c r="R184" i="2"/>
  <c r="D184" i="2"/>
  <c r="H184" i="2"/>
  <c r="L184" i="2"/>
  <c r="N184" i="2" s="1"/>
  <c r="O184" i="2" s="1"/>
  <c r="P184" i="2"/>
  <c r="D182" i="2"/>
  <c r="H182" i="2"/>
  <c r="L182" i="2"/>
  <c r="N182" i="2" s="1"/>
  <c r="O182" i="2" s="1"/>
  <c r="P182" i="2"/>
  <c r="B182" i="2"/>
  <c r="R182" i="2"/>
  <c r="M180" i="2"/>
  <c r="E180" i="2"/>
  <c r="M178" i="2"/>
  <c r="E178" i="2"/>
  <c r="B176" i="2"/>
  <c r="R176" i="2"/>
  <c r="D176" i="2"/>
  <c r="H176" i="2"/>
  <c r="J176" i="2" s="1"/>
  <c r="K176" i="2" s="1"/>
  <c r="L176" i="2"/>
  <c r="P176" i="2"/>
  <c r="D174" i="2"/>
  <c r="H174" i="2"/>
  <c r="L174" i="2"/>
  <c r="N174" i="2" s="1"/>
  <c r="O174" i="2" s="1"/>
  <c r="P174" i="2"/>
  <c r="B174" i="2"/>
  <c r="R174" i="2"/>
  <c r="M172" i="2"/>
  <c r="E172" i="2"/>
  <c r="Q169" i="2"/>
  <c r="C165" i="2"/>
  <c r="S165" i="2"/>
  <c r="E165" i="2"/>
  <c r="G165" i="2" s="1"/>
  <c r="P165" i="2"/>
  <c r="B165" i="2"/>
  <c r="H165" i="2"/>
  <c r="J165" i="2" s="1"/>
  <c r="K165" i="2" s="1"/>
  <c r="M165" i="2"/>
  <c r="R165" i="2"/>
  <c r="I164" i="2"/>
  <c r="S162" i="2"/>
  <c r="I162" i="2"/>
  <c r="Q161" i="2"/>
  <c r="C157" i="2"/>
  <c r="F157" i="2" s="1"/>
  <c r="S157" i="2"/>
  <c r="E157" i="2"/>
  <c r="G157" i="2" s="1"/>
  <c r="P157" i="2"/>
  <c r="B157" i="2"/>
  <c r="H157" i="2"/>
  <c r="J157" i="2" s="1"/>
  <c r="K157" i="2" s="1"/>
  <c r="M157" i="2"/>
  <c r="N157" i="2" s="1"/>
  <c r="O157" i="2" s="1"/>
  <c r="R157" i="2"/>
  <c r="I156" i="2"/>
  <c r="S154" i="2"/>
  <c r="I154" i="2"/>
  <c r="Q153" i="2"/>
  <c r="C149" i="2"/>
  <c r="S149" i="2"/>
  <c r="E149" i="2"/>
  <c r="P149" i="2"/>
  <c r="D3" i="21" s="1"/>
  <c r="B149" i="2"/>
  <c r="H149" i="2"/>
  <c r="J149" i="2" s="1"/>
  <c r="K149" i="2" s="1"/>
  <c r="M149" i="2"/>
  <c r="R149" i="2"/>
  <c r="E3" i="21" s="1"/>
  <c r="I148" i="2"/>
  <c r="S146" i="2"/>
  <c r="I146" i="2"/>
  <c r="Q145" i="2"/>
  <c r="D143" i="2"/>
  <c r="H143" i="2"/>
  <c r="J143" i="2" s="1"/>
  <c r="M143" i="2"/>
  <c r="N143" i="2" s="1"/>
  <c r="O143" i="2" s="1"/>
  <c r="Q143" i="2"/>
  <c r="B143" i="2"/>
  <c r="S143" i="2"/>
  <c r="E143" i="2"/>
  <c r="P143" i="2"/>
  <c r="I142" i="2"/>
  <c r="Q141" i="2"/>
  <c r="Q139" i="2"/>
  <c r="B137" i="2"/>
  <c r="R137" i="2"/>
  <c r="E137" i="2"/>
  <c r="P137" i="2"/>
  <c r="C137" i="2"/>
  <c r="H137" i="2"/>
  <c r="J137" i="2" s="1"/>
  <c r="K137" i="2" s="1"/>
  <c r="M137" i="2"/>
  <c r="S137" i="2"/>
  <c r="D135" i="2"/>
  <c r="H135" i="2"/>
  <c r="J135" i="2" s="1"/>
  <c r="K135" i="2" s="1"/>
  <c r="L135" i="2"/>
  <c r="P135" i="2"/>
  <c r="B135" i="2"/>
  <c r="M135" i="2"/>
  <c r="R135" i="2"/>
  <c r="E135" i="2"/>
  <c r="I134" i="2"/>
  <c r="Q133" i="2"/>
  <c r="Q131" i="2"/>
  <c r="B129" i="2"/>
  <c r="R129" i="2"/>
  <c r="E129" i="2"/>
  <c r="P129" i="2"/>
  <c r="C129" i="2"/>
  <c r="H129" i="2"/>
  <c r="J129" i="2" s="1"/>
  <c r="K129" i="2" s="1"/>
  <c r="M129" i="2"/>
  <c r="S129" i="2"/>
  <c r="D127" i="2"/>
  <c r="H127" i="2"/>
  <c r="J127" i="2" s="1"/>
  <c r="K127" i="2" s="1"/>
  <c r="L127" i="2"/>
  <c r="P127" i="2"/>
  <c r="B127" i="2"/>
  <c r="M127" i="2"/>
  <c r="R127" i="2"/>
  <c r="E127" i="2"/>
  <c r="I126" i="2"/>
  <c r="Q125" i="2"/>
  <c r="Q123" i="2"/>
  <c r="B121" i="2"/>
  <c r="R121" i="2"/>
  <c r="E121" i="2"/>
  <c r="P121" i="2"/>
  <c r="C121" i="2"/>
  <c r="H121" i="2"/>
  <c r="J121" i="2" s="1"/>
  <c r="K121" i="2" s="1"/>
  <c r="M121" i="2"/>
  <c r="S121" i="2"/>
  <c r="D119" i="2"/>
  <c r="H119" i="2"/>
  <c r="J119" i="2" s="1"/>
  <c r="K119" i="2" s="1"/>
  <c r="L119" i="2"/>
  <c r="P119" i="2"/>
  <c r="B119" i="2"/>
  <c r="M119" i="2"/>
  <c r="R119" i="2"/>
  <c r="E119" i="2"/>
  <c r="I118" i="2"/>
  <c r="Q117" i="2"/>
  <c r="Q115" i="2"/>
  <c r="B113" i="2"/>
  <c r="R113" i="2"/>
  <c r="E113" i="2"/>
  <c r="G113" i="2" s="1"/>
  <c r="P113" i="2"/>
  <c r="C113" i="2"/>
  <c r="F113" i="2" s="1"/>
  <c r="H113" i="2"/>
  <c r="M113" i="2"/>
  <c r="N113" i="2" s="1"/>
  <c r="O113" i="2" s="1"/>
  <c r="S113" i="2"/>
  <c r="D111" i="2"/>
  <c r="H111" i="2"/>
  <c r="J111" i="2" s="1"/>
  <c r="K111" i="2" s="1"/>
  <c r="L111" i="2"/>
  <c r="P111" i="2"/>
  <c r="B111" i="2"/>
  <c r="M111" i="2"/>
  <c r="R111" i="2"/>
  <c r="E111" i="2"/>
  <c r="I110" i="2"/>
  <c r="Q109" i="2"/>
  <c r="Q107" i="2"/>
  <c r="B105" i="2"/>
  <c r="R105" i="2"/>
  <c r="E105" i="2"/>
  <c r="P105" i="2"/>
  <c r="C105" i="2"/>
  <c r="H105" i="2"/>
  <c r="J105" i="2" s="1"/>
  <c r="K105" i="2" s="1"/>
  <c r="M105" i="2"/>
  <c r="S105" i="2"/>
  <c r="D103" i="2"/>
  <c r="H103" i="2"/>
  <c r="J103" i="2" s="1"/>
  <c r="K103" i="2" s="1"/>
  <c r="L103" i="2"/>
  <c r="P103" i="2"/>
  <c r="B103" i="2"/>
  <c r="M103" i="2"/>
  <c r="R103" i="2"/>
  <c r="E103" i="2"/>
  <c r="I102" i="2"/>
  <c r="Q101" i="2"/>
  <c r="Q99" i="2"/>
  <c r="B97" i="2"/>
  <c r="R97" i="2"/>
  <c r="E97" i="2"/>
  <c r="P97" i="2"/>
  <c r="C97" i="2"/>
  <c r="H97" i="2"/>
  <c r="J97" i="2" s="1"/>
  <c r="K97" i="2" s="1"/>
  <c r="M97" i="2"/>
  <c r="N97" i="2" s="1"/>
  <c r="O97" i="2" s="1"/>
  <c r="S97" i="2"/>
  <c r="D95" i="2"/>
  <c r="H95" i="2"/>
  <c r="J95" i="2" s="1"/>
  <c r="K95" i="2" s="1"/>
  <c r="L95" i="2"/>
  <c r="P95" i="2"/>
  <c r="B95" i="2"/>
  <c r="M95" i="2"/>
  <c r="R95" i="2"/>
  <c r="E95" i="2"/>
  <c r="I94" i="2"/>
  <c r="Q93" i="2"/>
  <c r="Q91" i="2"/>
  <c r="B89" i="2"/>
  <c r="R89" i="2"/>
  <c r="E89" i="2"/>
  <c r="P89" i="2"/>
  <c r="C89" i="2"/>
  <c r="H89" i="2"/>
  <c r="J89" i="2" s="1"/>
  <c r="K89" i="2" s="1"/>
  <c r="M89" i="2"/>
  <c r="N89" i="2" s="1"/>
  <c r="O89" i="2" s="1"/>
  <c r="S89" i="2"/>
  <c r="D87" i="2"/>
  <c r="H87" i="2"/>
  <c r="J87" i="2" s="1"/>
  <c r="K87" i="2" s="1"/>
  <c r="L87" i="2"/>
  <c r="P87" i="2"/>
  <c r="B87" i="2"/>
  <c r="M87" i="2"/>
  <c r="R87" i="2"/>
  <c r="E87" i="2"/>
  <c r="I86" i="2"/>
  <c r="Q85" i="2"/>
  <c r="Q83" i="2"/>
  <c r="B81" i="2"/>
  <c r="R81" i="2"/>
  <c r="E81" i="2"/>
  <c r="P81" i="2"/>
  <c r="C81" i="2"/>
  <c r="H81" i="2"/>
  <c r="J81" i="2" s="1"/>
  <c r="K81" i="2" s="1"/>
  <c r="M81" i="2"/>
  <c r="S81" i="2"/>
  <c r="D79" i="2"/>
  <c r="H79" i="2"/>
  <c r="L79" i="2"/>
  <c r="P79" i="2"/>
  <c r="B79" i="2"/>
  <c r="M79" i="2"/>
  <c r="R79" i="2"/>
  <c r="E79" i="2"/>
  <c r="I78" i="2"/>
  <c r="Q77" i="2"/>
  <c r="Q75" i="2"/>
  <c r="B73" i="2"/>
  <c r="R73" i="2"/>
  <c r="E73" i="2"/>
  <c r="P73" i="2"/>
  <c r="C73" i="2"/>
  <c r="H73" i="2"/>
  <c r="M73" i="2"/>
  <c r="S73" i="2"/>
  <c r="D71" i="2"/>
  <c r="H71" i="2"/>
  <c r="L71" i="2"/>
  <c r="P71" i="2"/>
  <c r="B71" i="2"/>
  <c r="M71" i="2"/>
  <c r="R71" i="2"/>
  <c r="E71" i="2"/>
  <c r="I70" i="2"/>
  <c r="Q69" i="2"/>
  <c r="Q67" i="2"/>
  <c r="B65" i="2"/>
  <c r="R65" i="2"/>
  <c r="E65" i="2"/>
  <c r="G65" i="2" s="1"/>
  <c r="P65" i="2"/>
  <c r="C65" i="2"/>
  <c r="F65" i="2" s="1"/>
  <c r="H65" i="2"/>
  <c r="M65" i="2"/>
  <c r="S65" i="2"/>
  <c r="D63" i="2"/>
  <c r="H63" i="2"/>
  <c r="L63" i="2"/>
  <c r="P63" i="2"/>
  <c r="B63" i="2"/>
  <c r="M63" i="2"/>
  <c r="R63" i="2"/>
  <c r="E63" i="2"/>
  <c r="I62" i="2"/>
  <c r="Q61" i="2"/>
  <c r="Q59" i="2"/>
  <c r="B57" i="2"/>
  <c r="R57" i="2"/>
  <c r="E57" i="2"/>
  <c r="G57" i="2" s="1"/>
  <c r="P57" i="2"/>
  <c r="C57" i="2"/>
  <c r="F57" i="2" s="1"/>
  <c r="H57" i="2"/>
  <c r="J57" i="2" s="1"/>
  <c r="K57" i="2" s="1"/>
  <c r="M57" i="2"/>
  <c r="N57" i="2" s="1"/>
  <c r="O57" i="2" s="1"/>
  <c r="S57" i="2"/>
  <c r="D55" i="2"/>
  <c r="H55" i="2"/>
  <c r="J55" i="2" s="1"/>
  <c r="K55" i="2" s="1"/>
  <c r="L55" i="2"/>
  <c r="P55" i="2"/>
  <c r="B55" i="2"/>
  <c r="M55" i="2"/>
  <c r="R55" i="2"/>
  <c r="E55" i="2"/>
  <c r="I54" i="2"/>
  <c r="Q53" i="2"/>
  <c r="Q51" i="2"/>
  <c r="B49" i="2"/>
  <c r="R49" i="2"/>
  <c r="E49" i="2"/>
  <c r="P49" i="2"/>
  <c r="C49" i="2"/>
  <c r="H49" i="2"/>
  <c r="M49" i="2"/>
  <c r="S49" i="2"/>
  <c r="D47" i="2"/>
  <c r="H47" i="2"/>
  <c r="J47" i="2" s="1"/>
  <c r="K47" i="2" s="1"/>
  <c r="L47" i="2"/>
  <c r="P47" i="2"/>
  <c r="B47" i="2"/>
  <c r="M47" i="2"/>
  <c r="R47" i="2"/>
  <c r="E47" i="2"/>
  <c r="I46" i="2"/>
  <c r="Q45" i="2"/>
  <c r="Q43" i="2"/>
  <c r="B41" i="2"/>
  <c r="R41" i="2"/>
  <c r="E41" i="2"/>
  <c r="P41" i="2"/>
  <c r="C41" i="2"/>
  <c r="H41" i="2"/>
  <c r="M41" i="2"/>
  <c r="N41" i="2" s="1"/>
  <c r="O41" i="2" s="1"/>
  <c r="S41" i="2"/>
  <c r="D39" i="2"/>
  <c r="H39" i="2"/>
  <c r="L39" i="2"/>
  <c r="P39" i="2"/>
  <c r="B39" i="2"/>
  <c r="M39" i="2"/>
  <c r="R39" i="2"/>
  <c r="E39" i="2"/>
  <c r="I38" i="2"/>
  <c r="Q37" i="2"/>
  <c r="Q35" i="2"/>
  <c r="B33" i="2"/>
  <c r="R33" i="2"/>
  <c r="E33" i="2"/>
  <c r="G33" i="2" s="1"/>
  <c r="P33" i="2"/>
  <c r="C33" i="2"/>
  <c r="F33" i="2" s="1"/>
  <c r="H33" i="2"/>
  <c r="M33" i="2"/>
  <c r="N33" i="2" s="1"/>
  <c r="O33" i="2" s="1"/>
  <c r="S33" i="2"/>
  <c r="D31" i="2"/>
  <c r="H31" i="2"/>
  <c r="L31" i="2"/>
  <c r="P31" i="2"/>
  <c r="B31" i="2"/>
  <c r="M31" i="2"/>
  <c r="R31" i="2"/>
  <c r="E31" i="2"/>
  <c r="I30" i="2"/>
  <c r="Q29" i="2"/>
  <c r="Q27" i="2"/>
  <c r="B25" i="2"/>
  <c r="R25" i="2"/>
  <c r="E25" i="2"/>
  <c r="P25" i="2"/>
  <c r="C25" i="2"/>
  <c r="H25" i="2"/>
  <c r="M25" i="2"/>
  <c r="S25" i="2"/>
  <c r="L22" i="2"/>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P18" i="2"/>
  <c r="E18" i="2"/>
  <c r="E15" i="2"/>
  <c r="P13" i="2"/>
  <c r="E13" i="2"/>
  <c r="P185" i="3"/>
  <c r="K184" i="3"/>
  <c r="D184" i="3"/>
  <c r="L184" i="3"/>
  <c r="P184" i="3"/>
  <c r="C184" i="3"/>
  <c r="G184" i="3"/>
  <c r="O184" i="3"/>
  <c r="C181" i="3"/>
  <c r="G181" i="3"/>
  <c r="O181" i="3"/>
  <c r="B181" i="3"/>
  <c r="F181" i="3"/>
  <c r="J181" i="3"/>
  <c r="K181" i="3" s="1"/>
  <c r="N181" i="3"/>
  <c r="J180" i="3"/>
  <c r="K180" i="3" s="1"/>
  <c r="L177" i="3"/>
  <c r="N172" i="3"/>
  <c r="F172" i="3"/>
  <c r="P169" i="3"/>
  <c r="D168" i="3"/>
  <c r="L168" i="3"/>
  <c r="P168" i="3"/>
  <c r="C168" i="3"/>
  <c r="G168" i="3"/>
  <c r="O168" i="3"/>
  <c r="C165" i="3"/>
  <c r="E165" i="3" s="1"/>
  <c r="G165" i="3"/>
  <c r="O165" i="3"/>
  <c r="B165" i="3"/>
  <c r="F165" i="3"/>
  <c r="J165" i="3"/>
  <c r="K165" i="3" s="1"/>
  <c r="N165" i="3"/>
  <c r="J164" i="3"/>
  <c r="L161" i="3"/>
  <c r="N156" i="3"/>
  <c r="F156" i="3"/>
  <c r="P153" i="3"/>
  <c r="D152" i="3"/>
  <c r="L152" i="3"/>
  <c r="P152" i="3"/>
  <c r="C152" i="3"/>
  <c r="G152" i="3"/>
  <c r="O152" i="3"/>
  <c r="C149" i="3"/>
  <c r="E149" i="3" s="1"/>
  <c r="G149" i="3"/>
  <c r="E149" i="5" s="1"/>
  <c r="O149" i="3"/>
  <c r="B149" i="3"/>
  <c r="F149" i="3"/>
  <c r="J149" i="3"/>
  <c r="N149" i="3"/>
  <c r="J148" i="3"/>
  <c r="L145" i="3"/>
  <c r="N140" i="3"/>
  <c r="F140" i="3"/>
  <c r="P137" i="3"/>
  <c r="D136" i="3"/>
  <c r="L136" i="3"/>
  <c r="P136" i="3"/>
  <c r="C136" i="3"/>
  <c r="G136" i="3"/>
  <c r="O136" i="3"/>
  <c r="C133" i="3"/>
  <c r="G133" i="3"/>
  <c r="E133" i="5" s="1"/>
  <c r="O133" i="3"/>
  <c r="B133" i="3"/>
  <c r="F133" i="3"/>
  <c r="J133" i="3"/>
  <c r="K133" i="3" s="1"/>
  <c r="N133" i="3"/>
  <c r="J132" i="3"/>
  <c r="K132" i="3" s="1"/>
  <c r="D124" i="3"/>
  <c r="L124" i="3"/>
  <c r="P124" i="3"/>
  <c r="B124" i="3"/>
  <c r="F124" i="3"/>
  <c r="J124" i="3"/>
  <c r="N124" i="3"/>
  <c r="C124" i="3"/>
  <c r="G124" i="3"/>
  <c r="E124" i="5" s="1"/>
  <c r="O124" i="3"/>
  <c r="Q113" i="3"/>
  <c r="Q107" i="3"/>
  <c r="Q97" i="3"/>
  <c r="D180" i="3"/>
  <c r="L180" i="3"/>
  <c r="P180" i="3"/>
  <c r="C180" i="3"/>
  <c r="G180" i="3"/>
  <c r="O180" i="3"/>
  <c r="C177" i="3"/>
  <c r="E177" i="3" s="1"/>
  <c r="G177" i="3"/>
  <c r="O177" i="3"/>
  <c r="B177" i="3"/>
  <c r="F177" i="3"/>
  <c r="J177" i="3"/>
  <c r="N177" i="3"/>
  <c r="D164" i="3"/>
  <c r="L164" i="3"/>
  <c r="P164" i="3"/>
  <c r="C164" i="3"/>
  <c r="G164" i="3"/>
  <c r="E164" i="5" s="1"/>
  <c r="O164" i="3"/>
  <c r="C161" i="3"/>
  <c r="G161" i="3"/>
  <c r="O161" i="3"/>
  <c r="B161" i="3"/>
  <c r="F161" i="3"/>
  <c r="J161" i="3"/>
  <c r="K161" i="3" s="1"/>
  <c r="N161" i="3"/>
  <c r="D148" i="3"/>
  <c r="L148" i="3"/>
  <c r="P148" i="3"/>
  <c r="C148" i="3"/>
  <c r="G148" i="3"/>
  <c r="O148" i="3"/>
  <c r="C145" i="3"/>
  <c r="G145" i="3"/>
  <c r="E145" i="5" s="1"/>
  <c r="O145" i="3"/>
  <c r="B145" i="3"/>
  <c r="F145" i="3"/>
  <c r="J145" i="3"/>
  <c r="K145" i="3" s="1"/>
  <c r="N145" i="3"/>
  <c r="D132" i="3"/>
  <c r="L132" i="3"/>
  <c r="P132" i="3"/>
  <c r="C132" i="3"/>
  <c r="G132" i="3"/>
  <c r="E132" i="5" s="1"/>
  <c r="O132" i="3"/>
  <c r="B8" i="28" s="1"/>
  <c r="D128" i="3"/>
  <c r="L128" i="3"/>
  <c r="P128" i="3"/>
  <c r="B128" i="3"/>
  <c r="F128" i="3"/>
  <c r="J128" i="3"/>
  <c r="N128" i="3"/>
  <c r="C128" i="3"/>
  <c r="G128" i="3"/>
  <c r="E128" i="5" s="1"/>
  <c r="O128" i="3"/>
  <c r="C118" i="3"/>
  <c r="G118" i="3"/>
  <c r="H118" i="3" s="1"/>
  <c r="J118" i="3"/>
  <c r="N118" i="3"/>
  <c r="B118" i="3"/>
  <c r="L118" i="3"/>
  <c r="P118" i="3"/>
  <c r="D118" i="3"/>
  <c r="I118" i="3"/>
  <c r="M118" i="3"/>
  <c r="Q118" i="3"/>
  <c r="C102" i="3"/>
  <c r="G102" i="3"/>
  <c r="H102" i="3" s="1"/>
  <c r="O102" i="3"/>
  <c r="J102" i="3"/>
  <c r="P102" i="3"/>
  <c r="B102" i="3"/>
  <c r="M102" i="3"/>
  <c r="D102" i="3"/>
  <c r="I102" i="3"/>
  <c r="N102" i="3"/>
  <c r="C245" i="2"/>
  <c r="R23" i="2"/>
  <c r="M23" i="2"/>
  <c r="B23" i="2"/>
  <c r="S21" i="2"/>
  <c r="M21" i="2"/>
  <c r="N21" i="2" s="1"/>
  <c r="O21" i="2" s="1"/>
  <c r="H21" i="2"/>
  <c r="C21" i="2"/>
  <c r="R18" i="2"/>
  <c r="M18" i="2"/>
  <c r="H18" i="2"/>
  <c r="J18" i="2" s="1"/>
  <c r="K18" i="2" s="1"/>
  <c r="R15" i="2"/>
  <c r="M15" i="2"/>
  <c r="S13" i="2"/>
  <c r="M13" i="2"/>
  <c r="N13" i="2" s="1"/>
  <c r="O13" i="2" s="1"/>
  <c r="H13" i="2"/>
  <c r="J13" i="2" s="1"/>
  <c r="K13" i="2" s="1"/>
  <c r="I6" i="3"/>
  <c r="L6" i="3"/>
  <c r="F6" i="3"/>
  <c r="D188" i="3"/>
  <c r="L188" i="3"/>
  <c r="P188" i="3"/>
  <c r="L185" i="3"/>
  <c r="M184" i="3"/>
  <c r="N180" i="3"/>
  <c r="F180" i="3"/>
  <c r="P177" i="3"/>
  <c r="D176" i="3"/>
  <c r="L176" i="3"/>
  <c r="P176" i="3"/>
  <c r="C176" i="3"/>
  <c r="G176" i="3"/>
  <c r="O176" i="3"/>
  <c r="C173" i="3"/>
  <c r="G173" i="3"/>
  <c r="O173" i="3"/>
  <c r="B173" i="3"/>
  <c r="F173" i="3"/>
  <c r="J173" i="3"/>
  <c r="N173" i="3"/>
  <c r="J172" i="3"/>
  <c r="H171" i="3"/>
  <c r="L169" i="3"/>
  <c r="M168" i="3"/>
  <c r="N164" i="3"/>
  <c r="F164" i="3"/>
  <c r="P161" i="3"/>
  <c r="D160" i="3"/>
  <c r="L160" i="3"/>
  <c r="P160" i="3"/>
  <c r="C160" i="3"/>
  <c r="G160" i="3"/>
  <c r="O160" i="3"/>
  <c r="C157" i="3"/>
  <c r="E157" i="3" s="1"/>
  <c r="G157" i="3"/>
  <c r="E157" i="5" s="1"/>
  <c r="O157" i="3"/>
  <c r="B157" i="3"/>
  <c r="F157" i="3"/>
  <c r="J157" i="3"/>
  <c r="K157" i="3" s="1"/>
  <c r="N157" i="3"/>
  <c r="J156" i="3"/>
  <c r="K156" i="3" s="1"/>
  <c r="L153" i="3"/>
  <c r="M152" i="3"/>
  <c r="N148" i="3"/>
  <c r="F148" i="3"/>
  <c r="P145" i="3"/>
  <c r="D144" i="3"/>
  <c r="L144" i="3"/>
  <c r="P144" i="3"/>
  <c r="C144" i="3"/>
  <c r="G144" i="3"/>
  <c r="O144" i="3"/>
  <c r="C141" i="3"/>
  <c r="G141" i="3"/>
  <c r="E141" i="5" s="1"/>
  <c r="O141" i="3"/>
  <c r="B141" i="3"/>
  <c r="F141" i="3"/>
  <c r="J141" i="3"/>
  <c r="K141" i="3" s="1"/>
  <c r="N141" i="3"/>
  <c r="J140" i="3"/>
  <c r="L137" i="3"/>
  <c r="M136" i="3"/>
  <c r="M133" i="3"/>
  <c r="N132" i="3"/>
  <c r="F132" i="3"/>
  <c r="M128" i="3"/>
  <c r="I124" i="3"/>
  <c r="O118" i="3"/>
  <c r="Q102" i="3"/>
  <c r="C18" i="2"/>
  <c r="S18" i="2"/>
  <c r="D15" i="2"/>
  <c r="H15" i="2"/>
  <c r="J15" i="2" s="1"/>
  <c r="K15" i="2" s="1"/>
  <c r="L15" i="2"/>
  <c r="P15" i="2"/>
  <c r="B13" i="2"/>
  <c r="R13" i="2"/>
  <c r="B6" i="6"/>
  <c r="N6" i="5"/>
  <c r="H6" i="5"/>
  <c r="K6" i="5"/>
  <c r="C185" i="3"/>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E153" i="5" s="1"/>
  <c r="O153" i="3"/>
  <c r="B153" i="3"/>
  <c r="F153" i="3"/>
  <c r="J153" i="3"/>
  <c r="N153" i="3"/>
  <c r="M148" i="3"/>
  <c r="M145" i="3"/>
  <c r="D140" i="3"/>
  <c r="L140" i="3"/>
  <c r="P140" i="3"/>
  <c r="C140" i="3"/>
  <c r="G140" i="3"/>
  <c r="E140" i="5" s="1"/>
  <c r="O140" i="3"/>
  <c r="C137" i="3"/>
  <c r="G137" i="3"/>
  <c r="E137" i="5" s="1"/>
  <c r="O137" i="3"/>
  <c r="B137" i="3"/>
  <c r="F137" i="3"/>
  <c r="J137" i="3"/>
  <c r="N137" i="3"/>
  <c r="M132" i="3"/>
  <c r="I128" i="3"/>
  <c r="D120" i="3"/>
  <c r="L120" i="3"/>
  <c r="P120" i="3"/>
  <c r="B120" i="3"/>
  <c r="F120" i="3"/>
  <c r="J120" i="3"/>
  <c r="K120" i="3" s="1"/>
  <c r="N120" i="3"/>
  <c r="C120" i="3"/>
  <c r="G120" i="3"/>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J115" i="3"/>
  <c r="K115" i="3" s="1"/>
  <c r="N115" i="3"/>
  <c r="C110" i="3"/>
  <c r="E110" i="3" s="1"/>
  <c r="G110" i="3"/>
  <c r="H110" i="3" s="1"/>
  <c r="O110" i="3"/>
  <c r="D105" i="3"/>
  <c r="L105" i="3"/>
  <c r="P105" i="3"/>
  <c r="B99" i="3"/>
  <c r="F99" i="3"/>
  <c r="J99" i="3"/>
  <c r="K99" i="3" s="1"/>
  <c r="N99" i="3"/>
  <c r="C94" i="3"/>
  <c r="E94" i="3" s="1"/>
  <c r="G94" i="3"/>
  <c r="H94" i="3" s="1"/>
  <c r="O94" i="3"/>
  <c r="O91" i="3"/>
  <c r="I91" i="3"/>
  <c r="D91" i="3"/>
  <c r="E91" i="3" s="1"/>
  <c r="D89" i="3"/>
  <c r="E89" i="3" s="1"/>
  <c r="L89" i="3"/>
  <c r="P89" i="3"/>
  <c r="N86" i="3"/>
  <c r="I86" i="3"/>
  <c r="D86" i="3"/>
  <c r="B83" i="3"/>
  <c r="F83" i="3"/>
  <c r="J83" i="3"/>
  <c r="N83" i="3"/>
  <c r="N81" i="3"/>
  <c r="I81" i="3"/>
  <c r="C81" i="3"/>
  <c r="C78" i="3"/>
  <c r="G78" i="3"/>
  <c r="O78" i="3"/>
  <c r="O75" i="3"/>
  <c r="I75" i="3"/>
  <c r="D75" i="3"/>
  <c r="D73" i="3"/>
  <c r="E73" i="3" s="1"/>
  <c r="L73" i="3"/>
  <c r="P73" i="3"/>
  <c r="N70" i="3"/>
  <c r="I70" i="3"/>
  <c r="D70" i="3"/>
  <c r="B67" i="3"/>
  <c r="F67" i="3"/>
  <c r="H67" i="3" s="1"/>
  <c r="J67" i="3"/>
  <c r="N67" i="3"/>
  <c r="N65" i="3"/>
  <c r="I65" i="3"/>
  <c r="C65" i="3"/>
  <c r="C62" i="3"/>
  <c r="G62" i="3"/>
  <c r="O62" i="3"/>
  <c r="O59" i="3"/>
  <c r="I59" i="3"/>
  <c r="D59" i="3"/>
  <c r="E59" i="3" s="1"/>
  <c r="D57" i="3"/>
  <c r="E57" i="3" s="1"/>
  <c r="L57" i="3"/>
  <c r="P57" i="3"/>
  <c r="N54" i="3"/>
  <c r="I54" i="3"/>
  <c r="D54" i="3"/>
  <c r="B51" i="3"/>
  <c r="F51" i="3"/>
  <c r="H51" i="3" s="1"/>
  <c r="J51" i="3"/>
  <c r="K51" i="3" s="1"/>
  <c r="N51" i="3"/>
  <c r="N49" i="3"/>
  <c r="I49" i="3"/>
  <c r="C49" i="3"/>
  <c r="C46" i="3"/>
  <c r="E46" i="3" s="1"/>
  <c r="G46" i="3"/>
  <c r="O46" i="3"/>
  <c r="O43" i="3"/>
  <c r="I43" i="3"/>
  <c r="D43" i="3"/>
  <c r="E43" i="3" s="1"/>
  <c r="D41" i="3"/>
  <c r="L41" i="3"/>
  <c r="P41" i="3"/>
  <c r="N38" i="3"/>
  <c r="I38" i="3"/>
  <c r="D38" i="3"/>
  <c r="B35" i="3"/>
  <c r="F35" i="3"/>
  <c r="J35" i="3"/>
  <c r="N35" i="3"/>
  <c r="N33" i="3"/>
  <c r="I33" i="3"/>
  <c r="C33" i="3"/>
  <c r="C30" i="3"/>
  <c r="E30" i="3" s="1"/>
  <c r="G30" i="3"/>
  <c r="O30" i="3"/>
  <c r="O27" i="3"/>
  <c r="I27" i="3"/>
  <c r="D27" i="3"/>
  <c r="D25" i="3"/>
  <c r="L25" i="3"/>
  <c r="P25" i="3"/>
  <c r="N22" i="3"/>
  <c r="I22" i="3"/>
  <c r="D22" i="3"/>
  <c r="B19" i="3"/>
  <c r="F19" i="3"/>
  <c r="J19" i="3"/>
  <c r="N19" i="3"/>
  <c r="N17" i="3"/>
  <c r="I17" i="3"/>
  <c r="C17" i="3"/>
  <c r="C14" i="3"/>
  <c r="G14" i="3"/>
  <c r="O14" i="3"/>
  <c r="O11" i="3"/>
  <c r="I11" i="3"/>
  <c r="D11" i="3"/>
  <c r="D9" i="3"/>
  <c r="E9" i="3" s="1"/>
  <c r="L9" i="3"/>
  <c r="P9" i="3"/>
  <c r="D62" i="5"/>
  <c r="I62" i="5"/>
  <c r="O62" i="5"/>
  <c r="D61" i="5"/>
  <c r="H61" i="5"/>
  <c r="D60" i="5"/>
  <c r="H60" i="5"/>
  <c r="L60" i="5"/>
  <c r="D59" i="5"/>
  <c r="H59" i="5"/>
  <c r="D58" i="5"/>
  <c r="H58" i="5"/>
  <c r="D57" i="5"/>
  <c r="H57" i="5"/>
  <c r="D56" i="5"/>
  <c r="H56" i="5"/>
  <c r="D55" i="5"/>
  <c r="H55" i="5"/>
  <c r="D54" i="5"/>
  <c r="H54" i="5"/>
  <c r="D53" i="5"/>
  <c r="H53" i="5"/>
  <c r="D52" i="5"/>
  <c r="H52" i="5"/>
  <c r="D51" i="5"/>
  <c r="H51" i="5"/>
  <c r="D50" i="5"/>
  <c r="H50" i="5"/>
  <c r="E12" i="5"/>
  <c r="F12" i="5" s="1"/>
  <c r="G12" i="5" s="1"/>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C8" i="28" s="1"/>
  <c r="L126" i="3"/>
  <c r="D126" i="3"/>
  <c r="P122" i="3"/>
  <c r="L122" i="3"/>
  <c r="D122" i="3"/>
  <c r="P115" i="3"/>
  <c r="C114" i="3"/>
  <c r="G114" i="3"/>
  <c r="H114" i="3" s="1"/>
  <c r="O114" i="3"/>
  <c r="P110" i="3"/>
  <c r="J110" i="3"/>
  <c r="K110" i="3" s="1"/>
  <c r="D109" i="3"/>
  <c r="L109" i="3"/>
  <c r="P109" i="3"/>
  <c r="O105" i="3"/>
  <c r="J105" i="3"/>
  <c r="B103" i="3"/>
  <c r="F103" i="3"/>
  <c r="H103" i="3" s="1"/>
  <c r="J103" i="3"/>
  <c r="N103" i="3"/>
  <c r="P99" i="3"/>
  <c r="C98" i="3"/>
  <c r="G98" i="3"/>
  <c r="H98" i="3" s="1"/>
  <c r="O98" i="3"/>
  <c r="P94" i="3"/>
  <c r="J94" i="3"/>
  <c r="D93" i="3"/>
  <c r="L93" i="3"/>
  <c r="P93" i="3"/>
  <c r="M91" i="3"/>
  <c r="O89" i="3"/>
  <c r="J89" i="3"/>
  <c r="B87" i="3"/>
  <c r="F87" i="3"/>
  <c r="J87" i="3"/>
  <c r="N87" i="3"/>
  <c r="M86" i="3"/>
  <c r="P83" i="3"/>
  <c r="C82" i="3"/>
  <c r="G82" i="3"/>
  <c r="O82" i="3"/>
  <c r="M81" i="3"/>
  <c r="G81" i="3"/>
  <c r="E81" i="5" s="1"/>
  <c r="P78" i="3"/>
  <c r="J78" i="3"/>
  <c r="K78" i="3" s="1"/>
  <c r="H77" i="3"/>
  <c r="D77" i="3"/>
  <c r="L77" i="3"/>
  <c r="P77" i="3"/>
  <c r="M75" i="3"/>
  <c r="O73" i="3"/>
  <c r="J73" i="3"/>
  <c r="K73" i="3" s="1"/>
  <c r="B71" i="3"/>
  <c r="F71" i="3"/>
  <c r="H71" i="3" s="1"/>
  <c r="J71" i="3"/>
  <c r="N71" i="3"/>
  <c r="M70" i="3"/>
  <c r="P67" i="3"/>
  <c r="C66" i="3"/>
  <c r="G66" i="3"/>
  <c r="H66" i="3" s="1"/>
  <c r="O66" i="3"/>
  <c r="M65" i="3"/>
  <c r="G65" i="3"/>
  <c r="H65" i="3" s="1"/>
  <c r="P62" i="3"/>
  <c r="J62" i="3"/>
  <c r="K62" i="3" s="1"/>
  <c r="H61" i="3"/>
  <c r="D61" i="3"/>
  <c r="L61" i="3"/>
  <c r="P61" i="3"/>
  <c r="M59" i="3"/>
  <c r="O57" i="3"/>
  <c r="J57" i="3"/>
  <c r="K57" i="3" s="1"/>
  <c r="B55" i="3"/>
  <c r="F55" i="3"/>
  <c r="J55" i="3"/>
  <c r="N55" i="3"/>
  <c r="M54" i="3"/>
  <c r="P51" i="3"/>
  <c r="C50" i="3"/>
  <c r="G50" i="3"/>
  <c r="E50" i="5" s="1"/>
  <c r="O50" i="3"/>
  <c r="M49" i="3"/>
  <c r="G49" i="3"/>
  <c r="E49" i="5" s="1"/>
  <c r="F49" i="5" s="1"/>
  <c r="G49" i="5" s="1"/>
  <c r="P46" i="3"/>
  <c r="J46" i="3"/>
  <c r="K46" i="3" s="1"/>
  <c r="D45" i="3"/>
  <c r="L45" i="3"/>
  <c r="P45" i="3"/>
  <c r="M43" i="3"/>
  <c r="K42" i="3"/>
  <c r="O41" i="3"/>
  <c r="J41" i="3"/>
  <c r="K41" i="3" s="1"/>
  <c r="B39" i="3"/>
  <c r="F39" i="3"/>
  <c r="H39" i="3" s="1"/>
  <c r="J39" i="3"/>
  <c r="N39" i="3"/>
  <c r="M38" i="3"/>
  <c r="P35" i="3"/>
  <c r="C34" i="3"/>
  <c r="G34" i="3"/>
  <c r="O34" i="3"/>
  <c r="M33" i="3"/>
  <c r="G33" i="3"/>
  <c r="E33" i="5" s="1"/>
  <c r="F33" i="5" s="1"/>
  <c r="G33" i="5" s="1"/>
  <c r="P30" i="3"/>
  <c r="J30" i="3"/>
  <c r="K30" i="3" s="1"/>
  <c r="H29" i="3"/>
  <c r="D29" i="3"/>
  <c r="L29" i="3"/>
  <c r="P29" i="3"/>
  <c r="M27" i="3"/>
  <c r="O25" i="3"/>
  <c r="J25" i="3"/>
  <c r="K25" i="3" s="1"/>
  <c r="B23" i="3"/>
  <c r="F23" i="3"/>
  <c r="H23" i="3" s="1"/>
  <c r="J23" i="3"/>
  <c r="N23" i="3"/>
  <c r="M22" i="3"/>
  <c r="P19" i="3"/>
  <c r="C18" i="3"/>
  <c r="G18" i="3"/>
  <c r="O18" i="3"/>
  <c r="M17" i="3"/>
  <c r="G17" i="3"/>
  <c r="E17" i="5" s="1"/>
  <c r="F17" i="5" s="1"/>
  <c r="G17" i="5" s="1"/>
  <c r="P14" i="3"/>
  <c r="J14" i="3"/>
  <c r="K14" i="3" s="1"/>
  <c r="H13" i="3"/>
  <c r="D13" i="3"/>
  <c r="L13" i="3"/>
  <c r="P13" i="3"/>
  <c r="M11" i="3"/>
  <c r="O9" i="3"/>
  <c r="J9" i="3"/>
  <c r="B7" i="3"/>
  <c r="F7" i="3"/>
  <c r="J7" i="3"/>
  <c r="N7" i="3"/>
  <c r="E166" i="5"/>
  <c r="E162" i="5"/>
  <c r="E159" i="5"/>
  <c r="E158" i="5"/>
  <c r="E151" i="5"/>
  <c r="E147" i="5"/>
  <c r="E123" i="5"/>
  <c r="E116" i="5"/>
  <c r="E109" i="5"/>
  <c r="E103" i="5"/>
  <c r="E101" i="5"/>
  <c r="E93" i="5"/>
  <c r="E92" i="5"/>
  <c r="E84" i="5"/>
  <c r="E71" i="5"/>
  <c r="E68" i="5"/>
  <c r="E67" i="5"/>
  <c r="E64" i="5"/>
  <c r="N62" i="5"/>
  <c r="K61" i="5"/>
  <c r="K60" i="5"/>
  <c r="K59" i="5"/>
  <c r="K58" i="5"/>
  <c r="K57" i="5"/>
  <c r="K56" i="5"/>
  <c r="K55" i="5"/>
  <c r="K54" i="5"/>
  <c r="K53" i="5"/>
  <c r="K52" i="5"/>
  <c r="K51" i="5"/>
  <c r="K50" i="5"/>
  <c r="D170" i="7"/>
  <c r="L170" i="7"/>
  <c r="C162" i="7"/>
  <c r="G162" i="7"/>
  <c r="K162" i="7"/>
  <c r="O162" i="7"/>
  <c r="D162" i="7"/>
  <c r="H162" i="7"/>
  <c r="L162" i="7"/>
  <c r="B162" i="7"/>
  <c r="F162" i="7"/>
  <c r="J162" i="7"/>
  <c r="N162" i="7"/>
  <c r="N159" i="7"/>
  <c r="L149" i="7"/>
  <c r="B91" i="3"/>
  <c r="F91" i="3"/>
  <c r="J91" i="3"/>
  <c r="N91" i="3"/>
  <c r="C86" i="3"/>
  <c r="G86" i="3"/>
  <c r="O86" i="3"/>
  <c r="D81" i="3"/>
  <c r="L81" i="3"/>
  <c r="P81" i="3"/>
  <c r="B75" i="3"/>
  <c r="F75" i="3"/>
  <c r="J75" i="3"/>
  <c r="N75" i="3"/>
  <c r="C70" i="3"/>
  <c r="G70" i="3"/>
  <c r="O70" i="3"/>
  <c r="D65" i="3"/>
  <c r="L65" i="3"/>
  <c r="P65" i="3"/>
  <c r="B59" i="3"/>
  <c r="F59" i="3"/>
  <c r="H59" i="3" s="1"/>
  <c r="J59" i="3"/>
  <c r="N59" i="3"/>
  <c r="C54" i="3"/>
  <c r="G54" i="3"/>
  <c r="O54" i="3"/>
  <c r="D49" i="3"/>
  <c r="L49" i="3"/>
  <c r="P49" i="3"/>
  <c r="B43" i="3"/>
  <c r="F43" i="3"/>
  <c r="H43" i="3" s="1"/>
  <c r="J43" i="3"/>
  <c r="N43" i="3"/>
  <c r="C38" i="3"/>
  <c r="G38" i="3"/>
  <c r="H38" i="3" s="1"/>
  <c r="O38" i="3"/>
  <c r="D33" i="3"/>
  <c r="L33" i="3"/>
  <c r="P33" i="3"/>
  <c r="B27" i="3"/>
  <c r="F27" i="3"/>
  <c r="H27" i="3" s="1"/>
  <c r="J27" i="3"/>
  <c r="N27" i="3"/>
  <c r="C22" i="3"/>
  <c r="G22" i="3"/>
  <c r="H22" i="3" s="1"/>
  <c r="O22" i="3"/>
  <c r="D17" i="3"/>
  <c r="L17" i="3"/>
  <c r="P17" i="3"/>
  <c r="B11" i="3"/>
  <c r="F11" i="3"/>
  <c r="J11" i="3"/>
  <c r="N11" i="3"/>
  <c r="E61" i="5"/>
  <c r="E60" i="5"/>
  <c r="E59" i="5"/>
  <c r="E56" i="5"/>
  <c r="E47" i="5"/>
  <c r="F47" i="5" s="1"/>
  <c r="G47" i="5" s="1"/>
  <c r="E43" i="5"/>
  <c r="F43" i="5" s="1"/>
  <c r="G43" i="5" s="1"/>
  <c r="E39" i="5"/>
  <c r="F39" i="5" s="1"/>
  <c r="G39" i="5" s="1"/>
  <c r="E29" i="5"/>
  <c r="F29" i="5" s="1"/>
  <c r="G29" i="5" s="1"/>
  <c r="E13" i="5"/>
  <c r="F13" i="5" s="1"/>
  <c r="G13" i="5" s="1"/>
  <c r="E7" i="5"/>
  <c r="F7" i="5" s="1"/>
  <c r="G7" i="5" s="1"/>
  <c r="F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F186" i="3"/>
  <c r="H186" i="3" s="1"/>
  <c r="N182" i="3"/>
  <c r="J182" i="3"/>
  <c r="K182" i="3" s="1"/>
  <c r="F182" i="3"/>
  <c r="H182" i="3" s="1"/>
  <c r="N178" i="3"/>
  <c r="J178" i="3"/>
  <c r="F178" i="3"/>
  <c r="N174" i="3"/>
  <c r="J174" i="3"/>
  <c r="F174" i="3"/>
  <c r="N170" i="3"/>
  <c r="J170" i="3"/>
  <c r="F170" i="3"/>
  <c r="H170" i="3" s="1"/>
  <c r="N166" i="3"/>
  <c r="J166" i="3"/>
  <c r="K166" i="3" s="1"/>
  <c r="F166" i="3"/>
  <c r="H166" i="3" s="1"/>
  <c r="N162" i="3"/>
  <c r="J162" i="3"/>
  <c r="F162" i="3"/>
  <c r="H162" i="3" s="1"/>
  <c r="N158" i="3"/>
  <c r="J158" i="3"/>
  <c r="K158" i="3" s="1"/>
  <c r="F158" i="3"/>
  <c r="N154" i="3"/>
  <c r="J154" i="3"/>
  <c r="F154" i="3"/>
  <c r="N150" i="3"/>
  <c r="J150" i="3"/>
  <c r="F150" i="3"/>
  <c r="N146" i="3"/>
  <c r="J146" i="3"/>
  <c r="K146" i="3" s="1"/>
  <c r="F146" i="3"/>
  <c r="N142" i="3"/>
  <c r="J142" i="3"/>
  <c r="K142" i="3" s="1"/>
  <c r="F142" i="3"/>
  <c r="N138" i="3"/>
  <c r="J138" i="3"/>
  <c r="F138" i="3"/>
  <c r="N134" i="3"/>
  <c r="J134" i="3"/>
  <c r="F134" i="3"/>
  <c r="N130" i="3"/>
  <c r="J130" i="3"/>
  <c r="K130" i="3" s="1"/>
  <c r="F130" i="3"/>
  <c r="O129" i="3"/>
  <c r="G129" i="3"/>
  <c r="H129" i="3" s="1"/>
  <c r="N126" i="3"/>
  <c r="J126" i="3"/>
  <c r="K126" i="3" s="1"/>
  <c r="F126" i="3"/>
  <c r="O125" i="3"/>
  <c r="G125" i="3"/>
  <c r="N122" i="3"/>
  <c r="J122" i="3"/>
  <c r="K122" i="3" s="1"/>
  <c r="F122" i="3"/>
  <c r="O121" i="3"/>
  <c r="G121" i="3"/>
  <c r="D117" i="3"/>
  <c r="E117" i="3" s="1"/>
  <c r="L117" i="3"/>
  <c r="P117" i="3"/>
  <c r="M115" i="3"/>
  <c r="C115" i="3"/>
  <c r="N114" i="3"/>
  <c r="I114" i="3"/>
  <c r="K114" i="3" s="1"/>
  <c r="D114" i="3"/>
  <c r="B111" i="3"/>
  <c r="F111" i="3"/>
  <c r="J111" i="3"/>
  <c r="K111" i="3" s="1"/>
  <c r="N111" i="3"/>
  <c r="M110" i="3"/>
  <c r="B110" i="3"/>
  <c r="N109" i="3"/>
  <c r="I109" i="3"/>
  <c r="K109" i="3" s="1"/>
  <c r="C109" i="3"/>
  <c r="C106" i="3"/>
  <c r="E106" i="3" s="1"/>
  <c r="G106" i="3"/>
  <c r="O106" i="3"/>
  <c r="M105" i="3"/>
  <c r="G105" i="3"/>
  <c r="E105" i="5" s="1"/>
  <c r="B105" i="3"/>
  <c r="O103" i="3"/>
  <c r="I103" i="3"/>
  <c r="D103" i="3"/>
  <c r="D101" i="3"/>
  <c r="E101" i="3" s="1"/>
  <c r="L101" i="3"/>
  <c r="P101" i="3"/>
  <c r="M99" i="3"/>
  <c r="C99" i="3"/>
  <c r="E99" i="3" s="1"/>
  <c r="N98" i="3"/>
  <c r="I98" i="3"/>
  <c r="D98" i="3"/>
  <c r="B95" i="3"/>
  <c r="F95" i="3"/>
  <c r="J95" i="3"/>
  <c r="K95" i="3" s="1"/>
  <c r="N95" i="3"/>
  <c r="M94" i="3"/>
  <c r="B94" i="3"/>
  <c r="N93" i="3"/>
  <c r="I93" i="3"/>
  <c r="K93" i="3" s="1"/>
  <c r="C93" i="3"/>
  <c r="P91" i="3"/>
  <c r="C90" i="3"/>
  <c r="E90" i="3" s="1"/>
  <c r="G90" i="3"/>
  <c r="O90" i="3"/>
  <c r="M89" i="3"/>
  <c r="G89" i="3"/>
  <c r="E89" i="5" s="1"/>
  <c r="B89" i="3"/>
  <c r="O87" i="3"/>
  <c r="I87" i="3"/>
  <c r="D87" i="3"/>
  <c r="E87" i="3" s="1"/>
  <c r="P86" i="3"/>
  <c r="J86" i="3"/>
  <c r="D85" i="3"/>
  <c r="E85" i="3" s="1"/>
  <c r="L85" i="3"/>
  <c r="P85" i="3"/>
  <c r="M83" i="3"/>
  <c r="C83" i="3"/>
  <c r="E83" i="3" s="1"/>
  <c r="N82" i="3"/>
  <c r="I82" i="3"/>
  <c r="D82" i="3"/>
  <c r="O81" i="3"/>
  <c r="J81" i="3"/>
  <c r="B79" i="3"/>
  <c r="F79" i="3"/>
  <c r="J79" i="3"/>
  <c r="N79" i="3"/>
  <c r="M78" i="3"/>
  <c r="B78" i="3"/>
  <c r="N77" i="3"/>
  <c r="I77" i="3"/>
  <c r="C77" i="3"/>
  <c r="P75" i="3"/>
  <c r="C74" i="3"/>
  <c r="G74" i="3"/>
  <c r="O74" i="3"/>
  <c r="M73" i="3"/>
  <c r="G73" i="3"/>
  <c r="E73" i="5" s="1"/>
  <c r="B73" i="3"/>
  <c r="O71" i="3"/>
  <c r="I71" i="3"/>
  <c r="D71" i="3"/>
  <c r="P70" i="3"/>
  <c r="J70" i="3"/>
  <c r="D69" i="3"/>
  <c r="L69" i="3"/>
  <c r="P69" i="3"/>
  <c r="M67" i="3"/>
  <c r="C67" i="3"/>
  <c r="E67" i="3" s="1"/>
  <c r="N66" i="3"/>
  <c r="I66" i="3"/>
  <c r="D66" i="3"/>
  <c r="O65" i="3"/>
  <c r="J65" i="3"/>
  <c r="B63" i="3"/>
  <c r="F63" i="3"/>
  <c r="J63" i="3"/>
  <c r="K63" i="3" s="1"/>
  <c r="N63" i="3"/>
  <c r="M62" i="3"/>
  <c r="B62" i="3"/>
  <c r="N61" i="3"/>
  <c r="I61" i="3"/>
  <c r="C61" i="3"/>
  <c r="P59" i="3"/>
  <c r="C58" i="3"/>
  <c r="G58" i="3"/>
  <c r="H58" i="3" s="1"/>
  <c r="O58" i="3"/>
  <c r="M57" i="3"/>
  <c r="G57" i="3"/>
  <c r="H57" i="3" s="1"/>
  <c r="B57" i="3"/>
  <c r="O55" i="3"/>
  <c r="I55" i="3"/>
  <c r="D55" i="3"/>
  <c r="P54" i="3"/>
  <c r="J54" i="3"/>
  <c r="D53" i="3"/>
  <c r="L53" i="3"/>
  <c r="P53" i="3"/>
  <c r="M51" i="3"/>
  <c r="C51" i="3"/>
  <c r="N50" i="3"/>
  <c r="I50" i="3"/>
  <c r="K50" i="3" s="1"/>
  <c r="D50" i="3"/>
  <c r="O49" i="3"/>
  <c r="J49" i="3"/>
  <c r="B47" i="3"/>
  <c r="F47" i="3"/>
  <c r="H47" i="3" s="1"/>
  <c r="J47" i="3"/>
  <c r="N47" i="3"/>
  <c r="M46" i="3"/>
  <c r="B46" i="3"/>
  <c r="N45" i="3"/>
  <c r="I45" i="3"/>
  <c r="C45" i="3"/>
  <c r="P43" i="3"/>
  <c r="C42" i="3"/>
  <c r="E42" i="3" s="1"/>
  <c r="G42" i="3"/>
  <c r="H42" i="3" s="1"/>
  <c r="O42" i="3"/>
  <c r="M41" i="3"/>
  <c r="G41" i="3"/>
  <c r="H41" i="3" s="1"/>
  <c r="B41" i="3"/>
  <c r="O39" i="3"/>
  <c r="I39" i="3"/>
  <c r="D39" i="3"/>
  <c r="P38" i="3"/>
  <c r="J38" i="3"/>
  <c r="D37" i="3"/>
  <c r="E37" i="3" s="1"/>
  <c r="L37" i="3"/>
  <c r="P37" i="3"/>
  <c r="M35" i="3"/>
  <c r="C35" i="3"/>
  <c r="E35" i="3" s="1"/>
  <c r="N34" i="3"/>
  <c r="I34" i="3"/>
  <c r="D34" i="3"/>
  <c r="O33" i="3"/>
  <c r="J33" i="3"/>
  <c r="B31" i="3"/>
  <c r="F31" i="3"/>
  <c r="J31" i="3"/>
  <c r="N31" i="3"/>
  <c r="M30" i="3"/>
  <c r="B30" i="3"/>
  <c r="N29" i="3"/>
  <c r="I29" i="3"/>
  <c r="C29" i="3"/>
  <c r="P27" i="3"/>
  <c r="C26" i="3"/>
  <c r="G26" i="3"/>
  <c r="O26" i="3"/>
  <c r="M25" i="3"/>
  <c r="G25" i="3"/>
  <c r="H25" i="3" s="1"/>
  <c r="B25" i="3"/>
  <c r="O23" i="3"/>
  <c r="I23" i="3"/>
  <c r="D23" i="3"/>
  <c r="E23" i="3" s="1"/>
  <c r="P22" i="3"/>
  <c r="J22" i="3"/>
  <c r="D21" i="3"/>
  <c r="E21" i="3" s="1"/>
  <c r="L21" i="3"/>
  <c r="P21" i="3"/>
  <c r="M19" i="3"/>
  <c r="C19" i="3"/>
  <c r="E19" i="3" s="1"/>
  <c r="N18" i="3"/>
  <c r="I18" i="3"/>
  <c r="K18" i="3" s="1"/>
  <c r="D18" i="3"/>
  <c r="O17" i="3"/>
  <c r="J17" i="3"/>
  <c r="B15" i="3"/>
  <c r="F15" i="3"/>
  <c r="J15" i="3"/>
  <c r="N15" i="3"/>
  <c r="M14" i="3"/>
  <c r="B14" i="3"/>
  <c r="N13" i="3"/>
  <c r="I13" i="3"/>
  <c r="C13" i="3"/>
  <c r="P11" i="3"/>
  <c r="C10" i="3"/>
  <c r="G10" i="3"/>
  <c r="O10" i="3"/>
  <c r="M9" i="3"/>
  <c r="G9" i="3"/>
  <c r="B9" i="3"/>
  <c r="O7" i="3"/>
  <c r="I7" i="3"/>
  <c r="D7" i="3"/>
  <c r="E7" i="3" s="1"/>
  <c r="D166" i="5"/>
  <c r="H166" i="5"/>
  <c r="J166" i="5" s="1"/>
  <c r="D165" i="5"/>
  <c r="H165" i="5"/>
  <c r="J165" i="5" s="1"/>
  <c r="L165" i="5"/>
  <c r="D164" i="5"/>
  <c r="H164" i="5"/>
  <c r="J164" i="5" s="1"/>
  <c r="D163" i="5"/>
  <c r="H163" i="5"/>
  <c r="J163" i="5" s="1"/>
  <c r="D162" i="5"/>
  <c r="H162" i="5"/>
  <c r="D161" i="5"/>
  <c r="H161" i="5"/>
  <c r="D160" i="5"/>
  <c r="H160" i="5"/>
  <c r="D159" i="5"/>
  <c r="H159" i="5"/>
  <c r="J159" i="5" s="1"/>
  <c r="D158" i="5"/>
  <c r="H158" i="5"/>
  <c r="J158" i="5" s="1"/>
  <c r="D157" i="5"/>
  <c r="H157" i="5"/>
  <c r="J157" i="5" s="1"/>
  <c r="D156" i="5"/>
  <c r="H156" i="5"/>
  <c r="D155" i="5"/>
  <c r="H155" i="5"/>
  <c r="J155" i="5" s="1"/>
  <c r="D154" i="5"/>
  <c r="H154" i="5"/>
  <c r="J154" i="5" s="1"/>
  <c r="D153" i="5"/>
  <c r="H153" i="5"/>
  <c r="J153" i="5" s="1"/>
  <c r="D152" i="5"/>
  <c r="H152" i="5"/>
  <c r="D151" i="5"/>
  <c r="H151" i="5"/>
  <c r="J151" i="5" s="1"/>
  <c r="D150" i="5"/>
  <c r="H150" i="5"/>
  <c r="J150" i="5" s="1"/>
  <c r="D149" i="5"/>
  <c r="H149" i="5"/>
  <c r="J149" i="5" s="1"/>
  <c r="D148" i="5"/>
  <c r="H148" i="5"/>
  <c r="J148" i="5" s="1"/>
  <c r="D147" i="5"/>
  <c r="H147" i="5"/>
  <c r="J147" i="5" s="1"/>
  <c r="D146" i="5"/>
  <c r="H146" i="5"/>
  <c r="D145" i="5"/>
  <c r="H145" i="5"/>
  <c r="J145" i="5" s="1"/>
  <c r="D144" i="5"/>
  <c r="H144" i="5"/>
  <c r="D143" i="5"/>
  <c r="H143" i="5"/>
  <c r="J143" i="5" s="1"/>
  <c r="D142" i="5"/>
  <c r="H142" i="5"/>
  <c r="D141" i="5"/>
  <c r="H141" i="5"/>
  <c r="J141" i="5" s="1"/>
  <c r="D140" i="5"/>
  <c r="H140" i="5"/>
  <c r="D139" i="5"/>
  <c r="H139" i="5"/>
  <c r="J139" i="5" s="1"/>
  <c r="D138" i="5"/>
  <c r="H138" i="5"/>
  <c r="D137" i="5"/>
  <c r="H137" i="5"/>
  <c r="J137" i="5" s="1"/>
  <c r="D136" i="5"/>
  <c r="H136" i="5"/>
  <c r="D135" i="5"/>
  <c r="H135" i="5"/>
  <c r="J135" i="5" s="1"/>
  <c r="D134" i="5"/>
  <c r="H134" i="5"/>
  <c r="D133" i="5"/>
  <c r="H133" i="5"/>
  <c r="J133" i="5" s="1"/>
  <c r="D132" i="5"/>
  <c r="H132" i="5"/>
  <c r="L132" i="5"/>
  <c r="D131" i="5"/>
  <c r="H131" i="5"/>
  <c r="J131" i="5" s="1"/>
  <c r="D130" i="5"/>
  <c r="H130" i="5"/>
  <c r="J130" i="5" s="1"/>
  <c r="D129" i="5"/>
  <c r="H129" i="5"/>
  <c r="D128" i="5"/>
  <c r="H128" i="5"/>
  <c r="D127" i="5"/>
  <c r="H127" i="5"/>
  <c r="J127" i="5" s="1"/>
  <c r="D126" i="5"/>
  <c r="H126" i="5"/>
  <c r="L126" i="5"/>
  <c r="M126" i="5" s="1"/>
  <c r="D125" i="5"/>
  <c r="H125" i="5"/>
  <c r="J125" i="5" s="1"/>
  <c r="D124" i="5"/>
  <c r="H124" i="5"/>
  <c r="D123" i="5"/>
  <c r="H123" i="5"/>
  <c r="J123" i="5" s="1"/>
  <c r="D122" i="5"/>
  <c r="H122" i="5"/>
  <c r="J122" i="5" s="1"/>
  <c r="L122" i="5"/>
  <c r="D121" i="5"/>
  <c r="H121" i="5"/>
  <c r="D120" i="5"/>
  <c r="H120" i="5"/>
  <c r="D119" i="5"/>
  <c r="H119" i="5"/>
  <c r="J119" i="5" s="1"/>
  <c r="D118" i="5"/>
  <c r="H118" i="5"/>
  <c r="D117" i="5"/>
  <c r="H117" i="5"/>
  <c r="D116" i="5"/>
  <c r="H116" i="5"/>
  <c r="D115" i="5"/>
  <c r="H115" i="5"/>
  <c r="J115" i="5" s="1"/>
  <c r="D114" i="5"/>
  <c r="H114" i="5"/>
  <c r="J114" i="5" s="1"/>
  <c r="D113" i="5"/>
  <c r="H113" i="5"/>
  <c r="J113" i="5" s="1"/>
  <c r="D112" i="5"/>
  <c r="H112" i="5"/>
  <c r="D111" i="5"/>
  <c r="H111" i="5"/>
  <c r="J111" i="5" s="1"/>
  <c r="D110" i="5"/>
  <c r="H110" i="5"/>
  <c r="D109" i="5"/>
  <c r="H109" i="5"/>
  <c r="J109" i="5" s="1"/>
  <c r="D108" i="5"/>
  <c r="H108" i="5"/>
  <c r="J108" i="5" s="1"/>
  <c r="L108" i="5"/>
  <c r="D107" i="5"/>
  <c r="H107" i="5"/>
  <c r="J107" i="5" s="1"/>
  <c r="D106" i="5"/>
  <c r="H106" i="5"/>
  <c r="D105" i="5"/>
  <c r="H105" i="5"/>
  <c r="J105" i="5" s="1"/>
  <c r="D104" i="5"/>
  <c r="H104" i="5"/>
  <c r="J104" i="5" s="1"/>
  <c r="D103" i="5"/>
  <c r="H103" i="5"/>
  <c r="J103" i="5" s="1"/>
  <c r="D102" i="5"/>
  <c r="H102" i="5"/>
  <c r="D101" i="5"/>
  <c r="H101" i="5"/>
  <c r="J101" i="5" s="1"/>
  <c r="D100" i="5"/>
  <c r="H100" i="5"/>
  <c r="J100" i="5" s="1"/>
  <c r="D99" i="5"/>
  <c r="H99" i="5"/>
  <c r="J99" i="5" s="1"/>
  <c r="D98" i="5"/>
  <c r="H98" i="5"/>
  <c r="D97" i="5"/>
  <c r="H97" i="5"/>
  <c r="J97" i="5" s="1"/>
  <c r="D96" i="5"/>
  <c r="H96" i="5"/>
  <c r="J96" i="5" s="1"/>
  <c r="D95" i="5"/>
  <c r="H95" i="5"/>
  <c r="J95" i="5" s="1"/>
  <c r="D94" i="5"/>
  <c r="H94" i="5"/>
  <c r="D93" i="5"/>
  <c r="H93" i="5"/>
  <c r="J93" i="5" s="1"/>
  <c r="D92" i="5"/>
  <c r="H92" i="5"/>
  <c r="J92" i="5" s="1"/>
  <c r="D91" i="5"/>
  <c r="H91" i="5"/>
  <c r="J91" i="5" s="1"/>
  <c r="L91" i="5"/>
  <c r="M91" i="5" s="1"/>
  <c r="D90" i="5"/>
  <c r="H90" i="5"/>
  <c r="D89" i="5"/>
  <c r="H89" i="5"/>
  <c r="J89" i="5" s="1"/>
  <c r="D88" i="5"/>
  <c r="H88" i="5"/>
  <c r="J88" i="5" s="1"/>
  <c r="L88" i="5"/>
  <c r="M88" i="5" s="1"/>
  <c r="D87" i="5"/>
  <c r="H87" i="5"/>
  <c r="J87" i="5" s="1"/>
  <c r="D86" i="5"/>
  <c r="H86" i="5"/>
  <c r="D85" i="5"/>
  <c r="H85" i="5"/>
  <c r="J85" i="5" s="1"/>
  <c r="D84" i="5"/>
  <c r="H84" i="5"/>
  <c r="J84" i="5" s="1"/>
  <c r="L84" i="5"/>
  <c r="D83" i="5"/>
  <c r="H83" i="5"/>
  <c r="J83" i="5" s="1"/>
  <c r="D82" i="5"/>
  <c r="H82" i="5"/>
  <c r="D81" i="5"/>
  <c r="H81" i="5"/>
  <c r="J81" i="5" s="1"/>
  <c r="D80" i="5"/>
  <c r="H80" i="5"/>
  <c r="J80" i="5" s="1"/>
  <c r="L80" i="5"/>
  <c r="M80" i="5" s="1"/>
  <c r="D79" i="5"/>
  <c r="H79" i="5"/>
  <c r="J79" i="5" s="1"/>
  <c r="D78" i="5"/>
  <c r="H78" i="5"/>
  <c r="D77" i="5"/>
  <c r="H77" i="5"/>
  <c r="J77" i="5" s="1"/>
  <c r="D76" i="5"/>
  <c r="H76" i="5"/>
  <c r="J76" i="5" s="1"/>
  <c r="D75" i="5"/>
  <c r="H75" i="5"/>
  <c r="J75" i="5" s="1"/>
  <c r="L75" i="5"/>
  <c r="D74" i="5"/>
  <c r="H74" i="5"/>
  <c r="D73" i="5"/>
  <c r="H73" i="5"/>
  <c r="J73" i="5" s="1"/>
  <c r="D72" i="5"/>
  <c r="H72" i="5"/>
  <c r="J72" i="5" s="1"/>
  <c r="D71" i="5"/>
  <c r="H71" i="5"/>
  <c r="J71" i="5" s="1"/>
  <c r="D70" i="5"/>
  <c r="H70" i="5"/>
  <c r="D69" i="5"/>
  <c r="H69" i="5"/>
  <c r="J69" i="5" s="1"/>
  <c r="D68" i="5"/>
  <c r="H68" i="5"/>
  <c r="J68" i="5" s="1"/>
  <c r="D67" i="5"/>
  <c r="H67" i="5"/>
  <c r="J67" i="5" s="1"/>
  <c r="D66" i="5"/>
  <c r="H66" i="5"/>
  <c r="D65" i="5"/>
  <c r="H65" i="5"/>
  <c r="J65" i="5" s="1"/>
  <c r="D64" i="5"/>
  <c r="H64" i="5"/>
  <c r="J64" i="5" s="1"/>
  <c r="D63" i="5"/>
  <c r="H63" i="5"/>
  <c r="J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32" i="5"/>
  <c r="P20" i="5"/>
  <c r="P8" i="5"/>
  <c r="C182" i="7"/>
  <c r="G182" i="7"/>
  <c r="K182" i="7"/>
  <c r="O182" i="7"/>
  <c r="D182" i="7"/>
  <c r="H182" i="7"/>
  <c r="H182" i="12" s="1"/>
  <c r="L182" i="7"/>
  <c r="B182" i="7"/>
  <c r="F182" i="7"/>
  <c r="J182" i="7"/>
  <c r="N182" i="7"/>
  <c r="C166" i="7"/>
  <c r="G166" i="7"/>
  <c r="K166" i="7"/>
  <c r="O166" i="7"/>
  <c r="D166" i="7"/>
  <c r="H166" i="7"/>
  <c r="L166" i="7"/>
  <c r="B166" i="7"/>
  <c r="F166" i="7"/>
  <c r="J166" i="7"/>
  <c r="N166" i="7"/>
  <c r="F159" i="7"/>
  <c r="B149" i="7"/>
  <c r="F149" i="7"/>
  <c r="J149" i="7"/>
  <c r="N149" i="7"/>
  <c r="D149" i="7"/>
  <c r="I149" i="7"/>
  <c r="O149" i="7"/>
  <c r="E149" i="7"/>
  <c r="K149" i="7"/>
  <c r="C149" i="7"/>
  <c r="H149" i="7"/>
  <c r="M149" i="7"/>
  <c r="L184" i="7"/>
  <c r="H184" i="7"/>
  <c r="D184" i="7"/>
  <c r="L180" i="7"/>
  <c r="H180" i="7"/>
  <c r="H180" i="12" s="1"/>
  <c r="D180" i="7"/>
  <c r="H176" i="7"/>
  <c r="L172" i="7"/>
  <c r="H172" i="7"/>
  <c r="D172" i="7"/>
  <c r="L164" i="7"/>
  <c r="K164" i="12" s="1"/>
  <c r="H164" i="7"/>
  <c r="D164" i="7"/>
  <c r="L160" i="7"/>
  <c r="H160" i="7"/>
  <c r="D160" i="7"/>
  <c r="C158" i="7"/>
  <c r="G158" i="7"/>
  <c r="K158" i="7"/>
  <c r="O158" i="7"/>
  <c r="K157" i="7"/>
  <c r="E157" i="7"/>
  <c r="O151" i="7"/>
  <c r="J151" i="7"/>
  <c r="E151" i="7"/>
  <c r="E146" i="7"/>
  <c r="O135" i="7"/>
  <c r="J135" i="7"/>
  <c r="E135" i="7"/>
  <c r="L131" i="7"/>
  <c r="M127" i="7"/>
  <c r="O119" i="7"/>
  <c r="J119" i="7"/>
  <c r="E119" i="7"/>
  <c r="J114" i="7"/>
  <c r="E114" i="7"/>
  <c r="M111" i="7"/>
  <c r="G111" i="7"/>
  <c r="K109" i="7"/>
  <c r="E109" i="7"/>
  <c r="M106" i="7"/>
  <c r="B105" i="7"/>
  <c r="F105" i="7"/>
  <c r="J105" i="7"/>
  <c r="N105" i="7"/>
  <c r="O103" i="7"/>
  <c r="J103" i="7"/>
  <c r="E103" i="7"/>
  <c r="M101" i="7"/>
  <c r="H101" i="7"/>
  <c r="D99" i="7"/>
  <c r="H99" i="7"/>
  <c r="J98" i="7"/>
  <c r="E98" i="7"/>
  <c r="M95" i="7"/>
  <c r="G95" i="7"/>
  <c r="C94" i="7"/>
  <c r="G94" i="7"/>
  <c r="K94" i="7"/>
  <c r="O94" i="7"/>
  <c r="K93" i="7"/>
  <c r="E93" i="7"/>
  <c r="M90" i="7"/>
  <c r="H90" i="7"/>
  <c r="D83" i="7"/>
  <c r="H83" i="7"/>
  <c r="L83" i="7"/>
  <c r="M79" i="7"/>
  <c r="G79" i="7"/>
  <c r="K77" i="7"/>
  <c r="E77" i="7"/>
  <c r="M74" i="7"/>
  <c r="H74" i="7"/>
  <c r="F73" i="7"/>
  <c r="O71" i="7"/>
  <c r="J71" i="7"/>
  <c r="E71" i="7"/>
  <c r="D67" i="7"/>
  <c r="H67" i="7"/>
  <c r="L67" i="7"/>
  <c r="M63" i="7"/>
  <c r="G63" i="7"/>
  <c r="G62" i="7"/>
  <c r="M58" i="7"/>
  <c r="H58" i="7"/>
  <c r="B57" i="7"/>
  <c r="F57" i="7"/>
  <c r="J57" i="7"/>
  <c r="N57" i="7"/>
  <c r="M53" i="7"/>
  <c r="H53" i="7"/>
  <c r="H51" i="7"/>
  <c r="J50" i="7"/>
  <c r="E50" i="7"/>
  <c r="C46" i="7"/>
  <c r="G46" i="7"/>
  <c r="K46" i="7"/>
  <c r="O46" i="7"/>
  <c r="K45" i="7"/>
  <c r="E45" i="7"/>
  <c r="M42" i="7"/>
  <c r="H42" i="7"/>
  <c r="B41" i="7"/>
  <c r="F41" i="7"/>
  <c r="J41" i="7"/>
  <c r="N41" i="7"/>
  <c r="M37" i="7"/>
  <c r="H37" i="7"/>
  <c r="D35" i="7"/>
  <c r="H35" i="7"/>
  <c r="L35" i="7"/>
  <c r="M31" i="7"/>
  <c r="G31" i="7"/>
  <c r="C30" i="7"/>
  <c r="G30" i="7"/>
  <c r="K30" i="7"/>
  <c r="O30" i="7"/>
  <c r="K29" i="7"/>
  <c r="E29" i="7"/>
  <c r="M26" i="7"/>
  <c r="H26" i="7"/>
  <c r="B25" i="7"/>
  <c r="F25" i="7"/>
  <c r="J25" i="7"/>
  <c r="N25" i="7"/>
  <c r="O23" i="7"/>
  <c r="G23" i="7"/>
  <c r="K19"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12" s="1"/>
  <c r="L118" i="6"/>
  <c r="O118" i="12" s="1"/>
  <c r="B118" i="6"/>
  <c r="G118" i="6"/>
  <c r="M118" i="6"/>
  <c r="C118" i="6"/>
  <c r="L118" i="5" s="1"/>
  <c r="I118" i="6"/>
  <c r="Q118" i="12" s="1"/>
  <c r="N118" i="6"/>
  <c r="E118" i="6"/>
  <c r="J118" i="6"/>
  <c r="O118" i="6"/>
  <c r="C113" i="6"/>
  <c r="L113" i="5" s="1"/>
  <c r="M113" i="5" s="1"/>
  <c r="G113" i="6"/>
  <c r="K113" i="6"/>
  <c r="R113" i="12" s="1"/>
  <c r="O113" i="6"/>
  <c r="B113" i="6"/>
  <c r="H113" i="6"/>
  <c r="M113" i="6"/>
  <c r="D113" i="6"/>
  <c r="I113" i="6"/>
  <c r="Q113" i="12" s="1"/>
  <c r="N113" i="6"/>
  <c r="E113" i="6"/>
  <c r="J113" i="6"/>
  <c r="H127" i="7"/>
  <c r="K122" i="7"/>
  <c r="J80" i="12"/>
  <c r="I183" i="12"/>
  <c r="D111" i="7"/>
  <c r="H111" i="7"/>
  <c r="H111" i="12" s="1"/>
  <c r="L111" i="7"/>
  <c r="K111" i="12" s="1"/>
  <c r="B101" i="7"/>
  <c r="F101" i="7"/>
  <c r="J101" i="7"/>
  <c r="N101" i="7"/>
  <c r="D95" i="7"/>
  <c r="H95" i="7"/>
  <c r="L95" i="7"/>
  <c r="K95" i="12" s="1"/>
  <c r="C90" i="7"/>
  <c r="G90" i="7"/>
  <c r="K90" i="7"/>
  <c r="O90" i="7"/>
  <c r="D79" i="7"/>
  <c r="H79" i="7"/>
  <c r="L79" i="7"/>
  <c r="C74" i="7"/>
  <c r="G74" i="7"/>
  <c r="K74" i="7"/>
  <c r="O74" i="7"/>
  <c r="N69" i="7"/>
  <c r="D63" i="7"/>
  <c r="H63" i="7"/>
  <c r="L63" i="7"/>
  <c r="C58" i="7"/>
  <c r="G58" i="7"/>
  <c r="K58" i="7"/>
  <c r="O58" i="7"/>
  <c r="B53" i="7"/>
  <c r="F53" i="7"/>
  <c r="J53" i="7"/>
  <c r="N53" i="7"/>
  <c r="C42" i="7"/>
  <c r="G42" i="7"/>
  <c r="K42" i="7"/>
  <c r="O42" i="7"/>
  <c r="B37" i="7"/>
  <c r="F37" i="7"/>
  <c r="J37" i="7"/>
  <c r="N37" i="7"/>
  <c r="D31" i="7"/>
  <c r="H31" i="7"/>
  <c r="L31" i="7"/>
  <c r="O29" i="7"/>
  <c r="I29" i="7"/>
  <c r="D29" i="7"/>
  <c r="O26" i="7"/>
  <c r="M23" i="7"/>
  <c r="E23" i="7"/>
  <c r="D19" i="7"/>
  <c r="H19" i="7"/>
  <c r="L19" i="7"/>
  <c r="B19" i="7"/>
  <c r="F19" i="7"/>
  <c r="J19" i="7"/>
  <c r="N19" i="7"/>
  <c r="M15" i="7"/>
  <c r="B186" i="6"/>
  <c r="F186" i="6"/>
  <c r="J186" i="6"/>
  <c r="N186" i="6"/>
  <c r="C186" i="6"/>
  <c r="G186" i="6"/>
  <c r="K186" i="6"/>
  <c r="O186" i="6"/>
  <c r="D186" i="6"/>
  <c r="H186" i="6"/>
  <c r="L186" i="12" s="1"/>
  <c r="L186" i="6"/>
  <c r="O186" i="12" s="1"/>
  <c r="I182" i="6"/>
  <c r="M182" i="12" s="1"/>
  <c r="B178" i="6"/>
  <c r="F178" i="6"/>
  <c r="J178" i="6"/>
  <c r="N178" i="6"/>
  <c r="C178" i="6"/>
  <c r="G178" i="6"/>
  <c r="K178" i="6"/>
  <c r="O178" i="6"/>
  <c r="D178" i="6"/>
  <c r="H178" i="6"/>
  <c r="L178" i="12" s="1"/>
  <c r="L178" i="6"/>
  <c r="O178" i="12" s="1"/>
  <c r="I174" i="6"/>
  <c r="M174" i="12" s="1"/>
  <c r="Q170" i="12"/>
  <c r="B170" i="6"/>
  <c r="F170" i="6"/>
  <c r="J170" i="6"/>
  <c r="N170" i="6"/>
  <c r="C170" i="6"/>
  <c r="G170" i="6"/>
  <c r="K170" i="6"/>
  <c r="R170" i="12" s="1"/>
  <c r="O170" i="6"/>
  <c r="D170" i="6"/>
  <c r="H170" i="6"/>
  <c r="L170" i="6"/>
  <c r="I166" i="6"/>
  <c r="Q166" i="12" s="1"/>
  <c r="Q162" i="12"/>
  <c r="B162" i="6"/>
  <c r="F162" i="6"/>
  <c r="J162" i="6"/>
  <c r="N162" i="6"/>
  <c r="C162" i="6"/>
  <c r="G162" i="6"/>
  <c r="K162" i="6"/>
  <c r="S162" i="12" s="1"/>
  <c r="O162" i="6"/>
  <c r="D162" i="6"/>
  <c r="H162" i="6"/>
  <c r="P162" i="12" s="1"/>
  <c r="L162" i="6"/>
  <c r="O162" i="12" s="1"/>
  <c r="I158" i="6"/>
  <c r="Q158" i="12" s="1"/>
  <c r="B154" i="6"/>
  <c r="F154" i="6"/>
  <c r="J154" i="6"/>
  <c r="N154" i="6"/>
  <c r="C154" i="6"/>
  <c r="G154" i="6"/>
  <c r="K154" i="6"/>
  <c r="O154" i="6"/>
  <c r="D154" i="6"/>
  <c r="H154" i="6"/>
  <c r="L154" i="12" s="1"/>
  <c r="L154" i="6"/>
  <c r="O154" i="12" s="1"/>
  <c r="I150" i="6"/>
  <c r="Q150" i="12" s="1"/>
  <c r="Q146" i="12"/>
  <c r="B146" i="6"/>
  <c r="F146" i="6"/>
  <c r="J146" i="6"/>
  <c r="N146" i="6"/>
  <c r="C146" i="6"/>
  <c r="L146" i="5" s="1"/>
  <c r="G146" i="6"/>
  <c r="K146" i="6"/>
  <c r="O146" i="6"/>
  <c r="D146" i="6"/>
  <c r="H146" i="6"/>
  <c r="L146" i="12" s="1"/>
  <c r="L146" i="6"/>
  <c r="O146" i="12" s="1"/>
  <c r="L140" i="6"/>
  <c r="O140" i="12" s="1"/>
  <c r="B124" i="6"/>
  <c r="F124" i="6"/>
  <c r="J124" i="6"/>
  <c r="N124" i="6"/>
  <c r="C124" i="6"/>
  <c r="L124" i="5" s="1"/>
  <c r="H124" i="6"/>
  <c r="L124" i="12" s="1"/>
  <c r="M124" i="6"/>
  <c r="A124" i="7"/>
  <c r="K117" i="12" s="1"/>
  <c r="D124" i="6"/>
  <c r="I124" i="6"/>
  <c r="Q124" i="12" s="1"/>
  <c r="O124" i="6"/>
  <c r="E124" i="6"/>
  <c r="K124" i="6"/>
  <c r="S124" i="12" s="1"/>
  <c r="H49" i="5"/>
  <c r="H48" i="5"/>
  <c r="H47" i="5"/>
  <c r="J47" i="5" s="1"/>
  <c r="H46" i="5"/>
  <c r="H45" i="5"/>
  <c r="H44" i="5"/>
  <c r="H43" i="5"/>
  <c r="H42" i="5"/>
  <c r="H41" i="5"/>
  <c r="J41" i="5" s="1"/>
  <c r="H40" i="5"/>
  <c r="L39" i="5"/>
  <c r="H39" i="5"/>
  <c r="J39" i="5" s="1"/>
  <c r="H38" i="5"/>
  <c r="J38" i="5" s="1"/>
  <c r="H37" i="5"/>
  <c r="H36" i="5"/>
  <c r="J36" i="5" s="1"/>
  <c r="H35" i="5"/>
  <c r="L34" i="5"/>
  <c r="M34" i="5" s="1"/>
  <c r="H34" i="5"/>
  <c r="H33" i="5"/>
  <c r="H32" i="5"/>
  <c r="J32" i="5" s="1"/>
  <c r="H31" i="5"/>
  <c r="H30" i="5"/>
  <c r="L29" i="5"/>
  <c r="H29" i="5"/>
  <c r="H28" i="5"/>
  <c r="J28" i="5" s="1"/>
  <c r="H27" i="5"/>
  <c r="J27" i="5" s="1"/>
  <c r="H26" i="5"/>
  <c r="J26" i="5" s="1"/>
  <c r="H25" i="5"/>
  <c r="H24" i="5"/>
  <c r="H23" i="5"/>
  <c r="H22" i="5"/>
  <c r="H21" i="5"/>
  <c r="J21" i="5" s="1"/>
  <c r="H20" i="5"/>
  <c r="H19" i="5"/>
  <c r="H18" i="5"/>
  <c r="H17" i="5"/>
  <c r="L16" i="5"/>
  <c r="H16" i="5"/>
  <c r="H15" i="5"/>
  <c r="H14" i="5"/>
  <c r="J14" i="5" s="1"/>
  <c r="H13" i="5"/>
  <c r="H12" i="5"/>
  <c r="J12" i="5" s="1"/>
  <c r="H11" i="5"/>
  <c r="H10" i="5"/>
  <c r="H9" i="5"/>
  <c r="L8" i="5"/>
  <c r="H8" i="5"/>
  <c r="H7" i="5"/>
  <c r="J7" i="5" s="1"/>
  <c r="O189" i="7"/>
  <c r="K189" i="7"/>
  <c r="G189" i="7"/>
  <c r="O185" i="7"/>
  <c r="K185" i="7"/>
  <c r="G185" i="7"/>
  <c r="N184" i="7"/>
  <c r="J184" i="7"/>
  <c r="F184" i="7"/>
  <c r="N180" i="7"/>
  <c r="J180" i="7"/>
  <c r="F180" i="7"/>
  <c r="O177" i="7"/>
  <c r="K177" i="7"/>
  <c r="G177" i="7"/>
  <c r="O173" i="7"/>
  <c r="K173" i="7"/>
  <c r="G173" i="7"/>
  <c r="N172" i="7"/>
  <c r="J172" i="7"/>
  <c r="F172" i="7"/>
  <c r="N164" i="7"/>
  <c r="J164" i="7"/>
  <c r="F164" i="7"/>
  <c r="K161" i="7"/>
  <c r="G161" i="7"/>
  <c r="N160" i="7"/>
  <c r="J160" i="7"/>
  <c r="F160" i="7"/>
  <c r="N158" i="7"/>
  <c r="I158" i="7"/>
  <c r="D158" i="7"/>
  <c r="M157" i="7"/>
  <c r="H157" i="7"/>
  <c r="D155" i="7"/>
  <c r="H155" i="7"/>
  <c r="L155" i="7"/>
  <c r="M151" i="7"/>
  <c r="G151" i="7"/>
  <c r="B145" i="7"/>
  <c r="F145" i="7"/>
  <c r="J145" i="7"/>
  <c r="N145" i="7"/>
  <c r="H141" i="7"/>
  <c r="M135" i="7"/>
  <c r="G135" i="7"/>
  <c r="C134" i="7"/>
  <c r="G134" i="7"/>
  <c r="K134" i="7"/>
  <c r="O134" i="7"/>
  <c r="N131" i="7"/>
  <c r="O127" i="7"/>
  <c r="E127" i="7"/>
  <c r="M119" i="7"/>
  <c r="G119" i="7"/>
  <c r="M114" i="7"/>
  <c r="H114" i="7"/>
  <c r="B113" i="7"/>
  <c r="F113" i="7"/>
  <c r="J113" i="7"/>
  <c r="N113" i="7"/>
  <c r="O111" i="7"/>
  <c r="J111" i="7"/>
  <c r="E111" i="7"/>
  <c r="M109" i="7"/>
  <c r="H109" i="7"/>
  <c r="D107" i="7"/>
  <c r="H107" i="7"/>
  <c r="L107" i="7"/>
  <c r="J106" i="7"/>
  <c r="O105" i="7"/>
  <c r="I105" i="7"/>
  <c r="D105" i="7"/>
  <c r="M103" i="7"/>
  <c r="G103" i="7"/>
  <c r="K101" i="7"/>
  <c r="E101" i="7"/>
  <c r="I99" i="7"/>
  <c r="M98" i="7"/>
  <c r="H98" i="7"/>
  <c r="B97" i="7"/>
  <c r="F97" i="7"/>
  <c r="J97" i="7"/>
  <c r="N97" i="7"/>
  <c r="O95" i="7"/>
  <c r="J95" i="7"/>
  <c r="E95" i="7"/>
  <c r="N94" i="7"/>
  <c r="I94" i="7"/>
  <c r="D94" i="7"/>
  <c r="M93" i="7"/>
  <c r="H93" i="7"/>
  <c r="H91" i="7"/>
  <c r="J90" i="7"/>
  <c r="E90" i="7"/>
  <c r="C86" i="7"/>
  <c r="G86" i="7"/>
  <c r="K86" i="7"/>
  <c r="O86" i="7"/>
  <c r="N83" i="7"/>
  <c r="I83" i="7"/>
  <c r="C83" i="7"/>
  <c r="M82" i="7"/>
  <c r="H82" i="7"/>
  <c r="B81" i="7"/>
  <c r="F81" i="7"/>
  <c r="J81" i="7"/>
  <c r="N81" i="7"/>
  <c r="O79" i="7"/>
  <c r="J79" i="7"/>
  <c r="E79" i="7"/>
  <c r="M77" i="7"/>
  <c r="H77" i="7"/>
  <c r="J74" i="7"/>
  <c r="E74" i="7"/>
  <c r="M71" i="7"/>
  <c r="G71" i="7"/>
  <c r="C70" i="7"/>
  <c r="N67" i="7"/>
  <c r="I67" i="7"/>
  <c r="C67" i="7"/>
  <c r="B65" i="7"/>
  <c r="F65" i="7"/>
  <c r="J65" i="7"/>
  <c r="N65" i="7"/>
  <c r="O63" i="7"/>
  <c r="J63" i="7"/>
  <c r="E63" i="7"/>
  <c r="D59" i="7"/>
  <c r="H59" i="7"/>
  <c r="L59" i="7"/>
  <c r="J58" i="7"/>
  <c r="E58" i="7"/>
  <c r="O57" i="7"/>
  <c r="I57" i="7"/>
  <c r="D57" i="7"/>
  <c r="C54" i="7"/>
  <c r="G54" i="7"/>
  <c r="K54" i="7"/>
  <c r="O54" i="7"/>
  <c r="K53" i="7"/>
  <c r="E53" i="7"/>
  <c r="I51" i="7"/>
  <c r="M50" i="7"/>
  <c r="B49" i="7"/>
  <c r="F49" i="7"/>
  <c r="J49" i="7"/>
  <c r="N49" i="7"/>
  <c r="N46" i="7"/>
  <c r="I46" i="7"/>
  <c r="D46" i="7"/>
  <c r="M45" i="7"/>
  <c r="H45" i="7"/>
  <c r="J42" i="7"/>
  <c r="E42" i="7"/>
  <c r="O41" i="7"/>
  <c r="I41" i="7"/>
  <c r="D41" i="7"/>
  <c r="K37" i="7"/>
  <c r="E37" i="7"/>
  <c r="N35" i="7"/>
  <c r="I35" i="7"/>
  <c r="C35" i="7"/>
  <c r="B33" i="7"/>
  <c r="O31" i="7"/>
  <c r="J31" i="7"/>
  <c r="E31" i="7"/>
  <c r="N30" i="7"/>
  <c r="I30" i="7"/>
  <c r="D30" i="7"/>
  <c r="M29" i="7"/>
  <c r="H29" i="7"/>
  <c r="D27" i="7"/>
  <c r="H27" i="7"/>
  <c r="L27" i="7"/>
  <c r="J26" i="7"/>
  <c r="E26" i="7"/>
  <c r="O25" i="7"/>
  <c r="I25" i="7"/>
  <c r="D25" i="7"/>
  <c r="K23" i="7"/>
  <c r="B21" i="7"/>
  <c r="F21" i="7"/>
  <c r="J21" i="7"/>
  <c r="N21" i="7"/>
  <c r="D21" i="7"/>
  <c r="H21" i="7"/>
  <c r="L21" i="7"/>
  <c r="O19" i="7"/>
  <c r="G19" i="7"/>
  <c r="B13" i="7"/>
  <c r="F13" i="7"/>
  <c r="J13" i="7"/>
  <c r="N13" i="7"/>
  <c r="D13" i="7"/>
  <c r="H13" i="7"/>
  <c r="L13" i="7"/>
  <c r="M186" i="6"/>
  <c r="M178" i="6"/>
  <c r="M170" i="6"/>
  <c r="M162" i="6"/>
  <c r="M154" i="6"/>
  <c r="M146" i="6"/>
  <c r="L145" i="6"/>
  <c r="S134" i="12"/>
  <c r="D134" i="6"/>
  <c r="H134" i="6"/>
  <c r="L134" i="6"/>
  <c r="O134" i="12" s="1"/>
  <c r="B134" i="6"/>
  <c r="G134" i="6"/>
  <c r="M134" i="6"/>
  <c r="C134" i="6"/>
  <c r="L134" i="5" s="1"/>
  <c r="M134" i="5" s="1"/>
  <c r="I134" i="6"/>
  <c r="Q134" i="12" s="1"/>
  <c r="N134" i="6"/>
  <c r="E134" i="6"/>
  <c r="J134" i="6"/>
  <c r="O134" i="6"/>
  <c r="C129" i="6"/>
  <c r="L129" i="5" s="1"/>
  <c r="M129" i="5" s="1"/>
  <c r="G129" i="6"/>
  <c r="K129" i="6"/>
  <c r="O129" i="6"/>
  <c r="B129" i="6"/>
  <c r="H129" i="6"/>
  <c r="M129" i="6"/>
  <c r="D129" i="6"/>
  <c r="I129" i="6"/>
  <c r="N129" i="6"/>
  <c r="E129" i="6"/>
  <c r="J129" i="6"/>
  <c r="K118" i="6"/>
  <c r="S118" i="12" s="1"/>
  <c r="L113" i="6"/>
  <c r="Q106" i="12"/>
  <c r="D106" i="6"/>
  <c r="H106" i="6"/>
  <c r="L106" i="12" s="1"/>
  <c r="L106" i="6"/>
  <c r="B106" i="6"/>
  <c r="F106" i="6"/>
  <c r="J106" i="6"/>
  <c r="N106" i="6"/>
  <c r="C106" i="6"/>
  <c r="L106" i="5" s="1"/>
  <c r="M106" i="5" s="1"/>
  <c r="K106" i="6"/>
  <c r="S106" i="12" s="1"/>
  <c r="E106" i="6"/>
  <c r="M106" i="6"/>
  <c r="G106" i="6"/>
  <c r="O106" i="6"/>
  <c r="B157" i="7"/>
  <c r="F157" i="7"/>
  <c r="J157" i="7"/>
  <c r="N157" i="7"/>
  <c r="D151" i="7"/>
  <c r="H151" i="7"/>
  <c r="L151" i="7"/>
  <c r="O146" i="7"/>
  <c r="B141" i="7"/>
  <c r="J141" i="7"/>
  <c r="D135" i="7"/>
  <c r="H135" i="7"/>
  <c r="L135" i="7"/>
  <c r="D119" i="7"/>
  <c r="H119" i="7"/>
  <c r="L119" i="7"/>
  <c r="I117" i="7"/>
  <c r="C114" i="7"/>
  <c r="G114" i="7"/>
  <c r="K114" i="7"/>
  <c r="O114" i="7"/>
  <c r="N111" i="7"/>
  <c r="I111" i="7"/>
  <c r="I111" i="12" s="1"/>
  <c r="C111" i="7"/>
  <c r="B109" i="7"/>
  <c r="F109" i="7"/>
  <c r="J109" i="7"/>
  <c r="N109" i="7"/>
  <c r="D103" i="7"/>
  <c r="H103" i="7"/>
  <c r="L103" i="7"/>
  <c r="O101" i="7"/>
  <c r="I101" i="7"/>
  <c r="D101" i="7"/>
  <c r="C98" i="7"/>
  <c r="G98" i="7"/>
  <c r="K98" i="7"/>
  <c r="O98" i="7"/>
  <c r="N95" i="7"/>
  <c r="I95" i="7"/>
  <c r="C95" i="7"/>
  <c r="B93" i="7"/>
  <c r="F93" i="7"/>
  <c r="J93" i="7"/>
  <c r="N93" i="7"/>
  <c r="N90" i="7"/>
  <c r="I90" i="7"/>
  <c r="D90" i="7"/>
  <c r="D87" i="7"/>
  <c r="C82" i="7"/>
  <c r="G82" i="7"/>
  <c r="K82" i="7"/>
  <c r="O82" i="7"/>
  <c r="N79" i="7"/>
  <c r="I79" i="7"/>
  <c r="C79" i="7"/>
  <c r="B77" i="7"/>
  <c r="F77" i="7"/>
  <c r="J77" i="7"/>
  <c r="N77" i="7"/>
  <c r="N74" i="7"/>
  <c r="I74" i="7"/>
  <c r="D74" i="7"/>
  <c r="D71" i="7"/>
  <c r="H71" i="7"/>
  <c r="L71" i="7"/>
  <c r="O66" i="7"/>
  <c r="N63" i="7"/>
  <c r="I63" i="7"/>
  <c r="C63" i="7"/>
  <c r="N58" i="7"/>
  <c r="I58" i="7"/>
  <c r="D58" i="7"/>
  <c r="O53" i="7"/>
  <c r="I53" i="7"/>
  <c r="D53" i="7"/>
  <c r="O50" i="7"/>
  <c r="B45" i="7"/>
  <c r="F45" i="7"/>
  <c r="J45" i="7"/>
  <c r="N45" i="7"/>
  <c r="N42" i="7"/>
  <c r="I42" i="7"/>
  <c r="D42" i="7"/>
  <c r="B29" i="7"/>
  <c r="F29" i="7"/>
  <c r="J29" i="7"/>
  <c r="N29" i="7"/>
  <c r="D23" i="7"/>
  <c r="H23" i="7"/>
  <c r="L23" i="7"/>
  <c r="B23" i="7"/>
  <c r="F23" i="7"/>
  <c r="J23" i="7"/>
  <c r="N23" i="7"/>
  <c r="H15" i="7"/>
  <c r="B15" i="7"/>
  <c r="B182" i="6"/>
  <c r="F182" i="6"/>
  <c r="J182" i="6"/>
  <c r="N182" i="6"/>
  <c r="C182" i="6"/>
  <c r="G182" i="6"/>
  <c r="K182" i="6"/>
  <c r="O182" i="6"/>
  <c r="D182" i="6"/>
  <c r="H182" i="6"/>
  <c r="L182" i="12" s="1"/>
  <c r="L182" i="6"/>
  <c r="O182" i="12" s="1"/>
  <c r="B174" i="6"/>
  <c r="F174" i="6"/>
  <c r="J174" i="6"/>
  <c r="N174" i="6"/>
  <c r="C174" i="6"/>
  <c r="G174" i="6"/>
  <c r="K174" i="6"/>
  <c r="O174" i="6"/>
  <c r="D174" i="6"/>
  <c r="H174" i="6"/>
  <c r="L174" i="12" s="1"/>
  <c r="L174" i="6"/>
  <c r="O174" i="12" s="1"/>
  <c r="B166" i="6"/>
  <c r="F166" i="6"/>
  <c r="J166" i="6"/>
  <c r="N166" i="6"/>
  <c r="C166" i="6"/>
  <c r="G166" i="6"/>
  <c r="K166" i="6"/>
  <c r="O166" i="6"/>
  <c r="D166" i="6"/>
  <c r="H166" i="6"/>
  <c r="L166" i="12" s="1"/>
  <c r="L166" i="6"/>
  <c r="O166" i="12" s="1"/>
  <c r="B158" i="6"/>
  <c r="F158" i="6"/>
  <c r="J158" i="6"/>
  <c r="N158" i="6"/>
  <c r="C158" i="6"/>
  <c r="G158" i="6"/>
  <c r="K158" i="6"/>
  <c r="S158" i="12" s="1"/>
  <c r="O158" i="6"/>
  <c r="D158" i="6"/>
  <c r="H158" i="6"/>
  <c r="L158" i="6"/>
  <c r="O158" i="12" s="1"/>
  <c r="B150" i="6"/>
  <c r="F150" i="6"/>
  <c r="J150" i="6"/>
  <c r="N150" i="6"/>
  <c r="C150" i="6"/>
  <c r="L150" i="5" s="1"/>
  <c r="G150" i="6"/>
  <c r="K150" i="6"/>
  <c r="S150" i="12" s="1"/>
  <c r="O150" i="6"/>
  <c r="D150" i="6"/>
  <c r="H150" i="6"/>
  <c r="L150" i="6"/>
  <c r="O150" i="12" s="1"/>
  <c r="B140" i="6"/>
  <c r="F140" i="6"/>
  <c r="J140" i="6"/>
  <c r="N140" i="6"/>
  <c r="C140" i="6"/>
  <c r="L140" i="5" s="1"/>
  <c r="H140" i="6"/>
  <c r="L140" i="12" s="1"/>
  <c r="M140" i="6"/>
  <c r="A140" i="7"/>
  <c r="D140" i="6"/>
  <c r="I140" i="6"/>
  <c r="Q140" i="12" s="1"/>
  <c r="O140" i="6"/>
  <c r="E140" i="6"/>
  <c r="K140" i="6"/>
  <c r="S140" i="12" s="1"/>
  <c r="L124" i="6"/>
  <c r="O124" i="12" s="1"/>
  <c r="Q98" i="12"/>
  <c r="D98" i="6"/>
  <c r="H98" i="6"/>
  <c r="P98" i="12" s="1"/>
  <c r="L98" i="6"/>
  <c r="B98" i="6"/>
  <c r="F98" i="6"/>
  <c r="J98" i="6"/>
  <c r="N98" i="6"/>
  <c r="Q90" i="12"/>
  <c r="D90" i="6"/>
  <c r="H90" i="6"/>
  <c r="P90" i="12" s="1"/>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P66" i="12" s="1"/>
  <c r="L66" i="6"/>
  <c r="O66" i="12" s="1"/>
  <c r="B66" i="6"/>
  <c r="F66" i="6"/>
  <c r="J66" i="6"/>
  <c r="N66" i="6"/>
  <c r="D58" i="6"/>
  <c r="H58" i="6"/>
  <c r="P58" i="12" s="1"/>
  <c r="L58" i="6"/>
  <c r="O58" i="12" s="1"/>
  <c r="B58" i="6"/>
  <c r="G58" i="6"/>
  <c r="M58" i="6"/>
  <c r="E58" i="6"/>
  <c r="J58" i="6"/>
  <c r="O58" i="6"/>
  <c r="B40" i="6"/>
  <c r="F40" i="6"/>
  <c r="J40" i="6"/>
  <c r="N40" i="6"/>
  <c r="E40" i="6"/>
  <c r="K40" i="6"/>
  <c r="S40" i="12" s="1"/>
  <c r="C40" i="6"/>
  <c r="L43" i="5" s="1"/>
  <c r="H40" i="6"/>
  <c r="M40" i="6"/>
  <c r="B32" i="6"/>
  <c r="F32" i="6"/>
  <c r="J32" i="6"/>
  <c r="N32" i="6"/>
  <c r="C32" i="6"/>
  <c r="L32" i="5" s="1"/>
  <c r="H32" i="6"/>
  <c r="M32" i="6"/>
  <c r="E32" i="6"/>
  <c r="K32" i="6"/>
  <c r="O13" i="12"/>
  <c r="M23" i="12"/>
  <c r="O25" i="12"/>
  <c r="M27" i="12"/>
  <c r="M13" i="12"/>
  <c r="M25" i="12"/>
  <c r="M61" i="12"/>
  <c r="L19" i="12"/>
  <c r="L31" i="12"/>
  <c r="O40" i="12"/>
  <c r="M46" i="12"/>
  <c r="L47" i="12"/>
  <c r="M74" i="12"/>
  <c r="M78" i="12"/>
  <c r="M12" i="12"/>
  <c r="L13" i="12"/>
  <c r="O61" i="12"/>
  <c r="O48" i="12"/>
  <c r="O65" i="12"/>
  <c r="M82" i="12"/>
  <c r="M86" i="12"/>
  <c r="M90" i="12"/>
  <c r="M94" i="12"/>
  <c r="M98" i="12"/>
  <c r="O49" i="12"/>
  <c r="M55" i="12"/>
  <c r="O64" i="12"/>
  <c r="L79" i="12"/>
  <c r="M85" i="12"/>
  <c r="O87" i="12"/>
  <c r="O103" i="12"/>
  <c r="O107" i="12"/>
  <c r="O115" i="12"/>
  <c r="M121" i="12"/>
  <c r="M88" i="12"/>
  <c r="M111" i="12"/>
  <c r="M115" i="12"/>
  <c r="O131" i="12"/>
  <c r="M138" i="12"/>
  <c r="M144" i="12"/>
  <c r="N149" i="12"/>
  <c r="M156" i="12"/>
  <c r="M160" i="12"/>
  <c r="O127" i="12"/>
  <c r="L135" i="12"/>
  <c r="O173" i="12"/>
  <c r="M175" i="12"/>
  <c r="M179" i="12"/>
  <c r="O123" i="12"/>
  <c r="N134" i="12"/>
  <c r="N135" i="12"/>
  <c r="O144" i="12"/>
  <c r="M146" i="12"/>
  <c r="L101" i="12"/>
  <c r="L105" i="12"/>
  <c r="L109" i="12"/>
  <c r="L117" i="12"/>
  <c r="M161" i="12"/>
  <c r="M169" i="12"/>
  <c r="M185" i="12"/>
  <c r="L153" i="12"/>
  <c r="M184" i="12"/>
  <c r="M188" i="12"/>
  <c r="L165" i="12"/>
  <c r="L169"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N168" i="6"/>
  <c r="J168" i="6"/>
  <c r="F168" i="6"/>
  <c r="N164" i="6"/>
  <c r="J164" i="6"/>
  <c r="F164" i="6"/>
  <c r="N160" i="6"/>
  <c r="J160" i="6"/>
  <c r="F160" i="6"/>
  <c r="N156" i="6"/>
  <c r="J156" i="6"/>
  <c r="F156" i="6"/>
  <c r="N152" i="6"/>
  <c r="J152" i="6"/>
  <c r="F152" i="6"/>
  <c r="N148" i="6"/>
  <c r="J148" i="6"/>
  <c r="F148" i="6"/>
  <c r="M142" i="6"/>
  <c r="G142" i="6"/>
  <c r="C141" i="6"/>
  <c r="L141" i="5" s="1"/>
  <c r="M141" i="5" s="1"/>
  <c r="G141" i="6"/>
  <c r="K141" i="6"/>
  <c r="N141" i="12" s="1"/>
  <c r="O141" i="6"/>
  <c r="M137" i="6"/>
  <c r="H137" i="6"/>
  <c r="L137" i="12" s="1"/>
  <c r="B136" i="6"/>
  <c r="F136" i="6"/>
  <c r="J136" i="6"/>
  <c r="N136" i="6"/>
  <c r="M132" i="6"/>
  <c r="H132" i="6"/>
  <c r="R130" i="12"/>
  <c r="D130" i="6"/>
  <c r="H130" i="6"/>
  <c r="P130" i="12" s="1"/>
  <c r="L130" i="6"/>
  <c r="O130" i="12" s="1"/>
  <c r="M126" i="6"/>
  <c r="G126" i="6"/>
  <c r="C125" i="6"/>
  <c r="L125" i="5" s="1"/>
  <c r="M125" i="5" s="1"/>
  <c r="G125" i="6"/>
  <c r="K125" i="6"/>
  <c r="N125" i="12" s="1"/>
  <c r="O125" i="6"/>
  <c r="M121" i="6"/>
  <c r="H121" i="6"/>
  <c r="L121" i="12" s="1"/>
  <c r="B120" i="6"/>
  <c r="F120" i="6"/>
  <c r="J120" i="6"/>
  <c r="N120" i="6"/>
  <c r="M116" i="6"/>
  <c r="H116" i="6"/>
  <c r="P116" i="12" s="1"/>
  <c r="D114" i="6"/>
  <c r="H114" i="6"/>
  <c r="L114" i="6"/>
  <c r="M110" i="6"/>
  <c r="G110" i="6"/>
  <c r="Q108" i="12"/>
  <c r="B108" i="6"/>
  <c r="F108" i="6"/>
  <c r="J108" i="6"/>
  <c r="N108" i="6"/>
  <c r="D108" i="6"/>
  <c r="H108" i="6"/>
  <c r="L108" i="6"/>
  <c r="O108" i="12" s="1"/>
  <c r="K102" i="6"/>
  <c r="S102" i="12" s="1"/>
  <c r="B100" i="6"/>
  <c r="F100" i="6"/>
  <c r="J100" i="6"/>
  <c r="N100" i="6"/>
  <c r="D100" i="6"/>
  <c r="H100" i="6"/>
  <c r="P100" i="12" s="1"/>
  <c r="L100" i="6"/>
  <c r="O98" i="6"/>
  <c r="G98" i="6"/>
  <c r="K94" i="6"/>
  <c r="B92" i="6"/>
  <c r="F92" i="6"/>
  <c r="J92" i="6"/>
  <c r="N92" i="6"/>
  <c r="D92" i="6"/>
  <c r="H92" i="6"/>
  <c r="L92" i="12" s="1"/>
  <c r="L92" i="6"/>
  <c r="O92" i="12" s="1"/>
  <c r="O90" i="6"/>
  <c r="G90" i="6"/>
  <c r="K86" i="6"/>
  <c r="S86" i="12" s="1"/>
  <c r="B84" i="6"/>
  <c r="F84" i="6"/>
  <c r="J84" i="6"/>
  <c r="N84" i="6"/>
  <c r="D84" i="6"/>
  <c r="H84" i="6"/>
  <c r="L89" i="12" s="1"/>
  <c r="L84" i="6"/>
  <c r="O84" i="12" s="1"/>
  <c r="O82" i="6"/>
  <c r="G82" i="6"/>
  <c r="K78" i="6"/>
  <c r="B76" i="6"/>
  <c r="F76" i="6"/>
  <c r="J76" i="6"/>
  <c r="N76" i="6"/>
  <c r="D76" i="6"/>
  <c r="H76" i="6"/>
  <c r="L76" i="12" s="1"/>
  <c r="L76" i="6"/>
  <c r="O74" i="6"/>
  <c r="G74" i="6"/>
  <c r="K70" i="6"/>
  <c r="B68" i="6"/>
  <c r="F68" i="6"/>
  <c r="J68" i="6"/>
  <c r="N68" i="6"/>
  <c r="D68" i="6"/>
  <c r="H68" i="6"/>
  <c r="P68" i="12" s="1"/>
  <c r="L68" i="6"/>
  <c r="O68" i="12" s="1"/>
  <c r="O66" i="6"/>
  <c r="G66" i="6"/>
  <c r="O64" i="6"/>
  <c r="I58" i="6"/>
  <c r="M58" i="12" s="1"/>
  <c r="B56" i="6"/>
  <c r="F56" i="6"/>
  <c r="J56" i="6"/>
  <c r="N56" i="6"/>
  <c r="E56" i="6"/>
  <c r="K56" i="6"/>
  <c r="N56" i="12" s="1"/>
  <c r="C56" i="6"/>
  <c r="L56" i="5" s="1"/>
  <c r="M56" i="5" s="1"/>
  <c r="H56" i="6"/>
  <c r="P56" i="12" s="1"/>
  <c r="M56" i="6"/>
  <c r="Q48" i="12"/>
  <c r="B48" i="6"/>
  <c r="F48" i="6"/>
  <c r="J48" i="6"/>
  <c r="N48" i="6"/>
  <c r="C48" i="6"/>
  <c r="H48" i="6"/>
  <c r="P48" i="12" s="1"/>
  <c r="M48" i="6"/>
  <c r="E48" i="6"/>
  <c r="K48" i="6"/>
  <c r="N45" i="6"/>
  <c r="I40" i="6"/>
  <c r="Q40" i="12" s="1"/>
  <c r="N37" i="6"/>
  <c r="N34" i="6"/>
  <c r="I32" i="6"/>
  <c r="B10" i="6"/>
  <c r="F10" i="6"/>
  <c r="J10" i="6"/>
  <c r="N10" i="6"/>
  <c r="C10" i="6"/>
  <c r="L10" i="5" s="1"/>
  <c r="M10" i="5" s="1"/>
  <c r="H10" i="6"/>
  <c r="L10" i="12" s="1"/>
  <c r="M10" i="6"/>
  <c r="E10" i="6"/>
  <c r="K10" i="6"/>
  <c r="S10" i="12" s="1"/>
  <c r="I10" i="6"/>
  <c r="M10" i="12" s="1"/>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0" i="12"/>
  <c r="S156" i="12"/>
  <c r="Q148" i="12"/>
  <c r="D142" i="6"/>
  <c r="H142" i="6"/>
  <c r="L142" i="6"/>
  <c r="C137" i="6"/>
  <c r="G137" i="6"/>
  <c r="K137" i="6"/>
  <c r="R137" i="12" s="1"/>
  <c r="O137" i="6"/>
  <c r="Q132" i="12"/>
  <c r="B132" i="6"/>
  <c r="F132" i="6"/>
  <c r="J132" i="6"/>
  <c r="N132" i="6"/>
  <c r="D126" i="6"/>
  <c r="H126" i="6"/>
  <c r="P126" i="12" s="1"/>
  <c r="L126" i="6"/>
  <c r="Q121" i="12"/>
  <c r="C121" i="6"/>
  <c r="G121" i="6"/>
  <c r="K121" i="6"/>
  <c r="O121" i="6"/>
  <c r="B116" i="6"/>
  <c r="F116" i="6"/>
  <c r="J116" i="6"/>
  <c r="N116" i="6"/>
  <c r="D110" i="6"/>
  <c r="H110" i="6"/>
  <c r="P110" i="12" s="1"/>
  <c r="L110" i="6"/>
  <c r="Q102" i="12"/>
  <c r="D102" i="6"/>
  <c r="H102" i="6"/>
  <c r="L102" i="6"/>
  <c r="B102" i="6"/>
  <c r="F102" i="6"/>
  <c r="J102" i="6"/>
  <c r="N102" i="6"/>
  <c r="M98" i="6"/>
  <c r="E98" i="6"/>
  <c r="Q94" i="12"/>
  <c r="D94" i="6"/>
  <c r="H94" i="6"/>
  <c r="L94" i="6"/>
  <c r="O94" i="12" s="1"/>
  <c r="B94" i="6"/>
  <c r="F94" i="6"/>
  <c r="J94" i="6"/>
  <c r="N94" i="6"/>
  <c r="M90" i="6"/>
  <c r="E90" i="6"/>
  <c r="Q86" i="12"/>
  <c r="D86" i="6"/>
  <c r="H86" i="6"/>
  <c r="L86" i="6"/>
  <c r="B86" i="6"/>
  <c r="F86" i="6"/>
  <c r="J86" i="6"/>
  <c r="N86" i="6"/>
  <c r="M82" i="6"/>
  <c r="E82" i="6"/>
  <c r="Q78" i="12"/>
  <c r="D78" i="6"/>
  <c r="H78" i="6"/>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P64" i="12" s="1"/>
  <c r="M64" i="6"/>
  <c r="E64" i="6"/>
  <c r="K64" i="6"/>
  <c r="R64" i="12" s="1"/>
  <c r="F58" i="6"/>
  <c r="C45" i="6"/>
  <c r="L45" i="5" s="1"/>
  <c r="G45" i="6"/>
  <c r="K45" i="6"/>
  <c r="N45" i="12" s="1"/>
  <c r="O45" i="6"/>
  <c r="E45" i="6"/>
  <c r="J45" i="6"/>
  <c r="B45" i="6"/>
  <c r="H45" i="6"/>
  <c r="M45" i="6"/>
  <c r="G40" i="6"/>
  <c r="C37" i="6"/>
  <c r="L37" i="5" s="1"/>
  <c r="G37" i="6"/>
  <c r="K37" i="6"/>
  <c r="B233" i="2" s="1"/>
  <c r="O37" i="6"/>
  <c r="B37" i="6"/>
  <c r="H37" i="6"/>
  <c r="M37" i="6"/>
  <c r="E37" i="6"/>
  <c r="J37" i="6"/>
  <c r="D34" i="6"/>
  <c r="H34" i="6"/>
  <c r="L34" i="12" s="1"/>
  <c r="L34" i="6"/>
  <c r="E34" i="6"/>
  <c r="J34" i="6"/>
  <c r="O34" i="6"/>
  <c r="B34" i="6"/>
  <c r="G34" i="6"/>
  <c r="M34" i="6"/>
  <c r="G32" i="6"/>
  <c r="D28" i="6"/>
  <c r="H28" i="6"/>
  <c r="L28" i="12" s="1"/>
  <c r="L28" i="6"/>
  <c r="O28" i="12" s="1"/>
  <c r="B28" i="6"/>
  <c r="F28" i="6"/>
  <c r="J28" i="6"/>
  <c r="N28" i="6"/>
  <c r="G28" i="6"/>
  <c r="O28" i="6"/>
  <c r="C28" i="6"/>
  <c r="K28" i="6"/>
  <c r="N28" i="12" s="1"/>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L188" i="12" s="1"/>
  <c r="O187" i="6"/>
  <c r="K187" i="6"/>
  <c r="N187" i="12" s="1"/>
  <c r="G187" i="6"/>
  <c r="L184" i="6"/>
  <c r="O184" i="12" s="1"/>
  <c r="H184" i="6"/>
  <c r="L184" i="12" s="1"/>
  <c r="O183" i="6"/>
  <c r="K183" i="6"/>
  <c r="N183" i="12" s="1"/>
  <c r="G183" i="6"/>
  <c r="L180" i="6"/>
  <c r="O180" i="12" s="1"/>
  <c r="H180" i="6"/>
  <c r="L180" i="12" s="1"/>
  <c r="O179" i="6"/>
  <c r="K179" i="6"/>
  <c r="N179" i="12" s="1"/>
  <c r="G179" i="6"/>
  <c r="L176" i="6"/>
  <c r="O176" i="12" s="1"/>
  <c r="H176" i="6"/>
  <c r="L175" i="12" s="1"/>
  <c r="O175" i="6"/>
  <c r="K175" i="6"/>
  <c r="N175" i="12" s="1"/>
  <c r="G175" i="6"/>
  <c r="L172" i="6"/>
  <c r="O181" i="12" s="1"/>
  <c r="H172" i="6"/>
  <c r="D172" i="6"/>
  <c r="O171" i="6"/>
  <c r="K171" i="6"/>
  <c r="G171" i="6"/>
  <c r="C171" i="6"/>
  <c r="S169" i="12"/>
  <c r="Q169" i="12"/>
  <c r="P169" i="12"/>
  <c r="L168" i="6"/>
  <c r="O177" i="12" s="1"/>
  <c r="H168" i="6"/>
  <c r="L167" i="12" s="1"/>
  <c r="D168" i="6"/>
  <c r="O167" i="6"/>
  <c r="K167" i="6"/>
  <c r="R167" i="12" s="1"/>
  <c r="G167" i="6"/>
  <c r="C167" i="6"/>
  <c r="P165" i="12"/>
  <c r="L164" i="6"/>
  <c r="H164" i="6"/>
  <c r="D164" i="6"/>
  <c r="O163" i="6"/>
  <c r="K163" i="6"/>
  <c r="S163" i="12" s="1"/>
  <c r="G163" i="6"/>
  <c r="C163" i="6"/>
  <c r="Q161" i="12"/>
  <c r="L160" i="6"/>
  <c r="H160" i="6"/>
  <c r="D160" i="6"/>
  <c r="O159" i="6"/>
  <c r="K159" i="6"/>
  <c r="G159" i="6"/>
  <c r="C159" i="6"/>
  <c r="S157" i="12"/>
  <c r="L156" i="6"/>
  <c r="O156" i="12" s="1"/>
  <c r="H156" i="6"/>
  <c r="P156" i="12" s="1"/>
  <c r="D156" i="6"/>
  <c r="O155" i="6"/>
  <c r="K155" i="6"/>
  <c r="N155" i="12" s="1"/>
  <c r="G155" i="6"/>
  <c r="C155" i="6"/>
  <c r="Q153" i="12"/>
  <c r="L152" i="6"/>
  <c r="O152" i="12" s="1"/>
  <c r="H152" i="6"/>
  <c r="L152" i="12" s="1"/>
  <c r="D152" i="6"/>
  <c r="O151" i="6"/>
  <c r="K151" i="6"/>
  <c r="G151" i="6"/>
  <c r="C151" i="6"/>
  <c r="L151" i="5" s="1"/>
  <c r="P149" i="12"/>
  <c r="L148" i="6"/>
  <c r="O148" i="12" s="1"/>
  <c r="H148" i="6"/>
  <c r="P148" i="12" s="1"/>
  <c r="D148" i="6"/>
  <c r="O147" i="6"/>
  <c r="K147" i="6"/>
  <c r="G147" i="6"/>
  <c r="C147" i="6"/>
  <c r="L147" i="5" s="1"/>
  <c r="M147" i="5" s="1"/>
  <c r="Q144" i="12"/>
  <c r="B144" i="6"/>
  <c r="F144" i="6"/>
  <c r="J144" i="6"/>
  <c r="N144" i="6"/>
  <c r="O142" i="6"/>
  <c r="J142" i="6"/>
  <c r="E142" i="6"/>
  <c r="N141" i="6"/>
  <c r="I141" i="6"/>
  <c r="M141" i="12" s="1"/>
  <c r="D141" i="6"/>
  <c r="Q138" i="12"/>
  <c r="D138" i="6"/>
  <c r="H138" i="6"/>
  <c r="L138" i="12" s="1"/>
  <c r="L138" i="6"/>
  <c r="O138" i="12" s="1"/>
  <c r="J137" i="6"/>
  <c r="E137" i="6"/>
  <c r="O136" i="6"/>
  <c r="I136" i="6"/>
  <c r="M136" i="12" s="1"/>
  <c r="D136" i="6"/>
  <c r="Q133" i="12"/>
  <c r="C133" i="6"/>
  <c r="G133" i="6"/>
  <c r="K133" i="6"/>
  <c r="R133" i="12" s="1"/>
  <c r="O133" i="6"/>
  <c r="K132" i="6"/>
  <c r="E132" i="6"/>
  <c r="N130" i="6"/>
  <c r="I130" i="6"/>
  <c r="Q130" i="12" s="1"/>
  <c r="C130" i="6"/>
  <c r="B128" i="6"/>
  <c r="F128" i="6"/>
  <c r="J128" i="6"/>
  <c r="N128" i="6"/>
  <c r="O126" i="6"/>
  <c r="J126" i="6"/>
  <c r="E126" i="6"/>
  <c r="N125" i="6"/>
  <c r="I125" i="6"/>
  <c r="D125" i="6"/>
  <c r="D122" i="6"/>
  <c r="H122" i="6"/>
  <c r="L122" i="6"/>
  <c r="O122" i="12" s="1"/>
  <c r="J121" i="6"/>
  <c r="E121" i="6"/>
  <c r="O120" i="6"/>
  <c r="I120" i="6"/>
  <c r="Q120" i="12" s="1"/>
  <c r="D120" i="6"/>
  <c r="P117" i="12"/>
  <c r="C117" i="6"/>
  <c r="G117" i="6"/>
  <c r="K117" i="6"/>
  <c r="S117" i="12" s="1"/>
  <c r="O117" i="6"/>
  <c r="K116" i="6"/>
  <c r="N116" i="12" s="1"/>
  <c r="E116" i="6"/>
  <c r="N114" i="6"/>
  <c r="I114" i="6"/>
  <c r="M114" i="12" s="1"/>
  <c r="C114" i="6"/>
  <c r="B112" i="6"/>
  <c r="F112" i="6"/>
  <c r="J112" i="6"/>
  <c r="N112" i="6"/>
  <c r="O110" i="6"/>
  <c r="J110" i="6"/>
  <c r="E110" i="6"/>
  <c r="M108" i="6"/>
  <c r="E108" i="6"/>
  <c r="B104" i="6"/>
  <c r="F104" i="6"/>
  <c r="J104" i="6"/>
  <c r="N104" i="6"/>
  <c r="D104" i="6"/>
  <c r="H104" i="6"/>
  <c r="P104" i="12" s="1"/>
  <c r="L104" i="6"/>
  <c r="O102" i="6"/>
  <c r="G102" i="6"/>
  <c r="M100" i="6"/>
  <c r="E100" i="6"/>
  <c r="K98" i="6"/>
  <c r="S98" i="12" s="1"/>
  <c r="C98" i="6"/>
  <c r="B96" i="6"/>
  <c r="F96" i="6"/>
  <c r="J96" i="6"/>
  <c r="N96" i="6"/>
  <c r="D96" i="6"/>
  <c r="H96" i="6"/>
  <c r="P96" i="12" s="1"/>
  <c r="L96" i="6"/>
  <c r="O96" i="12" s="1"/>
  <c r="O94" i="6"/>
  <c r="G94" i="6"/>
  <c r="M92" i="6"/>
  <c r="E92" i="6"/>
  <c r="K90" i="6"/>
  <c r="S90" i="12" s="1"/>
  <c r="C90" i="6"/>
  <c r="B88" i="6"/>
  <c r="F88" i="6"/>
  <c r="J88" i="6"/>
  <c r="N88" i="6"/>
  <c r="D88" i="6"/>
  <c r="H88" i="6"/>
  <c r="L88" i="6"/>
  <c r="O88" i="12" s="1"/>
  <c r="O86" i="6"/>
  <c r="G86" i="6"/>
  <c r="M84" i="6"/>
  <c r="E84" i="6"/>
  <c r="K82" i="6"/>
  <c r="R82" i="12" s="1"/>
  <c r="C82" i="6"/>
  <c r="Q80" i="12"/>
  <c r="B80" i="6"/>
  <c r="F80" i="6"/>
  <c r="J80" i="6"/>
  <c r="N80" i="6"/>
  <c r="D80" i="6"/>
  <c r="H80" i="6"/>
  <c r="L80" i="6"/>
  <c r="O80" i="12" s="1"/>
  <c r="O78" i="6"/>
  <c r="G78" i="6"/>
  <c r="M76" i="6"/>
  <c r="E76" i="6"/>
  <c r="K74" i="6"/>
  <c r="R74" i="12" s="1"/>
  <c r="C74" i="6"/>
  <c r="B72" i="6"/>
  <c r="F72" i="6"/>
  <c r="J72" i="6"/>
  <c r="N72" i="6"/>
  <c r="D72" i="6"/>
  <c r="H72" i="6"/>
  <c r="L72" i="12" s="1"/>
  <c r="L72" i="6"/>
  <c r="O72" i="12" s="1"/>
  <c r="O70" i="6"/>
  <c r="G70" i="6"/>
  <c r="M68" i="6"/>
  <c r="E68" i="6"/>
  <c r="K66" i="6"/>
  <c r="S66" i="12" s="1"/>
  <c r="C66" i="6"/>
  <c r="I64" i="6"/>
  <c r="C61" i="6"/>
  <c r="L61" i="5" s="1"/>
  <c r="G61" i="6"/>
  <c r="K61" i="6"/>
  <c r="N61" i="12" s="1"/>
  <c r="O61" i="6"/>
  <c r="E61" i="6"/>
  <c r="J61" i="6"/>
  <c r="B61" i="6"/>
  <c r="H61" i="6"/>
  <c r="M61" i="6"/>
  <c r="N58" i="6"/>
  <c r="C58" i="6"/>
  <c r="G56" i="6"/>
  <c r="Q53" i="12"/>
  <c r="C53" i="6"/>
  <c r="G53" i="6"/>
  <c r="K53" i="6"/>
  <c r="S53" i="12" s="1"/>
  <c r="O53" i="6"/>
  <c r="B53" i="6"/>
  <c r="H53" i="6"/>
  <c r="M53" i="6"/>
  <c r="E53" i="6"/>
  <c r="J53" i="6"/>
  <c r="D50" i="6"/>
  <c r="H50" i="6"/>
  <c r="L50" i="6"/>
  <c r="E50" i="6"/>
  <c r="J50" i="6"/>
  <c r="O50" i="6"/>
  <c r="B50" i="6"/>
  <c r="G50" i="6"/>
  <c r="M50" i="6"/>
  <c r="G48" i="6"/>
  <c r="I45" i="6"/>
  <c r="D42" i="6"/>
  <c r="H42" i="6"/>
  <c r="L42" i="12" s="1"/>
  <c r="L42" i="6"/>
  <c r="B42" i="6"/>
  <c r="G42" i="6"/>
  <c r="M42" i="6"/>
  <c r="E42" i="6"/>
  <c r="J42" i="6"/>
  <c r="O42" i="6"/>
  <c r="O40" i="6"/>
  <c r="D40" i="6"/>
  <c r="I37" i="6"/>
  <c r="Q37" i="12" s="1"/>
  <c r="I34" i="6"/>
  <c r="Q34" i="12" s="1"/>
  <c r="O32" i="6"/>
  <c r="D32" i="6"/>
  <c r="M28" i="6"/>
  <c r="C15" i="6"/>
  <c r="G15" i="6"/>
  <c r="K15" i="6"/>
  <c r="S15" i="12" s="1"/>
  <c r="O15" i="6"/>
  <c r="B15" i="6"/>
  <c r="H15" i="6"/>
  <c r="M15" i="6"/>
  <c r="E15" i="6"/>
  <c r="J15" i="6"/>
  <c r="D15" i="6"/>
  <c r="N15" i="6"/>
  <c r="I15" i="6"/>
  <c r="L10" i="6"/>
  <c r="O10" i="12" s="1"/>
  <c r="F7" i="6"/>
  <c r="G53" i="8"/>
  <c r="G45" i="8"/>
  <c r="F36" i="8"/>
  <c r="B178" i="10"/>
  <c r="F178" i="10"/>
  <c r="J178" i="10"/>
  <c r="N178" i="10"/>
  <c r="E178" i="10"/>
  <c r="K178" i="10"/>
  <c r="C178" i="10"/>
  <c r="H178" i="10"/>
  <c r="M178" i="10"/>
  <c r="D178" i="10"/>
  <c r="O178" i="10"/>
  <c r="G178" i="10"/>
  <c r="I178" i="10"/>
  <c r="P109" i="12"/>
  <c r="P105" i="12"/>
  <c r="P101" i="12"/>
  <c r="P97" i="12"/>
  <c r="P89" i="12"/>
  <c r="P85" i="12"/>
  <c r="Q85" i="12"/>
  <c r="Q77" i="12"/>
  <c r="Q73" i="12"/>
  <c r="Q69" i="12"/>
  <c r="C65" i="6"/>
  <c r="G65" i="6"/>
  <c r="K65" i="6"/>
  <c r="N65" i="12" s="1"/>
  <c r="O65" i="6"/>
  <c r="B60" i="6"/>
  <c r="F60" i="6"/>
  <c r="J60" i="6"/>
  <c r="N60" i="6"/>
  <c r="D54" i="6"/>
  <c r="H54" i="6"/>
  <c r="L54" i="12" s="1"/>
  <c r="L54" i="6"/>
  <c r="O54" i="12" s="1"/>
  <c r="C49" i="6"/>
  <c r="L49" i="5" s="1"/>
  <c r="M49" i="5" s="1"/>
  <c r="G49" i="6"/>
  <c r="K49" i="6"/>
  <c r="N49" i="12" s="1"/>
  <c r="O49" i="6"/>
  <c r="S44" i="12"/>
  <c r="B44" i="6"/>
  <c r="F44" i="6"/>
  <c r="J44" i="6"/>
  <c r="N44" i="6"/>
  <c r="D38" i="6"/>
  <c r="H38" i="6"/>
  <c r="P38" i="12" s="1"/>
  <c r="L38" i="6"/>
  <c r="C33" i="6"/>
  <c r="L33" i="5" s="1"/>
  <c r="M33" i="5" s="1"/>
  <c r="G33" i="6"/>
  <c r="K33" i="6"/>
  <c r="N33" i="12" s="1"/>
  <c r="O33" i="6"/>
  <c r="Q23" i="12"/>
  <c r="C23" i="6"/>
  <c r="L23" i="5" s="1"/>
  <c r="G23" i="6"/>
  <c r="K23" i="6"/>
  <c r="S23" i="12" s="1"/>
  <c r="O23" i="6"/>
  <c r="E23" i="6"/>
  <c r="J23" i="6"/>
  <c r="B23" i="6"/>
  <c r="H23" i="6"/>
  <c r="M23" i="6"/>
  <c r="D20" i="6"/>
  <c r="H20" i="6"/>
  <c r="P20" i="12" s="1"/>
  <c r="L20" i="6"/>
  <c r="B20" i="6"/>
  <c r="G20" i="6"/>
  <c r="M20" i="6"/>
  <c r="E20" i="6"/>
  <c r="J20" i="6"/>
  <c r="O20" i="6"/>
  <c r="Q12" i="12"/>
  <c r="D12" i="6"/>
  <c r="H12" i="6"/>
  <c r="L12" i="6"/>
  <c r="O12" i="12" s="1"/>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P135" i="12"/>
  <c r="R135" i="12"/>
  <c r="S135" i="12"/>
  <c r="S127" i="12"/>
  <c r="R127" i="12"/>
  <c r="P119" i="12"/>
  <c r="Q115" i="12"/>
  <c r="S111" i="12"/>
  <c r="Q111" i="12"/>
  <c r="R111" i="12"/>
  <c r="O109" i="6"/>
  <c r="K109" i="6"/>
  <c r="G109" i="6"/>
  <c r="C109" i="6"/>
  <c r="L109" i="5" s="1"/>
  <c r="M109" i="5" s="1"/>
  <c r="O105" i="6"/>
  <c r="K105" i="6"/>
  <c r="S105" i="12" s="1"/>
  <c r="G105" i="6"/>
  <c r="C105" i="6"/>
  <c r="S103" i="12"/>
  <c r="R103" i="12"/>
  <c r="O101" i="6"/>
  <c r="K101" i="6"/>
  <c r="S101" i="12" s="1"/>
  <c r="G101" i="6"/>
  <c r="C101" i="6"/>
  <c r="O97" i="6"/>
  <c r="K97" i="6"/>
  <c r="S97" i="12" s="1"/>
  <c r="G97" i="6"/>
  <c r="C97" i="6"/>
  <c r="L97" i="5" s="1"/>
  <c r="S95" i="12"/>
  <c r="O93" i="6"/>
  <c r="K93" i="6"/>
  <c r="N93" i="12" s="1"/>
  <c r="G93" i="6"/>
  <c r="C93" i="6"/>
  <c r="R91" i="12"/>
  <c r="S91" i="12"/>
  <c r="Q91" i="12"/>
  <c r="O89" i="6"/>
  <c r="K89" i="6"/>
  <c r="N89" i="12" s="1"/>
  <c r="G89" i="6"/>
  <c r="C89" i="6"/>
  <c r="L89" i="5" s="1"/>
  <c r="O85" i="6"/>
  <c r="K85" i="6"/>
  <c r="N85" i="12" s="1"/>
  <c r="G85" i="6"/>
  <c r="C85" i="6"/>
  <c r="L85" i="5" s="1"/>
  <c r="R83" i="12"/>
  <c r="S83" i="12"/>
  <c r="P83" i="12"/>
  <c r="O81" i="6"/>
  <c r="K81" i="6"/>
  <c r="R81" i="12" s="1"/>
  <c r="G81" i="6"/>
  <c r="C81" i="6"/>
  <c r="P79" i="12"/>
  <c r="O77" i="6"/>
  <c r="K77" i="6"/>
  <c r="S77" i="12" s="1"/>
  <c r="G77" i="6"/>
  <c r="C77" i="6"/>
  <c r="L77" i="5" s="1"/>
  <c r="O73" i="6"/>
  <c r="K73" i="6"/>
  <c r="R73" i="12" s="1"/>
  <c r="G73" i="6"/>
  <c r="C73" i="6"/>
  <c r="O69" i="6"/>
  <c r="K69" i="6"/>
  <c r="N69" i="12" s="1"/>
  <c r="G69" i="6"/>
  <c r="C69" i="6"/>
  <c r="L69" i="5" s="1"/>
  <c r="M69" i="5" s="1"/>
  <c r="N65" i="6"/>
  <c r="I65" i="6"/>
  <c r="D65" i="6"/>
  <c r="Q62" i="12"/>
  <c r="S62" i="12"/>
  <c r="D62" i="6"/>
  <c r="H62" i="6"/>
  <c r="L62" i="6"/>
  <c r="O62" i="12" s="1"/>
  <c r="O60" i="6"/>
  <c r="I60" i="6"/>
  <c r="Q60" i="12" s="1"/>
  <c r="D60" i="6"/>
  <c r="P57" i="12"/>
  <c r="C57" i="6"/>
  <c r="G57" i="6"/>
  <c r="K57" i="6"/>
  <c r="N57" i="12" s="1"/>
  <c r="O57" i="6"/>
  <c r="N54" i="6"/>
  <c r="I54" i="6"/>
  <c r="Q54" i="12" s="1"/>
  <c r="C54" i="6"/>
  <c r="L54" i="5" s="1"/>
  <c r="B52" i="6"/>
  <c r="F52" i="6"/>
  <c r="J52" i="6"/>
  <c r="N52" i="6"/>
  <c r="N49" i="6"/>
  <c r="I49" i="6"/>
  <c r="D49" i="6"/>
  <c r="Q46" i="12"/>
  <c r="D46" i="6"/>
  <c r="H46" i="6"/>
  <c r="P46" i="12" s="1"/>
  <c r="L46" i="6"/>
  <c r="O46" i="12" s="1"/>
  <c r="O44" i="6"/>
  <c r="I44" i="6"/>
  <c r="M44" i="12" s="1"/>
  <c r="D44" i="6"/>
  <c r="C41" i="6"/>
  <c r="G41" i="6"/>
  <c r="K41" i="6"/>
  <c r="O41" i="6"/>
  <c r="N38" i="6"/>
  <c r="I38" i="6"/>
  <c r="M38" i="12" s="1"/>
  <c r="C38" i="6"/>
  <c r="L38" i="5" s="1"/>
  <c r="M38" i="5" s="1"/>
  <c r="B36" i="6"/>
  <c r="F36" i="6"/>
  <c r="J36" i="6"/>
  <c r="N36" i="6"/>
  <c r="N33" i="6"/>
  <c r="I33" i="6"/>
  <c r="Q33" i="12" s="1"/>
  <c r="D33" i="6"/>
  <c r="Q30" i="12"/>
  <c r="B30" i="6"/>
  <c r="F30" i="6"/>
  <c r="J30" i="6"/>
  <c r="N30" i="6"/>
  <c r="D30" i="6"/>
  <c r="H30" i="6"/>
  <c r="L30" i="12" s="1"/>
  <c r="L30" i="6"/>
  <c r="O30" i="12" s="1"/>
  <c r="B26" i="6"/>
  <c r="F26" i="6"/>
  <c r="J26" i="6"/>
  <c r="N26" i="6"/>
  <c r="C26" i="6"/>
  <c r="L26" i="5" s="1"/>
  <c r="M26" i="5" s="1"/>
  <c r="H26" i="6"/>
  <c r="M26" i="6"/>
  <c r="E26" i="6"/>
  <c r="K26" i="6"/>
  <c r="S26" i="12" s="1"/>
  <c r="F23" i="6"/>
  <c r="F20" i="6"/>
  <c r="Q18" i="12"/>
  <c r="B18" i="6"/>
  <c r="F18" i="6"/>
  <c r="J18" i="6"/>
  <c r="N18" i="6"/>
  <c r="E18" i="6"/>
  <c r="K18" i="6"/>
  <c r="S18" i="12" s="1"/>
  <c r="C18" i="6"/>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Q55" i="12"/>
  <c r="R55" i="12"/>
  <c r="P47" i="12"/>
  <c r="Q47" i="12"/>
  <c r="R47" i="12"/>
  <c r="P31" i="12"/>
  <c r="O29" i="6"/>
  <c r="K29" i="6"/>
  <c r="G29" i="6"/>
  <c r="Q27" i="12"/>
  <c r="R27" i="12"/>
  <c r="N24" i="6"/>
  <c r="I24" i="6"/>
  <c r="M24" i="12" s="1"/>
  <c r="B22" i="6"/>
  <c r="F22" i="6"/>
  <c r="J22" i="6"/>
  <c r="N22" i="6"/>
  <c r="N19" i="6"/>
  <c r="I19" i="6"/>
  <c r="D16" i="6"/>
  <c r="H16" i="6"/>
  <c r="P16" i="12" s="1"/>
  <c r="L16" i="6"/>
  <c r="O16" i="12" s="1"/>
  <c r="O14" i="6"/>
  <c r="I14" i="6"/>
  <c r="Q11" i="12"/>
  <c r="C11" i="6"/>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D24" i="6"/>
  <c r="H24" i="6"/>
  <c r="L24" i="12" s="1"/>
  <c r="L24" i="6"/>
  <c r="P19" i="12"/>
  <c r="C19" i="6"/>
  <c r="G19" i="6"/>
  <c r="K19" i="6"/>
  <c r="N19" i="12" s="1"/>
  <c r="O19" i="6"/>
  <c r="B14" i="6"/>
  <c r="F14" i="6"/>
  <c r="J14" i="6"/>
  <c r="N14" i="6"/>
  <c r="D8" i="6"/>
  <c r="H8" i="6"/>
  <c r="L9" i="12" s="1"/>
  <c r="L8" i="6"/>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Q25" i="12"/>
  <c r="Q21" i="12"/>
  <c r="S17" i="12"/>
  <c r="Q17" i="12"/>
  <c r="P17" i="12"/>
  <c r="R17" i="12"/>
  <c r="S13" i="12"/>
  <c r="Q13" i="12"/>
  <c r="R13"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O172" i="12"/>
  <c r="G172" i="12"/>
  <c r="D170" i="12"/>
  <c r="B170" i="12"/>
  <c r="F170" i="12"/>
  <c r="G168" i="12"/>
  <c r="D166" i="12"/>
  <c r="B166" i="12"/>
  <c r="F166" i="12"/>
  <c r="G164"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N188" i="12"/>
  <c r="D188" i="12"/>
  <c r="B184" i="12"/>
  <c r="F184" i="12"/>
  <c r="N184" i="12"/>
  <c r="D184" i="12"/>
  <c r="B180" i="12"/>
  <c r="F180" i="12"/>
  <c r="D180" i="12"/>
  <c r="B176" i="12"/>
  <c r="F176" i="12"/>
  <c r="N176" i="12"/>
  <c r="D176" i="12"/>
  <c r="M172" i="12"/>
  <c r="E172" i="12"/>
  <c r="M168" i="12"/>
  <c r="E168" i="12"/>
  <c r="E164" i="12"/>
  <c r="C162" i="12"/>
  <c r="G162" i="12"/>
  <c r="D162" i="12"/>
  <c r="L162" i="12"/>
  <c r="B162" i="12"/>
  <c r="F162" i="12"/>
  <c r="R162" i="12"/>
  <c r="C154" i="12"/>
  <c r="G154" i="12"/>
  <c r="S154" i="12"/>
  <c r="D154" i="12"/>
  <c r="B154" i="12"/>
  <c r="F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E190" i="12"/>
  <c r="G188" i="12"/>
  <c r="D186" i="12"/>
  <c r="B186" i="12"/>
  <c r="F186" i="12"/>
  <c r="G184" i="12"/>
  <c r="D182" i="12"/>
  <c r="B182" i="12"/>
  <c r="F182" i="12"/>
  <c r="G180" i="12"/>
  <c r="D178" i="12"/>
  <c r="B178" i="12"/>
  <c r="F178" i="12"/>
  <c r="G176" i="12"/>
  <c r="D174" i="12"/>
  <c r="B174" i="12"/>
  <c r="F174" i="12"/>
  <c r="M170" i="12"/>
  <c r="E170" i="12"/>
  <c r="S168" i="12"/>
  <c r="E166" i="12"/>
  <c r="S164" i="12"/>
  <c r="M162"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D172" i="12"/>
  <c r="L172" i="12"/>
  <c r="P172" i="12"/>
  <c r="B168" i="12"/>
  <c r="F168" i="12"/>
  <c r="N168" i="12"/>
  <c r="R168" i="12"/>
  <c r="D168" i="12"/>
  <c r="B164" i="12"/>
  <c r="F164" i="12"/>
  <c r="N164" i="12"/>
  <c r="R164" i="12"/>
  <c r="D164" i="12"/>
  <c r="C158" i="12"/>
  <c r="G158" i="12"/>
  <c r="D158" i="12"/>
  <c r="B158" i="12"/>
  <c r="F158" i="12"/>
  <c r="O16" i="11"/>
  <c r="K16" i="11"/>
  <c r="G16" i="11"/>
  <c r="O12" i="11"/>
  <c r="K12" i="11"/>
  <c r="G12" i="11"/>
  <c r="O8" i="11"/>
  <c r="K8" i="11"/>
  <c r="G8" i="11"/>
  <c r="O187" i="12"/>
  <c r="G187" i="12"/>
  <c r="O183" i="12"/>
  <c r="G183" i="12"/>
  <c r="O179" i="12"/>
  <c r="G179" i="12"/>
  <c r="O175" i="12"/>
  <c r="G175" i="12"/>
  <c r="O171" i="12"/>
  <c r="G171" i="12"/>
  <c r="O167" i="12"/>
  <c r="G167" i="12"/>
  <c r="G163" i="12"/>
  <c r="P160" i="12"/>
  <c r="L160" i="12"/>
  <c r="D160" i="12"/>
  <c r="G159" i="12"/>
  <c r="D156" i="12"/>
  <c r="S155" i="12"/>
  <c r="O155" i="12"/>
  <c r="G155" i="12"/>
  <c r="D152" i="12"/>
  <c r="G151" i="12"/>
  <c r="F150" i="12"/>
  <c r="B150" i="12"/>
  <c r="H148" i="12"/>
  <c r="D148" i="12"/>
  <c r="O147" i="12"/>
  <c r="G147" i="12"/>
  <c r="F146" i="12"/>
  <c r="B146" i="12"/>
  <c r="P144" i="12"/>
  <c r="L144" i="12"/>
  <c r="D144" i="12"/>
  <c r="R142" i="12"/>
  <c r="G142" i="12"/>
  <c r="E141" i="12"/>
  <c r="D138" i="12"/>
  <c r="N137" i="12"/>
  <c r="B136" i="12"/>
  <c r="F136" i="12"/>
  <c r="E134" i="12"/>
  <c r="M133" i="12"/>
  <c r="E132" i="12"/>
  <c r="S130" i="12"/>
  <c r="N130" i="12"/>
  <c r="C129" i="12"/>
  <c r="G129" i="12"/>
  <c r="O129" i="12"/>
  <c r="G126" i="12"/>
  <c r="E125" i="12"/>
  <c r="D122" i="12"/>
  <c r="B118" i="12"/>
  <c r="F118" i="12"/>
  <c r="D118" i="12"/>
  <c r="S116" i="12"/>
  <c r="B114" i="12"/>
  <c r="F114" i="12"/>
  <c r="R114" i="12"/>
  <c r="D114" i="12"/>
  <c r="S112" i="12"/>
  <c r="B110" i="12"/>
  <c r="F110" i="12"/>
  <c r="R110" i="12"/>
  <c r="D110" i="12"/>
  <c r="L110" i="12"/>
  <c r="S108" i="12"/>
  <c r="B106" i="12"/>
  <c r="F106" i="12"/>
  <c r="D106" i="12"/>
  <c r="B102" i="12"/>
  <c r="F102" i="12"/>
  <c r="N102" i="12"/>
  <c r="R102" i="12"/>
  <c r="D102" i="12"/>
  <c r="P102" i="12"/>
  <c r="D142" i="12"/>
  <c r="B140" i="12"/>
  <c r="F140" i="12"/>
  <c r="C133" i="12"/>
  <c r="G133" i="12"/>
  <c r="O133" i="12"/>
  <c r="D126" i="12"/>
  <c r="B124" i="12"/>
  <c r="F124" i="12"/>
  <c r="D120" i="12"/>
  <c r="P120" i="12"/>
  <c r="B120" i="12"/>
  <c r="F120" i="12"/>
  <c r="D116" i="12"/>
  <c r="B116" i="12"/>
  <c r="F116" i="12"/>
  <c r="D112" i="12"/>
  <c r="P112" i="12"/>
  <c r="B112" i="12"/>
  <c r="F112" i="12"/>
  <c r="N112" i="12"/>
  <c r="R112" i="12"/>
  <c r="D108" i="12"/>
  <c r="B108" i="12"/>
  <c r="F108" i="12"/>
  <c r="D104" i="12"/>
  <c r="L104" i="12"/>
  <c r="B104" i="12"/>
  <c r="F104" i="12"/>
  <c r="R104" i="12"/>
  <c r="D100" i="12"/>
  <c r="B100" i="12"/>
  <c r="F100" i="12"/>
  <c r="F160" i="12"/>
  <c r="R156" i="12"/>
  <c r="N156" i="12"/>
  <c r="F156" i="12"/>
  <c r="F152" i="12"/>
  <c r="D150" i="12"/>
  <c r="J148" i="12"/>
  <c r="F148" i="12"/>
  <c r="P146" i="12"/>
  <c r="D146" i="12"/>
  <c r="F144" i="12"/>
  <c r="O142" i="12"/>
  <c r="E142" i="12"/>
  <c r="E140" i="12"/>
  <c r="C137" i="12"/>
  <c r="G137" i="12"/>
  <c r="S137" i="12"/>
  <c r="R134" i="12"/>
  <c r="G134" i="12"/>
  <c r="E133" i="12"/>
  <c r="D130" i="12"/>
  <c r="B128" i="12"/>
  <c r="F128" i="12"/>
  <c r="O126" i="12"/>
  <c r="E126" i="12"/>
  <c r="P124" i="12"/>
  <c r="E124" i="12"/>
  <c r="G120" i="12"/>
  <c r="G116" i="12"/>
  <c r="O112" i="12"/>
  <c r="G112" i="12"/>
  <c r="G108" i="12"/>
  <c r="M106" i="12"/>
  <c r="E106" i="12"/>
  <c r="O104" i="12"/>
  <c r="G104" i="12"/>
  <c r="M102" i="12"/>
  <c r="E102" i="12"/>
  <c r="G100" i="12"/>
  <c r="C96" i="12"/>
  <c r="G96" i="12"/>
  <c r="S96" i="12"/>
  <c r="D96" i="12"/>
  <c r="L96" i="12"/>
  <c r="B96" i="12"/>
  <c r="F96" i="12"/>
  <c r="J96" i="12"/>
  <c r="N96" i="12"/>
  <c r="R96" i="12"/>
  <c r="G150" i="12"/>
  <c r="G146" i="12"/>
  <c r="S142" i="12"/>
  <c r="N142" i="12"/>
  <c r="C142" i="12"/>
  <c r="C141" i="12"/>
  <c r="G141" i="12"/>
  <c r="O141" i="12"/>
  <c r="D140" i="12"/>
  <c r="D134" i="12"/>
  <c r="L134" i="12"/>
  <c r="P134" i="12"/>
  <c r="D133" i="12"/>
  <c r="B132" i="12"/>
  <c r="F132" i="12"/>
  <c r="S126" i="12"/>
  <c r="C126" i="12"/>
  <c r="C125" i="12"/>
  <c r="G125" i="12"/>
  <c r="D124" i="12"/>
  <c r="E120" i="12"/>
  <c r="E116" i="12"/>
  <c r="M112" i="12"/>
  <c r="E112" i="12"/>
  <c r="M108" i="12"/>
  <c r="E108" i="12"/>
  <c r="E104" i="12"/>
  <c r="E100" i="12"/>
  <c r="G121" i="12"/>
  <c r="G117" i="12"/>
  <c r="O113" i="12"/>
  <c r="G113" i="12"/>
  <c r="G109" i="12"/>
  <c r="G105" i="12"/>
  <c r="O101" i="12"/>
  <c r="G101" i="12"/>
  <c r="L98" i="12"/>
  <c r="D98" i="12"/>
  <c r="O97" i="12"/>
  <c r="G97" i="12"/>
  <c r="D94" i="12"/>
  <c r="G93" i="12"/>
  <c r="R92" i="12"/>
  <c r="N92" i="12"/>
  <c r="F92" i="12"/>
  <c r="B92" i="12"/>
  <c r="D90" i="12"/>
  <c r="G89" i="12"/>
  <c r="R88" i="12"/>
  <c r="N88" i="12"/>
  <c r="F88" i="12"/>
  <c r="B88" i="12"/>
  <c r="D86" i="12"/>
  <c r="O85" i="12"/>
  <c r="G85" i="12"/>
  <c r="F84" i="12"/>
  <c r="B84" i="12"/>
  <c r="C80" i="12"/>
  <c r="G80" i="12"/>
  <c r="S80" i="12"/>
  <c r="M77" i="12"/>
  <c r="G77" i="12"/>
  <c r="P76" i="12"/>
  <c r="E76" i="12"/>
  <c r="D73" i="12"/>
  <c r="B71" i="12"/>
  <c r="F71" i="12"/>
  <c r="D71" i="12"/>
  <c r="O69" i="12"/>
  <c r="G69" i="12"/>
  <c r="R68" i="12"/>
  <c r="D60" i="12"/>
  <c r="L60" i="12"/>
  <c r="P60" i="12"/>
  <c r="B60" i="12"/>
  <c r="G60" i="12"/>
  <c r="E60" i="12"/>
  <c r="O60" i="12"/>
  <c r="Q52" i="12"/>
  <c r="N51" i="12"/>
  <c r="D77" i="12"/>
  <c r="L77" i="12"/>
  <c r="P77" i="12"/>
  <c r="B75" i="12"/>
  <c r="F75" i="12"/>
  <c r="B66" i="12"/>
  <c r="F66" i="12"/>
  <c r="E66" i="12"/>
  <c r="C66" i="12"/>
  <c r="M66" i="12"/>
  <c r="C51" i="12"/>
  <c r="G51" i="12"/>
  <c r="S51" i="12"/>
  <c r="B51" i="12"/>
  <c r="R51" i="12"/>
  <c r="E51" i="12"/>
  <c r="B50" i="12"/>
  <c r="F50" i="12"/>
  <c r="N50" i="12"/>
  <c r="R50" i="12"/>
  <c r="D50" i="12"/>
  <c r="O50" i="12"/>
  <c r="E50" i="12"/>
  <c r="C50" i="12"/>
  <c r="S50" i="12"/>
  <c r="F98" i="12"/>
  <c r="F94" i="12"/>
  <c r="D92" i="12"/>
  <c r="R90" i="12"/>
  <c r="F90" i="12"/>
  <c r="D88" i="12"/>
  <c r="R86" i="12"/>
  <c r="N86" i="12"/>
  <c r="F86" i="12"/>
  <c r="D84" i="12"/>
  <c r="D81" i="12"/>
  <c r="B79" i="12"/>
  <c r="F79" i="12"/>
  <c r="E77" i="12"/>
  <c r="P75" i="12"/>
  <c r="E75" i="12"/>
  <c r="S69" i="12"/>
  <c r="N68" i="12"/>
  <c r="C67" i="12"/>
  <c r="G67" i="12"/>
  <c r="S67" i="12"/>
  <c r="B67" i="12"/>
  <c r="E67" i="12"/>
  <c r="P67" i="12"/>
  <c r="N59" i="12"/>
  <c r="B58" i="12"/>
  <c r="F58" i="12"/>
  <c r="N58" i="12"/>
  <c r="R58" i="12"/>
  <c r="C58" i="12"/>
  <c r="H58" i="12"/>
  <c r="S58" i="12"/>
  <c r="E58" i="12"/>
  <c r="K58" i="12"/>
  <c r="D52" i="12"/>
  <c r="L52" i="12"/>
  <c r="P52" i="12"/>
  <c r="E52" i="12"/>
  <c r="B52" i="12"/>
  <c r="G52" i="12"/>
  <c r="M52" i="12"/>
  <c r="S92" i="12"/>
  <c r="G92" i="12"/>
  <c r="S88" i="12"/>
  <c r="G88" i="12"/>
  <c r="G84" i="12"/>
  <c r="C77" i="12"/>
  <c r="C76" i="12"/>
  <c r="G76" i="12"/>
  <c r="D75" i="12"/>
  <c r="D69" i="12"/>
  <c r="L69" i="12"/>
  <c r="P69" i="12"/>
  <c r="B69" i="12"/>
  <c r="F69" i="12"/>
  <c r="D68" i="12"/>
  <c r="E68" i="12"/>
  <c r="S68" i="12"/>
  <c r="B68" i="12"/>
  <c r="G68" i="12"/>
  <c r="M68" i="12"/>
  <c r="Q68" i="12"/>
  <c r="Q66" i="12"/>
  <c r="G66" i="12"/>
  <c r="C59" i="12"/>
  <c r="G59" i="12"/>
  <c r="O59" i="12"/>
  <c r="S59" i="12"/>
  <c r="E59" i="12"/>
  <c r="B59" i="12"/>
  <c r="R59" i="12"/>
  <c r="Q51" i="12"/>
  <c r="F51" i="12"/>
  <c r="D64" i="12"/>
  <c r="B62" i="12"/>
  <c r="F62" i="12"/>
  <c r="N62" i="12"/>
  <c r="R62" i="12"/>
  <c r="C55" i="12"/>
  <c r="G55" i="12"/>
  <c r="O55" i="12"/>
  <c r="S55" i="12"/>
  <c r="D48" i="12"/>
  <c r="B46" i="12"/>
  <c r="F46" i="12"/>
  <c r="R46" i="12"/>
  <c r="O44" i="12"/>
  <c r="E44" i="12"/>
  <c r="R43" i="12"/>
  <c r="E42" i="12"/>
  <c r="C39" i="12"/>
  <c r="G39" i="12"/>
  <c r="O39" i="12"/>
  <c r="R36" i="12"/>
  <c r="G36" i="12"/>
  <c r="D34" i="12"/>
  <c r="B34" i="12"/>
  <c r="F34" i="12"/>
  <c r="O32" i="12"/>
  <c r="G32" i="12"/>
  <c r="D30" i="12"/>
  <c r="P30" i="12"/>
  <c r="B30" i="12"/>
  <c r="F30" i="12"/>
  <c r="G28" i="12"/>
  <c r="D26" i="12"/>
  <c r="B26" i="12"/>
  <c r="F26" i="12"/>
  <c r="R26" i="12"/>
  <c r="G24" i="12"/>
  <c r="D22" i="12"/>
  <c r="L22" i="12"/>
  <c r="P22" i="12"/>
  <c r="B22" i="12"/>
  <c r="F22" i="12"/>
  <c r="N22" i="12"/>
  <c r="R22" i="12"/>
  <c r="G20" i="12"/>
  <c r="D18" i="12"/>
  <c r="B18" i="12"/>
  <c r="F18" i="12"/>
  <c r="G16" i="12"/>
  <c r="D14" i="12"/>
  <c r="B14" i="12"/>
  <c r="F14" i="12"/>
  <c r="G12" i="12"/>
  <c r="D10" i="12"/>
  <c r="B10" i="12"/>
  <c r="F10" i="12"/>
  <c r="G8" i="12"/>
  <c r="C43" i="12"/>
  <c r="G43" i="12"/>
  <c r="S43" i="12"/>
  <c r="D36" i="12"/>
  <c r="L36" i="12"/>
  <c r="P36" i="12"/>
  <c r="E8" i="12"/>
  <c r="B187" i="13"/>
  <c r="F187" i="13"/>
  <c r="D187" i="13"/>
  <c r="B183" i="13"/>
  <c r="F183" i="13"/>
  <c r="D183" i="13"/>
  <c r="B179" i="13"/>
  <c r="F179" i="13"/>
  <c r="D179" i="13"/>
  <c r="K72" i="12"/>
  <c r="G72" i="12"/>
  <c r="I64" i="12"/>
  <c r="C64" i="12"/>
  <c r="C63" i="12"/>
  <c r="G63" i="12"/>
  <c r="O63" i="12"/>
  <c r="D62" i="12"/>
  <c r="D56" i="12"/>
  <c r="N55" i="12"/>
  <c r="D55" i="12"/>
  <c r="B54" i="12"/>
  <c r="F54" i="12"/>
  <c r="N54" i="12"/>
  <c r="R54" i="12"/>
  <c r="C48" i="12"/>
  <c r="C47" i="12"/>
  <c r="G47" i="12"/>
  <c r="O47" i="12"/>
  <c r="D46" i="12"/>
  <c r="R44" i="12"/>
  <c r="G44" i="12"/>
  <c r="E43" i="12"/>
  <c r="D40" i="12"/>
  <c r="L40" i="12"/>
  <c r="P40" i="12"/>
  <c r="D39" i="12"/>
  <c r="B38" i="12"/>
  <c r="F38" i="12"/>
  <c r="O36" i="12"/>
  <c r="E36" i="12"/>
  <c r="E34" i="12"/>
  <c r="M30" i="12"/>
  <c r="E30" i="12"/>
  <c r="M26" i="12"/>
  <c r="E26" i="12"/>
  <c r="E22" i="12"/>
  <c r="M18" i="12"/>
  <c r="E18" i="12"/>
  <c r="E14" i="12"/>
  <c r="S12" i="12"/>
  <c r="E10" i="12"/>
  <c r="G187" i="13"/>
  <c r="D185" i="13"/>
  <c r="B185" i="13"/>
  <c r="F185" i="13"/>
  <c r="G183" i="13"/>
  <c r="D181" i="13"/>
  <c r="B181" i="13"/>
  <c r="F181" i="13"/>
  <c r="G179" i="13"/>
  <c r="C172" i="13"/>
  <c r="G172" i="13"/>
  <c r="B172" i="13"/>
  <c r="D172" i="13"/>
  <c r="E172" i="13"/>
  <c r="D44" i="12"/>
  <c r="L44" i="12"/>
  <c r="P44" i="12"/>
  <c r="N43" i="12"/>
  <c r="D43" i="12"/>
  <c r="B42" i="12"/>
  <c r="F42" i="12"/>
  <c r="S36" i="12"/>
  <c r="N36" i="12"/>
  <c r="C36" i="12"/>
  <c r="B32" i="12"/>
  <c r="F32" i="12"/>
  <c r="D32" i="12"/>
  <c r="L32" i="12"/>
  <c r="P32" i="12"/>
  <c r="B28" i="12"/>
  <c r="F28" i="12"/>
  <c r="D28" i="12"/>
  <c r="B24" i="12"/>
  <c r="F24" i="12"/>
  <c r="R24" i="12"/>
  <c r="D24" i="12"/>
  <c r="B20" i="12"/>
  <c r="F20" i="12"/>
  <c r="D20" i="12"/>
  <c r="B16" i="12"/>
  <c r="F16" i="12"/>
  <c r="R16" i="12"/>
  <c r="D16" i="12"/>
  <c r="B12" i="12"/>
  <c r="F12" i="12"/>
  <c r="N12" i="12"/>
  <c r="R12" i="12"/>
  <c r="D12" i="12"/>
  <c r="B8" i="12"/>
  <c r="F8" i="12"/>
  <c r="D8" i="12"/>
  <c r="S35" i="12"/>
  <c r="O35" i="12"/>
  <c r="G35" i="12"/>
  <c r="G31" i="12"/>
  <c r="S27" i="12"/>
  <c r="G27" i="12"/>
  <c r="G23" i="12"/>
  <c r="G19" i="12"/>
  <c r="O15" i="12"/>
  <c r="G15" i="12"/>
  <c r="G11" i="12"/>
  <c r="S7" i="12"/>
  <c r="O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F186" i="14"/>
  <c r="B180" i="14"/>
  <c r="G180" i="14" s="1"/>
  <c r="F180" i="14"/>
  <c r="D180" i="14"/>
  <c r="E178" i="14"/>
  <c r="D176" i="14"/>
  <c r="E171" i="14"/>
  <c r="B170" i="14"/>
  <c r="F170" i="14"/>
  <c r="E166" i="14"/>
  <c r="B163" i="14"/>
  <c r="E160" i="14"/>
  <c r="E155" i="14"/>
  <c r="B154" i="14"/>
  <c r="G154" i="14" s="1"/>
  <c r="F154" i="14"/>
  <c r="B152" i="14"/>
  <c r="E150" i="14"/>
  <c r="B147" i="14"/>
  <c r="E144" i="14"/>
  <c r="E139" i="14"/>
  <c r="B138" i="14"/>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B162" i="14"/>
  <c r="G162" i="14" s="1"/>
  <c r="F162" i="14"/>
  <c r="B160" i="14"/>
  <c r="D159" i="14"/>
  <c r="E158" i="14"/>
  <c r="B155" i="14"/>
  <c r="D154" i="14"/>
  <c r="E152" i="14"/>
  <c r="C148" i="14"/>
  <c r="E147" i="14"/>
  <c r="B146" i="14"/>
  <c r="F146" i="14"/>
  <c r="B144" i="14"/>
  <c r="D143" i="14"/>
  <c r="E142" i="14"/>
  <c r="B139" i="14"/>
  <c r="D138" i="14"/>
  <c r="E136" i="14"/>
  <c r="E130" i="14"/>
  <c r="B128" i="14"/>
  <c r="F128" i="14"/>
  <c r="D128" i="14"/>
  <c r="D122" i="14"/>
  <c r="B122" i="14"/>
  <c r="G122" i="14" s="1"/>
  <c r="F122" i="14"/>
  <c r="E120" i="14"/>
  <c r="E114" i="14"/>
  <c r="B112" i="14"/>
  <c r="F112" i="14"/>
  <c r="D112" i="14"/>
  <c r="D106" i="14"/>
  <c r="B106" i="14"/>
  <c r="F106" i="14"/>
  <c r="E104" i="14"/>
  <c r="E98" i="14"/>
  <c r="B96" i="14"/>
  <c r="G96" i="14" s="1"/>
  <c r="F96" i="14"/>
  <c r="D96" i="14"/>
  <c r="D90" i="14"/>
  <c r="B90" i="14"/>
  <c r="F90" i="14"/>
  <c r="E88" i="14"/>
  <c r="C82" i="14"/>
  <c r="D82" i="14"/>
  <c r="B82" i="14"/>
  <c r="G82" i="14" s="1"/>
  <c r="F82" i="14"/>
  <c r="B166" i="14"/>
  <c r="F166" i="14"/>
  <c r="D163" i="14"/>
  <c r="D158" i="14"/>
  <c r="C152" i="14"/>
  <c r="B150" i="14"/>
  <c r="F150" i="14"/>
  <c r="D147" i="14"/>
  <c r="G143" i="14"/>
  <c r="D142" i="14"/>
  <c r="C136" i="14"/>
  <c r="B134" i="14"/>
  <c r="F134" i="14"/>
  <c r="B132" i="14"/>
  <c r="D132" i="14"/>
  <c r="D126" i="14"/>
  <c r="B126" i="14"/>
  <c r="G126" i="14" s="1"/>
  <c r="F126" i="14"/>
  <c r="E124" i="14"/>
  <c r="E118" i="14"/>
  <c r="B116" i="14"/>
  <c r="F116" i="14"/>
  <c r="D116" i="14"/>
  <c r="D110" i="14"/>
  <c r="B110" i="14"/>
  <c r="F110" i="14"/>
  <c r="E108" i="14"/>
  <c r="E102" i="14"/>
  <c r="B100" i="14"/>
  <c r="F100" i="14"/>
  <c r="D100" i="14"/>
  <c r="D94" i="14"/>
  <c r="B94" i="14"/>
  <c r="G94" i="14" s="1"/>
  <c r="F94" i="14"/>
  <c r="E92" i="14"/>
  <c r="E86" i="14"/>
  <c r="D84" i="14"/>
  <c r="D80" i="14"/>
  <c r="F78" i="14"/>
  <c r="B78" i="14"/>
  <c r="G78" i="14" s="1"/>
  <c r="D76" i="14"/>
  <c r="F74" i="14"/>
  <c r="B74" i="14"/>
  <c r="G74" i="14" s="1"/>
  <c r="D72" i="14"/>
  <c r="F70" i="14"/>
  <c r="B70" i="14"/>
  <c r="D68" i="14"/>
  <c r="F66" i="14"/>
  <c r="B66" i="14"/>
  <c r="D64" i="14"/>
  <c r="E62" i="14"/>
  <c r="B59" i="14"/>
  <c r="E56" i="14"/>
  <c r="C52" i="14"/>
  <c r="E51" i="14"/>
  <c r="B50" i="14"/>
  <c r="G50" i="14" s="1"/>
  <c r="F50" i="14"/>
  <c r="B48" i="14"/>
  <c r="B44" i="14"/>
  <c r="G44" i="14" s="1"/>
  <c r="F44" i="14"/>
  <c r="D44" i="14"/>
  <c r="D38" i="14"/>
  <c r="B38" i="14"/>
  <c r="G38" i="14" s="1"/>
  <c r="F38" i="14"/>
  <c r="B28" i="14"/>
  <c r="F28" i="14"/>
  <c r="D28" i="14"/>
  <c r="D22" i="14"/>
  <c r="B22" i="14"/>
  <c r="G22" i="14" s="1"/>
  <c r="F22" i="14"/>
  <c r="B54" i="14"/>
  <c r="F54" i="14"/>
  <c r="D42" i="14"/>
  <c r="B42" i="14"/>
  <c r="F42" i="14"/>
  <c r="E40" i="14"/>
  <c r="G37" i="14"/>
  <c r="B32" i="14"/>
  <c r="G4" i="21" s="1"/>
  <c r="F32" i="14"/>
  <c r="D32" i="14"/>
  <c r="D26" i="14"/>
  <c r="B26" i="14"/>
  <c r="G26" i="14" s="1"/>
  <c r="F26" i="14"/>
  <c r="E24" i="14"/>
  <c r="F84" i="14"/>
  <c r="F80" i="14"/>
  <c r="D78" i="14"/>
  <c r="F76" i="14"/>
  <c r="D74" i="14"/>
  <c r="F72" i="14"/>
  <c r="D70" i="14"/>
  <c r="F68" i="14"/>
  <c r="D66" i="14"/>
  <c r="F64" i="14"/>
  <c r="E59" i="14"/>
  <c r="B58" i="14"/>
  <c r="F58" i="14"/>
  <c r="B56" i="14"/>
  <c r="E54" i="14"/>
  <c r="B51" i="14"/>
  <c r="E48" i="14"/>
  <c r="D46" i="14"/>
  <c r="B46" i="14"/>
  <c r="G46" i="14" s="1"/>
  <c r="F46" i="14"/>
  <c r="B36" i="14"/>
  <c r="F36" i="14"/>
  <c r="D36" i="14"/>
  <c r="D30" i="14"/>
  <c r="B30" i="14"/>
  <c r="G30" i="14" s="1"/>
  <c r="F30" i="14"/>
  <c r="B62" i="14"/>
  <c r="F62" i="14"/>
  <c r="D54" i="14"/>
  <c r="C48" i="14"/>
  <c r="E42" i="14"/>
  <c r="B40" i="14"/>
  <c r="F40" i="14"/>
  <c r="D40" i="14"/>
  <c r="D34" i="14"/>
  <c r="B34" i="14"/>
  <c r="F34" i="14"/>
  <c r="E32" i="14"/>
  <c r="F4" i="21" s="1"/>
  <c r="B24" i="14"/>
  <c r="F24" i="14"/>
  <c r="D24" i="14"/>
  <c r="D20" i="14"/>
  <c r="F18" i="14"/>
  <c r="B18" i="14"/>
  <c r="G18" i="14" s="1"/>
  <c r="D16" i="14"/>
  <c r="F14" i="14"/>
  <c r="B14" i="14"/>
  <c r="G14" i="14" s="1"/>
  <c r="D12" i="14"/>
  <c r="F10" i="14"/>
  <c r="B10" i="14"/>
  <c r="D8" i="14"/>
  <c r="F20" i="14"/>
  <c r="D18" i="14"/>
  <c r="F16" i="14"/>
  <c r="D14" i="14"/>
  <c r="F12" i="14"/>
  <c r="D10" i="14"/>
  <c r="F8" i="14"/>
  <c r="K10" i="3" l="1"/>
  <c r="N182" i="12"/>
  <c r="M177" i="12"/>
  <c r="N174" i="12"/>
  <c r="N178" i="12"/>
  <c r="N185" i="12"/>
  <c r="N177" i="12"/>
  <c r="E29" i="3"/>
  <c r="N96" i="2"/>
  <c r="O96" i="2" s="1"/>
  <c r="G163" i="2"/>
  <c r="L146" i="7"/>
  <c r="F193" i="2"/>
  <c r="P165" i="5"/>
  <c r="P13" i="5"/>
  <c r="P37" i="5"/>
  <c r="P73" i="5"/>
  <c r="P71" i="12"/>
  <c r="S89" i="12"/>
  <c r="M97" i="5"/>
  <c r="S115" i="12"/>
  <c r="O132" i="12"/>
  <c r="L51" i="12"/>
  <c r="M20" i="12"/>
  <c r="L15" i="7"/>
  <c r="D117" i="7"/>
  <c r="C51" i="7"/>
  <c r="D91" i="7"/>
  <c r="J127" i="7"/>
  <c r="E15" i="7"/>
  <c r="L127" i="7"/>
  <c r="D51" i="7"/>
  <c r="C62" i="7"/>
  <c r="B188" i="7"/>
  <c r="H170" i="7"/>
  <c r="J49" i="2"/>
  <c r="K49" i="2" s="1"/>
  <c r="F89" i="2"/>
  <c r="N105" i="2"/>
  <c r="O105" i="2" s="1"/>
  <c r="P108" i="5"/>
  <c r="I15" i="7"/>
  <c r="O8" i="7"/>
  <c r="F51" i="7"/>
  <c r="D16" i="7"/>
  <c r="O24" i="7"/>
  <c r="N91" i="7"/>
  <c r="E60" i="7"/>
  <c r="C84" i="7"/>
  <c r="I118" i="7"/>
  <c r="I170" i="7"/>
  <c r="P36" i="5"/>
  <c r="M16" i="7"/>
  <c r="E52" i="7"/>
  <c r="M38" i="7"/>
  <c r="F38" i="7"/>
  <c r="H65" i="7"/>
  <c r="C65" i="7"/>
  <c r="I33" i="7"/>
  <c r="C8" i="7"/>
  <c r="N181" i="7"/>
  <c r="J69" i="7"/>
  <c r="J182" i="12"/>
  <c r="O170" i="7"/>
  <c r="H14" i="3"/>
  <c r="H168" i="3"/>
  <c r="N38" i="2"/>
  <c r="O38" i="2" s="1"/>
  <c r="P25" i="5"/>
  <c r="P64" i="5"/>
  <c r="B51" i="7"/>
  <c r="C69" i="7"/>
  <c r="G24" i="7"/>
  <c r="G91" i="7"/>
  <c r="C117" i="7"/>
  <c r="F118" i="7"/>
  <c r="K96" i="3"/>
  <c r="G23" i="14"/>
  <c r="J38" i="7"/>
  <c r="I52" i="7"/>
  <c r="I52" i="12" s="1"/>
  <c r="M62" i="7"/>
  <c r="N20" i="2"/>
  <c r="O20" i="2" s="1"/>
  <c r="R39" i="12"/>
  <c r="G89" i="2"/>
  <c r="J101" i="2"/>
  <c r="K101" i="2" s="1"/>
  <c r="L68" i="12"/>
  <c r="P92" i="12"/>
  <c r="N104" i="12"/>
  <c r="K171" i="12"/>
  <c r="R123" i="12"/>
  <c r="S128" i="12"/>
  <c r="P159" i="12"/>
  <c r="K117" i="7"/>
  <c r="F69" i="7"/>
  <c r="H171" i="12"/>
  <c r="J86" i="5"/>
  <c r="K13" i="3"/>
  <c r="H74" i="3"/>
  <c r="K170" i="7"/>
  <c r="J170" i="12" s="1"/>
  <c r="G61" i="2"/>
  <c r="C24" i="7"/>
  <c r="J43" i="7"/>
  <c r="B91" i="7"/>
  <c r="G187" i="2"/>
  <c r="G123" i="14"/>
  <c r="E38" i="7"/>
  <c r="D52" i="7"/>
  <c r="I60" i="7"/>
  <c r="F62" i="7"/>
  <c r="J118" i="7"/>
  <c r="L52" i="7"/>
  <c r="H86" i="7"/>
  <c r="J169" i="7"/>
  <c r="G33" i="7"/>
  <c r="F127" i="7"/>
  <c r="E117" i="7"/>
  <c r="H170" i="12"/>
  <c r="S34" i="12"/>
  <c r="S152" i="12"/>
  <c r="O118" i="7"/>
  <c r="B69" i="7"/>
  <c r="H181" i="12"/>
  <c r="K78" i="7"/>
  <c r="H31" i="3"/>
  <c r="E74" i="3"/>
  <c r="G170" i="7"/>
  <c r="E25" i="3"/>
  <c r="F121" i="2"/>
  <c r="G167" i="14"/>
  <c r="P66" i="5"/>
  <c r="G52" i="7"/>
  <c r="K11" i="7"/>
  <c r="N60" i="7"/>
  <c r="K60" i="7"/>
  <c r="J60" i="12" s="1"/>
  <c r="N123" i="7"/>
  <c r="K129" i="3"/>
  <c r="N38" i="7"/>
  <c r="C52" i="7"/>
  <c r="C60" i="7"/>
  <c r="E62" i="7"/>
  <c r="E86" i="7"/>
  <c r="F167" i="7"/>
  <c r="I188" i="7"/>
  <c r="N136" i="2"/>
  <c r="O136" i="2" s="1"/>
  <c r="F86" i="7"/>
  <c r="M170" i="7"/>
  <c r="M52" i="7"/>
  <c r="K127" i="7"/>
  <c r="E33" i="7"/>
  <c r="L33" i="7"/>
  <c r="Q97" i="12"/>
  <c r="R69" i="12"/>
  <c r="R128" i="12"/>
  <c r="R152" i="12"/>
  <c r="R25" i="12"/>
  <c r="K15" i="7"/>
  <c r="O38" i="7"/>
  <c r="K118" i="7"/>
  <c r="H117" i="7"/>
  <c r="G188" i="7"/>
  <c r="C170" i="7"/>
  <c r="E27" i="3"/>
  <c r="K164" i="3"/>
  <c r="N85" i="2"/>
  <c r="O85" i="2" s="1"/>
  <c r="F106" i="2"/>
  <c r="P84" i="5"/>
  <c r="K52" i="7"/>
  <c r="C11" i="7"/>
  <c r="G60" i="7"/>
  <c r="N24" i="7"/>
  <c r="J60" i="7"/>
  <c r="D129" i="7"/>
  <c r="K56" i="3"/>
  <c r="E170" i="3"/>
  <c r="M67" i="5"/>
  <c r="I38" i="7"/>
  <c r="L65" i="7"/>
  <c r="O164" i="7"/>
  <c r="H38" i="7"/>
  <c r="J86" i="7"/>
  <c r="I169" i="7"/>
  <c r="C188" i="7"/>
  <c r="J68" i="2"/>
  <c r="K68" i="2" s="1"/>
  <c r="J177" i="2"/>
  <c r="K177" i="2" s="1"/>
  <c r="K65" i="7"/>
  <c r="M86" i="7"/>
  <c r="E170" i="7"/>
  <c r="F181" i="7"/>
  <c r="N39" i="12"/>
  <c r="M124" i="12"/>
  <c r="Q122" i="12"/>
  <c r="R34" i="12"/>
  <c r="N98" i="12"/>
  <c r="R75" i="12"/>
  <c r="M75" i="12"/>
  <c r="R116" i="12"/>
  <c r="M166" i="12"/>
  <c r="R72" i="12"/>
  <c r="M151" i="5"/>
  <c r="M89" i="12"/>
  <c r="C127" i="7"/>
  <c r="K38" i="7"/>
  <c r="D62" i="7"/>
  <c r="G118" i="7"/>
  <c r="H69" i="7"/>
  <c r="M117" i="7"/>
  <c r="O188" i="7"/>
  <c r="J110" i="5"/>
  <c r="L188" i="7"/>
  <c r="L178" i="7"/>
  <c r="N102" i="2"/>
  <c r="O102" i="2" s="1"/>
  <c r="O52" i="7"/>
  <c r="O11" i="7"/>
  <c r="O60" i="7"/>
  <c r="J24" i="7"/>
  <c r="F60" i="7"/>
  <c r="I24" i="7"/>
  <c r="I129" i="7"/>
  <c r="P99" i="5"/>
  <c r="D38" i="7"/>
  <c r="E65" i="7"/>
  <c r="L181" i="7"/>
  <c r="K181" i="12" s="1"/>
  <c r="N175" i="2"/>
  <c r="O175" i="2" s="1"/>
  <c r="B86" i="7"/>
  <c r="M181" i="7"/>
  <c r="E178" i="3"/>
  <c r="M65" i="7"/>
  <c r="D15" i="7"/>
  <c r="J171" i="12"/>
  <c r="R98" i="12"/>
  <c r="I127" i="7"/>
  <c r="G38" i="7"/>
  <c r="I62" i="7"/>
  <c r="E69" i="7"/>
  <c r="C118" i="7"/>
  <c r="J63" i="12"/>
  <c r="N117" i="7"/>
  <c r="M69" i="7"/>
  <c r="K77" i="3"/>
  <c r="H188" i="7"/>
  <c r="N170" i="7"/>
  <c r="K188" i="7"/>
  <c r="F61" i="2"/>
  <c r="N169" i="2"/>
  <c r="O169" i="2" s="1"/>
  <c r="G157" i="14"/>
  <c r="F24" i="7"/>
  <c r="E181" i="7"/>
  <c r="M8" i="7"/>
  <c r="D65" i="7"/>
  <c r="E129" i="7"/>
  <c r="O51" i="7"/>
  <c r="D181" i="7"/>
  <c r="H33" i="7"/>
  <c r="D86" i="7"/>
  <c r="O117" i="7"/>
  <c r="D127" i="7"/>
  <c r="R126" i="12"/>
  <c r="R106" i="12"/>
  <c r="N15" i="7"/>
  <c r="D69" i="7"/>
  <c r="N127" i="7"/>
  <c r="N33" i="7"/>
  <c r="C38" i="7"/>
  <c r="N62" i="7"/>
  <c r="K69" i="7"/>
  <c r="G181" i="7"/>
  <c r="J117" i="7"/>
  <c r="G15" i="7"/>
  <c r="H95" i="3"/>
  <c r="D188" i="7"/>
  <c r="J170" i="7"/>
  <c r="E161" i="3"/>
  <c r="J113" i="2"/>
  <c r="K113" i="2" s="1"/>
  <c r="N176" i="2"/>
  <c r="O176" i="2" s="1"/>
  <c r="J75" i="2"/>
  <c r="K75" i="2" s="1"/>
  <c r="J123" i="2"/>
  <c r="K123" i="2" s="1"/>
  <c r="N130" i="2"/>
  <c r="O130" i="2" s="1"/>
  <c r="E233" i="2"/>
  <c r="O65" i="7"/>
  <c r="M11" i="7"/>
  <c r="B24" i="7"/>
  <c r="L60" i="7"/>
  <c r="K60" i="12" s="1"/>
  <c r="J99" i="7"/>
  <c r="J181" i="7"/>
  <c r="P143" i="5"/>
  <c r="I86" i="7"/>
  <c r="E51" i="7"/>
  <c r="H64" i="3"/>
  <c r="K28" i="3"/>
  <c r="I181" i="7"/>
  <c r="I180" i="12" s="1"/>
  <c r="M33" i="7"/>
  <c r="K129" i="7"/>
  <c r="E91" i="7"/>
  <c r="K33" i="7"/>
  <c r="J33" i="12" s="1"/>
  <c r="J91" i="7"/>
  <c r="P152" i="12"/>
  <c r="N51" i="7"/>
  <c r="Q103" i="12"/>
  <c r="J15" i="7"/>
  <c r="I69" i="7"/>
  <c r="J33" i="7"/>
  <c r="M55" i="7"/>
  <c r="K181" i="7"/>
  <c r="J181" i="12" s="1"/>
  <c r="F117" i="7"/>
  <c r="O15" i="7"/>
  <c r="O62" i="7"/>
  <c r="H172" i="12"/>
  <c r="J152" i="5"/>
  <c r="K162" i="3"/>
  <c r="N188" i="7"/>
  <c r="F170" i="7"/>
  <c r="H30" i="3"/>
  <c r="N45" i="2"/>
  <c r="O45" i="2" s="1"/>
  <c r="N117" i="2"/>
  <c r="O117" i="2" s="1"/>
  <c r="E11" i="7"/>
  <c r="L24" i="7"/>
  <c r="H60" i="7"/>
  <c r="K51" i="7"/>
  <c r="J51" i="12" s="1"/>
  <c r="B99" i="7"/>
  <c r="M143" i="5"/>
  <c r="N86" i="7"/>
  <c r="G51" i="7"/>
  <c r="B181" i="7"/>
  <c r="L38" i="7"/>
  <c r="G31" i="14"/>
  <c r="O91" i="7"/>
  <c r="M75" i="5"/>
  <c r="K69" i="12"/>
  <c r="M56" i="12"/>
  <c r="L55" i="12"/>
  <c r="F15" i="7"/>
  <c r="O69" i="7"/>
  <c r="F33" i="7"/>
  <c r="L91" i="7"/>
  <c r="L123" i="7"/>
  <c r="O181" i="7"/>
  <c r="B117" i="7"/>
  <c r="J89" i="7"/>
  <c r="G127" i="7"/>
  <c r="K172" i="12"/>
  <c r="K182" i="12"/>
  <c r="M84" i="5"/>
  <c r="E53" i="3"/>
  <c r="J188" i="7"/>
  <c r="N161" i="2"/>
  <c r="O161" i="2" s="1"/>
  <c r="D11" i="7"/>
  <c r="H24" i="7"/>
  <c r="C164" i="7"/>
  <c r="M24" i="7"/>
  <c r="H52" i="7"/>
  <c r="C181" i="7"/>
  <c r="H187" i="3"/>
  <c r="K136" i="3"/>
  <c r="E76" i="3"/>
  <c r="P10" i="12"/>
  <c r="S125" i="12"/>
  <c r="G40" i="2"/>
  <c r="N181" i="2"/>
  <c r="O181" i="2" s="1"/>
  <c r="J88" i="2"/>
  <c r="K88" i="2" s="1"/>
  <c r="D98" i="7"/>
  <c r="O132" i="7"/>
  <c r="B134" i="7"/>
  <c r="B144" i="7"/>
  <c r="K136" i="7"/>
  <c r="M136" i="7"/>
  <c r="G13" i="7"/>
  <c r="D136" i="7"/>
  <c r="E100" i="7"/>
  <c r="P101" i="5"/>
  <c r="C96" i="7"/>
  <c r="B100" i="7"/>
  <c r="G136" i="7"/>
  <c r="H96" i="7"/>
  <c r="M96" i="7"/>
  <c r="E183" i="3"/>
  <c r="O96" i="7"/>
  <c r="J95" i="12"/>
  <c r="R125" i="12"/>
  <c r="H68" i="3"/>
  <c r="G122" i="2"/>
  <c r="H100" i="7"/>
  <c r="F98" i="7"/>
  <c r="E132" i="7"/>
  <c r="B136" i="7"/>
  <c r="K132" i="7"/>
  <c r="L144" i="7"/>
  <c r="E13" i="7"/>
  <c r="N136" i="7"/>
  <c r="N92" i="2"/>
  <c r="O92" i="2" s="1"/>
  <c r="J100" i="7"/>
  <c r="M188" i="7"/>
  <c r="P69" i="5"/>
  <c r="L96" i="7"/>
  <c r="K100" i="7"/>
  <c r="D100" i="7"/>
  <c r="K171" i="3"/>
  <c r="L90" i="7"/>
  <c r="K90" i="12" s="1"/>
  <c r="G100" i="7"/>
  <c r="M100" i="7"/>
  <c r="P131" i="5"/>
  <c r="L100" i="7"/>
  <c r="J35" i="7"/>
  <c r="C107" i="7"/>
  <c r="D132" i="7"/>
  <c r="J136" i="7"/>
  <c r="L121" i="7"/>
  <c r="I136" i="7"/>
  <c r="P42" i="5"/>
  <c r="O100" i="7"/>
  <c r="D96" i="7"/>
  <c r="C100" i="7"/>
  <c r="L113" i="7"/>
  <c r="N100" i="7"/>
  <c r="C25" i="7"/>
  <c r="N24" i="12"/>
  <c r="S28" i="12"/>
  <c r="N110" i="12"/>
  <c r="P63" i="12"/>
  <c r="Q157" i="12"/>
  <c r="M128" i="12"/>
  <c r="L43" i="7"/>
  <c r="H123" i="7"/>
  <c r="G78" i="7"/>
  <c r="F89" i="7"/>
  <c r="H178" i="7"/>
  <c r="G137" i="2"/>
  <c r="F134" i="2"/>
  <c r="O16" i="7"/>
  <c r="E43" i="7"/>
  <c r="K55" i="7"/>
  <c r="E16" i="7"/>
  <c r="C121" i="7"/>
  <c r="C89" i="7"/>
  <c r="E89" i="7"/>
  <c r="F123" i="7"/>
  <c r="M77" i="5"/>
  <c r="H43" i="7"/>
  <c r="G87" i="7"/>
  <c r="D123" i="7"/>
  <c r="C78" i="7"/>
  <c r="B89" i="7"/>
  <c r="N121" i="7"/>
  <c r="D178" i="7"/>
  <c r="K16" i="7"/>
  <c r="M43" i="7"/>
  <c r="F78" i="7"/>
  <c r="H121" i="7"/>
  <c r="K87" i="7"/>
  <c r="M178" i="7"/>
  <c r="M121" i="7"/>
  <c r="L89" i="7"/>
  <c r="O123" i="7"/>
  <c r="S131" i="12"/>
  <c r="Q93" i="12"/>
  <c r="N122" i="12"/>
  <c r="D43" i="7"/>
  <c r="M87" i="7"/>
  <c r="I126" i="7"/>
  <c r="N133" i="7"/>
  <c r="J121" i="7"/>
  <c r="O178" i="7"/>
  <c r="E133" i="3"/>
  <c r="K148" i="3"/>
  <c r="J122" i="2"/>
  <c r="K122" i="2" s="1"/>
  <c r="G16" i="7"/>
  <c r="G43" i="7"/>
  <c r="M78" i="7"/>
  <c r="G123" i="7"/>
  <c r="I87" i="7"/>
  <c r="I178" i="7"/>
  <c r="I178" i="12" s="1"/>
  <c r="I43" i="7"/>
  <c r="E123" i="7"/>
  <c r="P97" i="5"/>
  <c r="N66" i="2"/>
  <c r="O66" i="2" s="1"/>
  <c r="C16" i="7"/>
  <c r="B43" i="7"/>
  <c r="B78" i="7"/>
  <c r="M123" i="7"/>
  <c r="N87" i="7"/>
  <c r="E178" i="7"/>
  <c r="F43" i="7"/>
  <c r="M89" i="7"/>
  <c r="B123" i="7"/>
  <c r="H89" i="7"/>
  <c r="G66" i="14"/>
  <c r="R28" i="12"/>
  <c r="L56" i="12"/>
  <c r="L123" i="12"/>
  <c r="H55" i="7"/>
  <c r="D133" i="7"/>
  <c r="I89" i="7"/>
  <c r="I89" i="12" s="1"/>
  <c r="F133" i="7"/>
  <c r="B121" i="7"/>
  <c r="G178" i="7"/>
  <c r="K149" i="3"/>
  <c r="J39" i="2"/>
  <c r="K39" i="2" s="1"/>
  <c r="N65" i="2"/>
  <c r="O65" i="2" s="1"/>
  <c r="H78" i="7"/>
  <c r="H78" i="12" s="1"/>
  <c r="C87" i="7"/>
  <c r="C43" i="7"/>
  <c r="E126" i="7"/>
  <c r="K89" i="7"/>
  <c r="D89" i="7"/>
  <c r="J133" i="7"/>
  <c r="F121" i="7"/>
  <c r="K178" i="7"/>
  <c r="P35" i="12"/>
  <c r="S122" i="12"/>
  <c r="D55" i="7"/>
  <c r="I133" i="7"/>
  <c r="I133" i="12" s="1"/>
  <c r="O89" i="7"/>
  <c r="B133" i="7"/>
  <c r="J116" i="5"/>
  <c r="H26" i="3"/>
  <c r="E39" i="3"/>
  <c r="C178" i="7"/>
  <c r="F122" i="2"/>
  <c r="G153" i="14"/>
  <c r="N16" i="7"/>
  <c r="L78" i="7"/>
  <c r="K78" i="12" s="1"/>
  <c r="B87" i="7"/>
  <c r="G121" i="7"/>
  <c r="N76" i="2"/>
  <c r="O76" i="2" s="1"/>
  <c r="L126" i="7"/>
  <c r="R20" i="12"/>
  <c r="O9" i="12"/>
  <c r="O133" i="7"/>
  <c r="D78" i="7"/>
  <c r="E55" i="7"/>
  <c r="N186" i="7"/>
  <c r="F21" i="2"/>
  <c r="J25" i="2"/>
  <c r="K25" i="2" s="1"/>
  <c r="N160" i="2"/>
  <c r="O160" i="2" s="1"/>
  <c r="J16" i="7"/>
  <c r="I16" i="7"/>
  <c r="E78" i="7"/>
  <c r="G191" i="2"/>
  <c r="G133" i="7"/>
  <c r="K123" i="7"/>
  <c r="L55" i="7"/>
  <c r="N20" i="12"/>
  <c r="P168" i="12"/>
  <c r="Q143" i="12"/>
  <c r="I78" i="7"/>
  <c r="I78" i="12" s="1"/>
  <c r="E133" i="7"/>
  <c r="J55" i="7"/>
  <c r="E87" i="7"/>
  <c r="J128" i="5"/>
  <c r="N178" i="7"/>
  <c r="F16" i="7"/>
  <c r="N55" i="7"/>
  <c r="N170" i="12"/>
  <c r="L168" i="12"/>
  <c r="Q107" i="12"/>
  <c r="N78" i="7"/>
  <c r="D121" i="7"/>
  <c r="K133" i="7"/>
  <c r="O55" i="7"/>
  <c r="J87" i="7"/>
  <c r="H133" i="7"/>
  <c r="J140" i="5"/>
  <c r="J178" i="7"/>
  <c r="F81" i="2"/>
  <c r="B16" i="7"/>
  <c r="C55" i="7"/>
  <c r="K121" i="7"/>
  <c r="S113" i="12"/>
  <c r="R124" i="12"/>
  <c r="L87" i="7"/>
  <c r="I121" i="7"/>
  <c r="I121" i="12" s="1"/>
  <c r="O87" i="7"/>
  <c r="M133" i="7"/>
  <c r="F178" i="7"/>
  <c r="J174" i="2"/>
  <c r="K174" i="2" s="1"/>
  <c r="L16" i="7"/>
  <c r="I55" i="7"/>
  <c r="C123" i="7"/>
  <c r="L133" i="7"/>
  <c r="M186" i="7"/>
  <c r="N124" i="12"/>
  <c r="H87" i="7"/>
  <c r="G55" i="7"/>
  <c r="O121" i="7"/>
  <c r="O78" i="7"/>
  <c r="N89" i="7"/>
  <c r="G81" i="2"/>
  <c r="F137" i="2"/>
  <c r="G134" i="2"/>
  <c r="B55" i="7"/>
  <c r="O43" i="7"/>
  <c r="N43" i="7"/>
  <c r="I123" i="7"/>
  <c r="I123" i="12" s="1"/>
  <c r="G21" i="7"/>
  <c r="S11" i="12"/>
  <c r="F123" i="5"/>
  <c r="G123" i="5" s="1"/>
  <c r="O168" i="12"/>
  <c r="N90" i="12"/>
  <c r="M134" i="12"/>
  <c r="L116" i="12"/>
  <c r="E97" i="5"/>
  <c r="N98" i="7"/>
  <c r="M49" i="7"/>
  <c r="D163" i="7"/>
  <c r="H97" i="7"/>
  <c r="H97" i="12" s="1"/>
  <c r="J180" i="12"/>
  <c r="L97" i="7"/>
  <c r="K97" i="12" s="1"/>
  <c r="N106" i="12"/>
  <c r="H121" i="3"/>
  <c r="H49" i="7"/>
  <c r="H49" i="12" s="1"/>
  <c r="G49" i="7"/>
  <c r="O163" i="7"/>
  <c r="O175" i="7"/>
  <c r="P81" i="5"/>
  <c r="G116" i="7"/>
  <c r="P107" i="12"/>
  <c r="L111" i="12"/>
  <c r="O97" i="7"/>
  <c r="C49" i="7"/>
  <c r="K163" i="7"/>
  <c r="I181" i="12"/>
  <c r="E182" i="7"/>
  <c r="L109" i="7"/>
  <c r="J175" i="7"/>
  <c r="F111" i="7"/>
  <c r="P80" i="5"/>
  <c r="G37" i="7"/>
  <c r="I97" i="7"/>
  <c r="D177" i="7"/>
  <c r="G163" i="7"/>
  <c r="I182" i="7"/>
  <c r="E175" i="7"/>
  <c r="K97" i="7"/>
  <c r="J97" i="12" s="1"/>
  <c r="G175" i="7"/>
  <c r="I116" i="7"/>
  <c r="D175" i="7"/>
  <c r="E116" i="7"/>
  <c r="N116" i="7"/>
  <c r="P154" i="12"/>
  <c r="B177" i="7"/>
  <c r="N177" i="7"/>
  <c r="G100" i="2"/>
  <c r="H116" i="7"/>
  <c r="J140" i="2"/>
  <c r="K140" i="2" s="1"/>
  <c r="I109" i="7"/>
  <c r="J177" i="7"/>
  <c r="E118" i="7"/>
  <c r="B118" i="7"/>
  <c r="G69" i="2"/>
  <c r="H177" i="7"/>
  <c r="L116" i="7"/>
  <c r="G57" i="7"/>
  <c r="C177" i="7"/>
  <c r="M118" i="7"/>
  <c r="J73" i="2"/>
  <c r="K73" i="2" s="1"/>
  <c r="M177" i="7"/>
  <c r="E151" i="3"/>
  <c r="K49" i="7"/>
  <c r="J49" i="12" s="1"/>
  <c r="M57" i="7"/>
  <c r="L37" i="7"/>
  <c r="F175" i="7"/>
  <c r="F154" i="7"/>
  <c r="F116" i="7"/>
  <c r="M171" i="12"/>
  <c r="M39" i="5"/>
  <c r="L57" i="7"/>
  <c r="K57" i="12" s="1"/>
  <c r="E163" i="7"/>
  <c r="I37" i="7"/>
  <c r="G109" i="7"/>
  <c r="L118" i="7"/>
  <c r="K118" i="12" s="1"/>
  <c r="M175" i="7"/>
  <c r="F177" i="7"/>
  <c r="S167" i="12"/>
  <c r="J162" i="5"/>
  <c r="N49" i="2"/>
  <c r="O49" i="2" s="1"/>
  <c r="P104" i="5"/>
  <c r="E57" i="7"/>
  <c r="O49" i="7"/>
  <c r="H175" i="7"/>
  <c r="H175" i="12" s="1"/>
  <c r="M163" i="7"/>
  <c r="D37" i="7"/>
  <c r="I163" i="7"/>
  <c r="O109" i="7"/>
  <c r="K175" i="7"/>
  <c r="B175" i="7"/>
  <c r="C97" i="7"/>
  <c r="L20" i="12"/>
  <c r="J31" i="5"/>
  <c r="F69" i="2"/>
  <c r="I170" i="12"/>
  <c r="K57" i="7"/>
  <c r="J57" i="12" s="1"/>
  <c r="I49" i="7"/>
  <c r="L175" i="7"/>
  <c r="F163" i="7"/>
  <c r="L163" i="7"/>
  <c r="C37" i="7"/>
  <c r="L177" i="7"/>
  <c r="E97" i="7"/>
  <c r="D13" i="28"/>
  <c r="D12" i="28"/>
  <c r="G153" i="2"/>
  <c r="J3" i="21"/>
  <c r="E158" i="3"/>
  <c r="F179" i="2"/>
  <c r="K53" i="3"/>
  <c r="E142" i="3"/>
  <c r="F153" i="2"/>
  <c r="H3" i="21"/>
  <c r="S85" i="12"/>
  <c r="J153" i="2"/>
  <c r="K153" i="2" s="1"/>
  <c r="B3" i="21"/>
  <c r="P155" i="5"/>
  <c r="B10" i="28"/>
  <c r="J171" i="2"/>
  <c r="K171" i="2" s="1"/>
  <c r="D10" i="28"/>
  <c r="E234" i="2"/>
  <c r="D11" i="28"/>
  <c r="I171" i="12"/>
  <c r="P151" i="5"/>
  <c r="G74" i="2"/>
  <c r="N75" i="12"/>
  <c r="M158" i="12"/>
  <c r="J66" i="5"/>
  <c r="K170" i="3"/>
  <c r="K172" i="3"/>
  <c r="B82" i="7"/>
  <c r="C179" i="7"/>
  <c r="B10" i="7"/>
  <c r="N26" i="7"/>
  <c r="E10" i="7"/>
  <c r="J58" i="12"/>
  <c r="L90" i="12"/>
  <c r="S141" i="12"/>
  <c r="O161" i="7"/>
  <c r="K26" i="7"/>
  <c r="I179" i="12"/>
  <c r="H131" i="7"/>
  <c r="H131" i="12" s="1"/>
  <c r="J74" i="2"/>
  <c r="K74" i="2" s="1"/>
  <c r="P68" i="5"/>
  <c r="N70" i="7"/>
  <c r="N179" i="7"/>
  <c r="E131" i="7"/>
  <c r="F161" i="7"/>
  <c r="F131" i="7"/>
  <c r="H10" i="7"/>
  <c r="H161" i="7"/>
  <c r="H161" i="12" s="1"/>
  <c r="J10" i="7"/>
  <c r="Q149" i="12"/>
  <c r="G26" i="7"/>
  <c r="M118" i="5"/>
  <c r="D131" i="7"/>
  <c r="I70" i="7"/>
  <c r="E161" i="7"/>
  <c r="J179" i="7"/>
  <c r="H44" i="3"/>
  <c r="K131" i="7"/>
  <c r="M161" i="7"/>
  <c r="M131" i="7"/>
  <c r="M10" i="7"/>
  <c r="C161" i="7"/>
  <c r="O131" i="7"/>
  <c r="K116" i="7"/>
  <c r="C26" i="7"/>
  <c r="G18" i="2"/>
  <c r="J83" i="2"/>
  <c r="K83" i="2" s="1"/>
  <c r="D70" i="7"/>
  <c r="J161" i="7"/>
  <c r="F179" i="7"/>
  <c r="I26" i="7"/>
  <c r="J70" i="7"/>
  <c r="E165" i="7"/>
  <c r="L26" i="7"/>
  <c r="F70" i="7"/>
  <c r="K183" i="3"/>
  <c r="G131" i="7"/>
  <c r="G110" i="14"/>
  <c r="H166" i="12"/>
  <c r="H15" i="3"/>
  <c r="E41" i="3"/>
  <c r="G98" i="2"/>
  <c r="B179" i="7"/>
  <c r="K24" i="3"/>
  <c r="J165" i="7"/>
  <c r="D150" i="7"/>
  <c r="F150" i="7"/>
  <c r="K135" i="3"/>
  <c r="C165" i="7"/>
  <c r="R140" i="12"/>
  <c r="G165" i="7"/>
  <c r="K83" i="3"/>
  <c r="N86" i="2"/>
  <c r="O86" i="2" s="1"/>
  <c r="J131" i="7"/>
  <c r="B161" i="7"/>
  <c r="E179" i="7"/>
  <c r="M116" i="7"/>
  <c r="S8" i="12"/>
  <c r="N79" i="12"/>
  <c r="N140" i="12"/>
  <c r="L157" i="12"/>
  <c r="C131" i="7"/>
  <c r="K165" i="7"/>
  <c r="J165" i="12" s="1"/>
  <c r="H53" i="3"/>
  <c r="F16" i="2"/>
  <c r="B165" i="7"/>
  <c r="L179" i="7"/>
  <c r="K179" i="12" s="1"/>
  <c r="N161" i="7"/>
  <c r="M179" i="7"/>
  <c r="E70" i="7"/>
  <c r="P8" i="12"/>
  <c r="J69" i="12"/>
  <c r="I131" i="7"/>
  <c r="I131" i="12" s="1"/>
  <c r="O165" i="7"/>
  <c r="M16" i="5"/>
  <c r="E82" i="7"/>
  <c r="F73" i="2"/>
  <c r="P92" i="5"/>
  <c r="H165" i="7"/>
  <c r="D165" i="7"/>
  <c r="H179" i="7"/>
  <c r="D26" i="7"/>
  <c r="D161" i="7"/>
  <c r="M70" i="7"/>
  <c r="F10" i="7"/>
  <c r="C116" i="7"/>
  <c r="L8" i="12"/>
  <c r="R169" i="12"/>
  <c r="N35" i="12"/>
  <c r="O70" i="7"/>
  <c r="H179" i="12"/>
  <c r="J83" i="12"/>
  <c r="J82" i="7"/>
  <c r="N34" i="2"/>
  <c r="O34" i="2" s="1"/>
  <c r="F26" i="7"/>
  <c r="L82" i="7"/>
  <c r="K82" i="12" s="1"/>
  <c r="M165" i="7"/>
  <c r="I165" i="7"/>
  <c r="D179" i="7"/>
  <c r="F32" i="2"/>
  <c r="F165" i="7"/>
  <c r="L165" i="7"/>
  <c r="K165" i="12" s="1"/>
  <c r="O116" i="7"/>
  <c r="L130" i="12"/>
  <c r="R141" i="12"/>
  <c r="M150" i="12"/>
  <c r="K70" i="7"/>
  <c r="J70" i="12" s="1"/>
  <c r="K83" i="12"/>
  <c r="K79" i="3"/>
  <c r="E188" i="3"/>
  <c r="I82" i="7"/>
  <c r="I82" i="12" s="1"/>
  <c r="O179" i="7"/>
  <c r="D10" i="7"/>
  <c r="H70" i="7"/>
  <c r="M34" i="12"/>
  <c r="G70" i="7"/>
  <c r="H83" i="12"/>
  <c r="H164" i="12"/>
  <c r="F18" i="2"/>
  <c r="F98" i="2"/>
  <c r="N82" i="7"/>
  <c r="M150" i="7"/>
  <c r="I10" i="7"/>
  <c r="B116" i="7"/>
  <c r="L70" i="7"/>
  <c r="G19" i="14"/>
  <c r="H22" i="12"/>
  <c r="H135" i="3"/>
  <c r="H52" i="3"/>
  <c r="J116" i="7"/>
  <c r="M160" i="5"/>
  <c r="K40" i="3"/>
  <c r="H131" i="3"/>
  <c r="H96" i="3"/>
  <c r="K119" i="3"/>
  <c r="P79" i="5"/>
  <c r="P123" i="5"/>
  <c r="K32" i="3"/>
  <c r="H112" i="3"/>
  <c r="L64" i="12"/>
  <c r="D47" i="7"/>
  <c r="N73" i="2"/>
  <c r="O73" i="2" s="1"/>
  <c r="G152" i="2"/>
  <c r="O156" i="7"/>
  <c r="D187" i="7"/>
  <c r="J187" i="7"/>
  <c r="I47" i="7"/>
  <c r="N47" i="7"/>
  <c r="M29" i="5"/>
  <c r="C6" i="28"/>
  <c r="D6" i="28" s="1"/>
  <c r="N164" i="2"/>
  <c r="O164" i="2" s="1"/>
  <c r="J125" i="2"/>
  <c r="K125" i="2" s="1"/>
  <c r="J59" i="7"/>
  <c r="N120" i="7"/>
  <c r="D130" i="7"/>
  <c r="G75" i="14"/>
  <c r="G85" i="7"/>
  <c r="N16" i="12"/>
  <c r="P39" i="12"/>
  <c r="E47" i="7"/>
  <c r="J10" i="5"/>
  <c r="J172" i="2"/>
  <c r="K172" i="2" s="1"/>
  <c r="O172" i="7"/>
  <c r="P103" i="5"/>
  <c r="M75" i="7"/>
  <c r="L126" i="12"/>
  <c r="P118" i="12"/>
  <c r="J47" i="7"/>
  <c r="J11" i="5"/>
  <c r="M95" i="5"/>
  <c r="E185" i="3"/>
  <c r="J48" i="7"/>
  <c r="E76" i="7"/>
  <c r="G172" i="7"/>
  <c r="L130" i="7"/>
  <c r="K130" i="12" s="1"/>
  <c r="G186" i="14"/>
  <c r="P28" i="12"/>
  <c r="M83" i="12"/>
  <c r="O47" i="7"/>
  <c r="J134" i="5"/>
  <c r="H82" i="3"/>
  <c r="H78" i="3"/>
  <c r="F49" i="2"/>
  <c r="J145" i="2"/>
  <c r="K145" i="2" s="1"/>
  <c r="J90" i="2"/>
  <c r="K90" i="2" s="1"/>
  <c r="J166" i="2"/>
  <c r="K166" i="2" s="1"/>
  <c r="I59" i="7"/>
  <c r="I59" i="12" s="1"/>
  <c r="G160" i="7"/>
  <c r="H187" i="7"/>
  <c r="M172" i="7"/>
  <c r="F47" i="7"/>
  <c r="B160" i="7"/>
  <c r="S93" i="12"/>
  <c r="E71" i="3"/>
  <c r="J65" i="2"/>
  <c r="K65" i="2" s="1"/>
  <c r="F37" i="2"/>
  <c r="G45" i="2"/>
  <c r="O160" i="7"/>
  <c r="L187" i="7"/>
  <c r="K187" i="12" s="1"/>
  <c r="E172" i="7"/>
  <c r="H88" i="3"/>
  <c r="K59" i="7"/>
  <c r="B47" i="7"/>
  <c r="J116" i="2"/>
  <c r="K116" i="2" s="1"/>
  <c r="R71" i="12"/>
  <c r="P166" i="12"/>
  <c r="O130" i="7"/>
  <c r="H130" i="7"/>
  <c r="J34" i="5"/>
  <c r="G49" i="2"/>
  <c r="J26" i="2"/>
  <c r="K26" i="2" s="1"/>
  <c r="P19" i="5"/>
  <c r="K172" i="7"/>
  <c r="J172" i="12" s="1"/>
  <c r="E159" i="3"/>
  <c r="F59" i="7"/>
  <c r="G112" i="14"/>
  <c r="O8" i="12"/>
  <c r="N71" i="12"/>
  <c r="K130" i="7"/>
  <c r="M130" i="7"/>
  <c r="J25" i="5"/>
  <c r="E143" i="5"/>
  <c r="N141" i="2"/>
  <c r="O141" i="2" s="1"/>
  <c r="D231" i="2"/>
  <c r="K47" i="7"/>
  <c r="C172" i="7"/>
  <c r="P129" i="5"/>
  <c r="B176" i="7"/>
  <c r="K144" i="3"/>
  <c r="S143" i="12"/>
  <c r="M45" i="5"/>
  <c r="G130" i="7"/>
  <c r="M124" i="5"/>
  <c r="G47" i="7"/>
  <c r="H85" i="7"/>
  <c r="H85" i="12" s="1"/>
  <c r="E141" i="3"/>
  <c r="N118" i="2"/>
  <c r="O118" i="2" s="1"/>
  <c r="J141" i="2"/>
  <c r="K141" i="2" s="1"/>
  <c r="P96" i="5"/>
  <c r="M59" i="7"/>
  <c r="I130" i="7"/>
  <c r="B172" i="7"/>
  <c r="N187" i="7"/>
  <c r="H76" i="3"/>
  <c r="K76" i="3"/>
  <c r="P26" i="5"/>
  <c r="C130" i="7"/>
  <c r="L47" i="7"/>
  <c r="M47" i="7"/>
  <c r="E130" i="7"/>
  <c r="H134" i="3"/>
  <c r="H152" i="3"/>
  <c r="F45" i="2"/>
  <c r="G59" i="7"/>
  <c r="F130" i="7"/>
  <c r="E127" i="3"/>
  <c r="G175" i="2"/>
  <c r="M76" i="7"/>
  <c r="N59" i="7"/>
  <c r="I187" i="7"/>
  <c r="N143" i="12"/>
  <c r="M113" i="12"/>
  <c r="C47" i="7"/>
  <c r="J130" i="7"/>
  <c r="H87" i="3"/>
  <c r="J178" i="2"/>
  <c r="K178" i="2" s="1"/>
  <c r="J66" i="2"/>
  <c r="K66" i="2" s="1"/>
  <c r="F130" i="2"/>
  <c r="B59" i="7"/>
  <c r="N155" i="2"/>
  <c r="O155" i="2" s="1"/>
  <c r="E96" i="3"/>
  <c r="P45" i="5"/>
  <c r="P46" i="5"/>
  <c r="J173" i="2"/>
  <c r="K173" i="2" s="1"/>
  <c r="H126" i="12"/>
  <c r="K121" i="3"/>
  <c r="P28" i="5"/>
  <c r="G55" i="14"/>
  <c r="M164" i="5"/>
  <c r="M9" i="5"/>
  <c r="F108" i="2"/>
  <c r="G107" i="14"/>
  <c r="P91" i="5"/>
  <c r="P77" i="5"/>
  <c r="M142" i="5"/>
  <c r="M100" i="5"/>
  <c r="J24" i="12"/>
  <c r="E150" i="3"/>
  <c r="P43" i="5"/>
  <c r="N191" i="2"/>
  <c r="O191" i="2" s="1"/>
  <c r="P94" i="12"/>
  <c r="L94" i="12"/>
  <c r="P170" i="12"/>
  <c r="L170" i="12"/>
  <c r="N162" i="12"/>
  <c r="N146" i="12"/>
  <c r="R146" i="12"/>
  <c r="S146" i="12"/>
  <c r="H28" i="3"/>
  <c r="P87" i="12"/>
  <c r="L87" i="12"/>
  <c r="S160" i="12"/>
  <c r="R160" i="12"/>
  <c r="Q125" i="12"/>
  <c r="M125" i="12"/>
  <c r="L125" i="7"/>
  <c r="K125" i="12" s="1"/>
  <c r="M125" i="7"/>
  <c r="K125" i="7"/>
  <c r="J125" i="12" s="1"/>
  <c r="H125" i="7"/>
  <c r="H125" i="12" s="1"/>
  <c r="B125" i="7"/>
  <c r="E125" i="7"/>
  <c r="F125" i="7"/>
  <c r="J125" i="7"/>
  <c r="O125" i="7"/>
  <c r="N125" i="7"/>
  <c r="D125" i="7"/>
  <c r="G125" i="7"/>
  <c r="B122" i="7"/>
  <c r="L122" i="7"/>
  <c r="K122" i="12" s="1"/>
  <c r="O122" i="7"/>
  <c r="M122" i="7"/>
  <c r="H122" i="7"/>
  <c r="J122" i="7"/>
  <c r="N122" i="7"/>
  <c r="E122" i="7"/>
  <c r="I122" i="7"/>
  <c r="F122" i="7"/>
  <c r="G122" i="7"/>
  <c r="B48" i="7"/>
  <c r="H72" i="3"/>
  <c r="D102" i="7"/>
  <c r="I102" i="7"/>
  <c r="I102" i="12" s="1"/>
  <c r="N102" i="7"/>
  <c r="L102" i="7"/>
  <c r="K102" i="12" s="1"/>
  <c r="F102" i="7"/>
  <c r="M102" i="7"/>
  <c r="C102" i="7"/>
  <c r="G102" i="7"/>
  <c r="K102" i="7"/>
  <c r="O102" i="7"/>
  <c r="G137" i="7"/>
  <c r="O137" i="7"/>
  <c r="K113" i="12"/>
  <c r="E137" i="7"/>
  <c r="I157" i="12"/>
  <c r="I137" i="7"/>
  <c r="I137" i="12" s="1"/>
  <c r="K154" i="12"/>
  <c r="K163" i="12"/>
  <c r="H152" i="12"/>
  <c r="D137" i="7"/>
  <c r="H162" i="12"/>
  <c r="M137" i="7"/>
  <c r="K112" i="12"/>
  <c r="H154" i="12"/>
  <c r="C137" i="7"/>
  <c r="H112" i="12"/>
  <c r="H132" i="12"/>
  <c r="H137" i="7"/>
  <c r="H137" i="12" s="1"/>
  <c r="J162" i="12"/>
  <c r="H144" i="12"/>
  <c r="J136" i="12"/>
  <c r="K162" i="12"/>
  <c r="I158" i="12"/>
  <c r="K133" i="12"/>
  <c r="L148" i="12"/>
  <c r="K66" i="3"/>
  <c r="Q42" i="12"/>
  <c r="M42" i="12"/>
  <c r="C153" i="7"/>
  <c r="O153" i="7"/>
  <c r="I153" i="7"/>
  <c r="I153" i="12" s="1"/>
  <c r="B153" i="7"/>
  <c r="F153" i="7"/>
  <c r="J153" i="7"/>
  <c r="M153" i="7"/>
  <c r="H40" i="3"/>
  <c r="E40" i="5"/>
  <c r="F40" i="5" s="1"/>
  <c r="G40" i="5" s="1"/>
  <c r="I141" i="7"/>
  <c r="K141" i="7"/>
  <c r="N141" i="7"/>
  <c r="E141" i="7"/>
  <c r="M141" i="7"/>
  <c r="F141" i="7"/>
  <c r="C36" i="7"/>
  <c r="H36" i="7"/>
  <c r="H36" i="12" s="1"/>
  <c r="I36" i="7"/>
  <c r="I36" i="12" s="1"/>
  <c r="O36" i="7"/>
  <c r="L36" i="7"/>
  <c r="K36" i="12" s="1"/>
  <c r="K36" i="7"/>
  <c r="J36" i="12" s="1"/>
  <c r="G36" i="7"/>
  <c r="B36" i="7"/>
  <c r="F36" i="7"/>
  <c r="J36" i="7"/>
  <c r="N36" i="7"/>
  <c r="M36" i="7"/>
  <c r="P150" i="12"/>
  <c r="L150" i="12"/>
  <c r="L158" i="12"/>
  <c r="P158" i="12"/>
  <c r="K56" i="7"/>
  <c r="H56" i="7"/>
  <c r="C56" i="7"/>
  <c r="L56" i="7"/>
  <c r="I56" i="7"/>
  <c r="O56" i="7"/>
  <c r="G56" i="7"/>
  <c r="L114" i="12"/>
  <c r="P114" i="12"/>
  <c r="K34" i="7"/>
  <c r="P129" i="12"/>
  <c r="L129" i="12"/>
  <c r="M76" i="12"/>
  <c r="Q76" i="12"/>
  <c r="P131" i="12"/>
  <c r="L131" i="12"/>
  <c r="M71" i="12"/>
  <c r="Q71" i="12"/>
  <c r="L49" i="12"/>
  <c r="P49" i="12"/>
  <c r="S76" i="12"/>
  <c r="R76" i="12"/>
  <c r="N76" i="12"/>
  <c r="R144" i="12"/>
  <c r="N144" i="12"/>
  <c r="S144" i="12"/>
  <c r="G17" i="7"/>
  <c r="I17" i="7"/>
  <c r="B17" i="7"/>
  <c r="M17" i="7"/>
  <c r="F17" i="7"/>
  <c r="E17" i="7"/>
  <c r="J17" i="7"/>
  <c r="N17" i="7"/>
  <c r="D17" i="7"/>
  <c r="H17" i="7"/>
  <c r="L17" i="7"/>
  <c r="K17" i="12" s="1"/>
  <c r="K17" i="7"/>
  <c r="C17" i="7"/>
  <c r="O17" i="7"/>
  <c r="C122" i="7"/>
  <c r="L48" i="12"/>
  <c r="J134" i="12"/>
  <c r="Q14" i="12"/>
  <c r="M14" i="12"/>
  <c r="O22" i="12"/>
  <c r="O20" i="12"/>
  <c r="N166" i="12"/>
  <c r="R166" i="12"/>
  <c r="G153" i="7"/>
  <c r="L34" i="7"/>
  <c r="K34" i="12" s="1"/>
  <c r="N34" i="7"/>
  <c r="I34" i="7"/>
  <c r="I34" i="12" s="1"/>
  <c r="B34" i="7"/>
  <c r="D34" i="7"/>
  <c r="F34" i="7"/>
  <c r="M34" i="7"/>
  <c r="J34" i="7"/>
  <c r="H34" i="7"/>
  <c r="H34" i="12" s="1"/>
  <c r="E34" i="7"/>
  <c r="C34" i="7"/>
  <c r="O34" i="7"/>
  <c r="R48" i="12"/>
  <c r="S48" i="12"/>
  <c r="S94" i="12"/>
  <c r="R94" i="12"/>
  <c r="N94" i="12"/>
  <c r="P108" i="12"/>
  <c r="L108" i="12"/>
  <c r="S32" i="12"/>
  <c r="R32" i="12"/>
  <c r="D122" i="7"/>
  <c r="N30" i="12"/>
  <c r="R30" i="12"/>
  <c r="S30" i="12"/>
  <c r="N38" i="12"/>
  <c r="R38" i="12"/>
  <c r="S38" i="12"/>
  <c r="Q159" i="12"/>
  <c r="M159" i="12"/>
  <c r="L133" i="12"/>
  <c r="P133" i="12"/>
  <c r="C48" i="7"/>
  <c r="N48" i="7"/>
  <c r="M48" i="7"/>
  <c r="D48" i="7"/>
  <c r="H48" i="7"/>
  <c r="H48" i="12" s="1"/>
  <c r="G48" i="7"/>
  <c r="L48" i="7"/>
  <c r="E48" i="7"/>
  <c r="O48" i="7"/>
  <c r="I48" i="7"/>
  <c r="F48" i="7"/>
  <c r="L163" i="12"/>
  <c r="L164" i="12"/>
  <c r="P164" i="12"/>
  <c r="R129" i="12"/>
  <c r="S129" i="12"/>
  <c r="N192" i="2"/>
  <c r="O192" i="2" s="1"/>
  <c r="L103" i="12"/>
  <c r="P103" i="12"/>
  <c r="E174" i="7"/>
  <c r="I174" i="7"/>
  <c r="I174" i="12" s="1"/>
  <c r="K174" i="7"/>
  <c r="J174" i="12" s="1"/>
  <c r="M174" i="7"/>
  <c r="O174" i="7"/>
  <c r="D174" i="7"/>
  <c r="K101" i="12"/>
  <c r="L12" i="12"/>
  <c r="P12" i="12"/>
  <c r="E69" i="5"/>
  <c r="F69" i="5" s="1"/>
  <c r="G69" i="5" s="1"/>
  <c r="L27" i="12"/>
  <c r="P27" i="12"/>
  <c r="S42" i="12"/>
  <c r="R42" i="12"/>
  <c r="M81" i="12"/>
  <c r="Q81" i="12"/>
  <c r="Q92" i="12"/>
  <c r="M92" i="12"/>
  <c r="Q142" i="12"/>
  <c r="M142" i="12"/>
  <c r="E36" i="7"/>
  <c r="J48" i="2"/>
  <c r="K48" i="2" s="1"/>
  <c r="P89" i="5"/>
  <c r="G36" i="14"/>
  <c r="G116" i="14"/>
  <c r="G106" i="14"/>
  <c r="H64" i="12"/>
  <c r="I77" i="12"/>
  <c r="J79" i="12"/>
  <c r="K89" i="12"/>
  <c r="K93" i="12"/>
  <c r="L11" i="12"/>
  <c r="Q151" i="12"/>
  <c r="I69" i="12"/>
  <c r="H50" i="7"/>
  <c r="I62" i="12"/>
  <c r="N99" i="7"/>
  <c r="E106" i="7"/>
  <c r="J45" i="5"/>
  <c r="H95" i="12"/>
  <c r="J89" i="12"/>
  <c r="H89" i="12"/>
  <c r="B73" i="7"/>
  <c r="L99" i="7"/>
  <c r="H106" i="7"/>
  <c r="H106" i="12" s="1"/>
  <c r="J146" i="7"/>
  <c r="L176" i="7"/>
  <c r="K176" i="12" s="1"/>
  <c r="K166" i="12"/>
  <c r="J161" i="5"/>
  <c r="H90" i="3"/>
  <c r="H91" i="3"/>
  <c r="H19" i="3"/>
  <c r="H160" i="3"/>
  <c r="J21" i="2"/>
  <c r="K21" i="2" s="1"/>
  <c r="J33" i="2"/>
  <c r="K33" i="2" s="1"/>
  <c r="G8" i="7"/>
  <c r="G61" i="7"/>
  <c r="L73" i="7"/>
  <c r="K73" i="12" s="1"/>
  <c r="L50" i="7"/>
  <c r="K50" i="12" s="1"/>
  <c r="G84" i="7"/>
  <c r="J80" i="7"/>
  <c r="G99" i="7"/>
  <c r="N163" i="2"/>
  <c r="O163" i="2" s="1"/>
  <c r="J68" i="7"/>
  <c r="H73" i="7"/>
  <c r="H73" i="12" s="1"/>
  <c r="N169" i="7"/>
  <c r="L129" i="7"/>
  <c r="G137" i="14"/>
  <c r="F84" i="7"/>
  <c r="D169" i="7"/>
  <c r="C129" i="7"/>
  <c r="H84" i="7"/>
  <c r="H84" i="12" s="1"/>
  <c r="H160" i="12"/>
  <c r="K31" i="3"/>
  <c r="K150" i="3"/>
  <c r="H81" i="12"/>
  <c r="H92" i="12"/>
  <c r="H90" i="12"/>
  <c r="H94" i="12"/>
  <c r="M116" i="12"/>
  <c r="Q57" i="12"/>
  <c r="S149" i="12"/>
  <c r="K50" i="7"/>
  <c r="J50" i="12" s="1"/>
  <c r="N61" i="7"/>
  <c r="K146" i="7"/>
  <c r="J146" i="12" s="1"/>
  <c r="N129" i="7"/>
  <c r="M8" i="5"/>
  <c r="J18" i="5"/>
  <c r="J29" i="5"/>
  <c r="K77" i="12"/>
  <c r="J81" i="12"/>
  <c r="J93" i="12"/>
  <c r="H106" i="3"/>
  <c r="H125" i="3"/>
  <c r="H144" i="3"/>
  <c r="J79" i="2"/>
  <c r="K79" i="2" s="1"/>
  <c r="F165" i="2"/>
  <c r="N54" i="2"/>
  <c r="O54" i="2" s="1"/>
  <c r="J37" i="2"/>
  <c r="K37" i="2" s="1"/>
  <c r="J85" i="2"/>
  <c r="K85" i="2" s="1"/>
  <c r="E84" i="7"/>
  <c r="H80" i="7"/>
  <c r="L167" i="7"/>
  <c r="O129" i="7"/>
  <c r="G25" i="14"/>
  <c r="L84" i="7"/>
  <c r="K84" i="12" s="1"/>
  <c r="M84" i="7"/>
  <c r="M169" i="7"/>
  <c r="F80" i="7"/>
  <c r="E169" i="7"/>
  <c r="K85" i="3"/>
  <c r="D84" i="7"/>
  <c r="P9" i="5"/>
  <c r="R108" i="12"/>
  <c r="M154" i="12"/>
  <c r="O106" i="12"/>
  <c r="L143" i="12"/>
  <c r="G50" i="7"/>
  <c r="J61" i="7"/>
  <c r="J82" i="12"/>
  <c r="G146" i="7"/>
  <c r="J129" i="7"/>
  <c r="F176" i="7"/>
  <c r="J9" i="5"/>
  <c r="K79" i="12"/>
  <c r="K70" i="12"/>
  <c r="H69" i="12"/>
  <c r="J77" i="12"/>
  <c r="M76" i="5"/>
  <c r="J118" i="5"/>
  <c r="K45" i="3"/>
  <c r="H138" i="3"/>
  <c r="H154" i="3"/>
  <c r="G93" i="2"/>
  <c r="J84" i="7"/>
  <c r="D80" i="7"/>
  <c r="O99" i="7"/>
  <c r="N132" i="2"/>
  <c r="O132" i="2" s="1"/>
  <c r="E32" i="3"/>
  <c r="H169" i="7"/>
  <c r="H169" i="12" s="1"/>
  <c r="B84" i="7"/>
  <c r="M99" i="7"/>
  <c r="I61" i="7"/>
  <c r="I61" i="12" s="1"/>
  <c r="L61" i="7"/>
  <c r="K61" i="12" s="1"/>
  <c r="L169" i="7"/>
  <c r="M73" i="7"/>
  <c r="P94" i="5"/>
  <c r="K88" i="12"/>
  <c r="N8" i="12"/>
  <c r="R14" i="12"/>
  <c r="M59" i="12"/>
  <c r="H96" i="12"/>
  <c r="C50" i="7"/>
  <c r="F61" i="7"/>
  <c r="C146" i="7"/>
  <c r="K91" i="12"/>
  <c r="F129" i="7"/>
  <c r="H146" i="7"/>
  <c r="H146" i="12" s="1"/>
  <c r="I166" i="12"/>
  <c r="J176" i="7"/>
  <c r="J30" i="5"/>
  <c r="H79" i="12"/>
  <c r="H72" i="12"/>
  <c r="I70" i="12"/>
  <c r="E61" i="7"/>
  <c r="E51" i="3"/>
  <c r="E69" i="3"/>
  <c r="K138" i="3"/>
  <c r="K186" i="3"/>
  <c r="J27" i="2"/>
  <c r="K27" i="2" s="1"/>
  <c r="J169" i="2"/>
  <c r="K169" i="2" s="1"/>
  <c r="N138" i="2"/>
  <c r="O138" i="2" s="1"/>
  <c r="N50" i="7"/>
  <c r="N80" i="7"/>
  <c r="F99" i="7"/>
  <c r="H123" i="3"/>
  <c r="P135" i="5"/>
  <c r="N167" i="7"/>
  <c r="B169" i="7"/>
  <c r="N16" i="2"/>
  <c r="O16" i="2" s="1"/>
  <c r="N8" i="7"/>
  <c r="F146" i="7"/>
  <c r="E99" i="7"/>
  <c r="G52" i="14"/>
  <c r="K73" i="7"/>
  <c r="J73" i="12" s="1"/>
  <c r="N129" i="2"/>
  <c r="O129" i="2" s="1"/>
  <c r="P21" i="5"/>
  <c r="N14" i="12"/>
  <c r="I79" i="12"/>
  <c r="B61" i="7"/>
  <c r="I95" i="12"/>
  <c r="D106" i="7"/>
  <c r="K64" i="12"/>
  <c r="H91" i="12"/>
  <c r="B129" i="7"/>
  <c r="M146" i="7"/>
  <c r="N176" i="7"/>
  <c r="J40" i="5"/>
  <c r="H63" i="12"/>
  <c r="O106" i="7"/>
  <c r="K94" i="12"/>
  <c r="I97" i="12"/>
  <c r="K61" i="7"/>
  <c r="J61" i="12" s="1"/>
  <c r="J78" i="12"/>
  <c r="J102" i="5"/>
  <c r="F25" i="2"/>
  <c r="F105" i="2"/>
  <c r="J138" i="2"/>
  <c r="K138" i="2" s="1"/>
  <c r="D50" i="7"/>
  <c r="I80" i="7"/>
  <c r="I80" i="12" s="1"/>
  <c r="H129" i="7"/>
  <c r="H129" i="12" s="1"/>
  <c r="K99" i="7"/>
  <c r="G44" i="2"/>
  <c r="H68" i="7"/>
  <c r="I167" i="7"/>
  <c r="C169" i="7"/>
  <c r="N108" i="2"/>
  <c r="O108" i="2" s="1"/>
  <c r="F8" i="7"/>
  <c r="B146" i="7"/>
  <c r="I176" i="7"/>
  <c r="I175" i="12" s="1"/>
  <c r="N84" i="7"/>
  <c r="K173" i="3"/>
  <c r="G100" i="14"/>
  <c r="G132" i="14"/>
  <c r="K63" i="12"/>
  <c r="J62" i="12"/>
  <c r="J67" i="12"/>
  <c r="J94" i="12"/>
  <c r="H77" i="12"/>
  <c r="H60" i="12"/>
  <c r="K175" i="12"/>
  <c r="M89" i="5"/>
  <c r="L181" i="12"/>
  <c r="K87" i="12"/>
  <c r="I106" i="7"/>
  <c r="H151" i="12"/>
  <c r="H59" i="12"/>
  <c r="J91" i="12"/>
  <c r="G169" i="7"/>
  <c r="K106" i="7"/>
  <c r="J106" i="12" s="1"/>
  <c r="I91" i="12"/>
  <c r="I93" i="12"/>
  <c r="H142" i="3"/>
  <c r="H158" i="3"/>
  <c r="H174" i="3"/>
  <c r="H46" i="3"/>
  <c r="J69" i="2"/>
  <c r="K69" i="2" s="1"/>
  <c r="J117" i="2"/>
  <c r="K117" i="2" s="1"/>
  <c r="P102" i="5"/>
  <c r="I50" i="7"/>
  <c r="I50" i="12" s="1"/>
  <c r="C80" i="7"/>
  <c r="M129" i="7"/>
  <c r="C176" i="7"/>
  <c r="P75" i="5"/>
  <c r="L68" i="7"/>
  <c r="K68" i="12" s="1"/>
  <c r="J167" i="7"/>
  <c r="C167" i="7"/>
  <c r="O167" i="7"/>
  <c r="K163" i="3"/>
  <c r="M68" i="7"/>
  <c r="L8" i="7"/>
  <c r="G7" i="14"/>
  <c r="N146" i="7"/>
  <c r="H176" i="12"/>
  <c r="Q36" i="12"/>
  <c r="I63" i="12"/>
  <c r="H87" i="12"/>
  <c r="N106" i="7"/>
  <c r="D73" i="7"/>
  <c r="H93" i="12"/>
  <c r="K169" i="7"/>
  <c r="J169" i="12" s="1"/>
  <c r="J42" i="5"/>
  <c r="G106" i="7"/>
  <c r="I165" i="12"/>
  <c r="I87" i="12"/>
  <c r="K81" i="12"/>
  <c r="K82" i="3"/>
  <c r="E103" i="3"/>
  <c r="K67" i="3"/>
  <c r="G25" i="2"/>
  <c r="G105" i="2"/>
  <c r="J184" i="2"/>
  <c r="K184" i="2" s="1"/>
  <c r="F93" i="2"/>
  <c r="P138" i="5"/>
  <c r="P88" i="5"/>
  <c r="B50" i="7"/>
  <c r="M80" i="7"/>
  <c r="F106" i="7"/>
  <c r="I146" i="7"/>
  <c r="I146" i="12" s="1"/>
  <c r="K176" i="7"/>
  <c r="J176" i="12" s="1"/>
  <c r="E176" i="7"/>
  <c r="E8" i="3"/>
  <c r="C68" i="7"/>
  <c r="M167" i="7"/>
  <c r="I68" i="7"/>
  <c r="I68" i="12" s="1"/>
  <c r="G176" i="7"/>
  <c r="E8" i="7"/>
  <c r="J8" i="5"/>
  <c r="P33" i="5"/>
  <c r="P73" i="12"/>
  <c r="G58" i="14"/>
  <c r="G146" i="14"/>
  <c r="K80" i="12"/>
  <c r="M104" i="12"/>
  <c r="K96" i="12"/>
  <c r="O81" i="12"/>
  <c r="H61" i="7"/>
  <c r="I73" i="7"/>
  <c r="I73" i="12" s="1"/>
  <c r="O169" i="7"/>
  <c r="J33" i="5"/>
  <c r="C106" i="7"/>
  <c r="J64" i="12"/>
  <c r="N73" i="7"/>
  <c r="J78" i="5"/>
  <c r="K29" i="3"/>
  <c r="E58" i="3"/>
  <c r="H11" i="3"/>
  <c r="H176" i="3"/>
  <c r="N137" i="2"/>
  <c r="O137" i="2" s="1"/>
  <c r="N165" i="2"/>
  <c r="O165" i="2" s="1"/>
  <c r="J107" i="2"/>
  <c r="K107" i="2" s="1"/>
  <c r="J186" i="2"/>
  <c r="K186" i="2" s="1"/>
  <c r="G89" i="14"/>
  <c r="P106" i="5"/>
  <c r="G80" i="7"/>
  <c r="L106" i="7"/>
  <c r="K106" i="12" s="1"/>
  <c r="M176" i="7"/>
  <c r="K151" i="3"/>
  <c r="B8" i="7"/>
  <c r="G68" i="7"/>
  <c r="G167" i="7"/>
  <c r="N147" i="2"/>
  <c r="O147" i="2" s="1"/>
  <c r="J76" i="2"/>
  <c r="K76" i="2" s="1"/>
  <c r="E68" i="7"/>
  <c r="J8" i="7"/>
  <c r="I84" i="7"/>
  <c r="I84" i="12" s="1"/>
  <c r="H165" i="12"/>
  <c r="K92" i="12"/>
  <c r="J88" i="12"/>
  <c r="J92" i="12"/>
  <c r="R79" i="12"/>
  <c r="H88" i="12"/>
  <c r="K100" i="12"/>
  <c r="M61" i="7"/>
  <c r="I67" i="12"/>
  <c r="O73" i="7"/>
  <c r="D126" i="7"/>
  <c r="J43" i="5"/>
  <c r="I92" i="12"/>
  <c r="H70" i="12"/>
  <c r="J73" i="7"/>
  <c r="D176" i="7"/>
  <c r="J126" i="5"/>
  <c r="E11" i="5"/>
  <c r="F11" i="5" s="1"/>
  <c r="G11" i="5" s="1"/>
  <c r="K94" i="3"/>
  <c r="G21" i="14"/>
  <c r="P146" i="5"/>
  <c r="B80" i="7"/>
  <c r="F163" i="2"/>
  <c r="G57" i="14"/>
  <c r="H8" i="7"/>
  <c r="H8" i="12" s="1"/>
  <c r="B68" i="7"/>
  <c r="M126" i="7"/>
  <c r="K68" i="7"/>
  <c r="J68" i="12" s="1"/>
  <c r="B167" i="7"/>
  <c r="D8" i="7"/>
  <c r="K167" i="7"/>
  <c r="G103" i="14"/>
  <c r="H147" i="3"/>
  <c r="N24" i="2"/>
  <c r="O24" i="2" s="1"/>
  <c r="F72" i="5"/>
  <c r="G72" i="5" s="1"/>
  <c r="J191" i="2"/>
  <c r="K191" i="2" s="1"/>
  <c r="F84" i="2"/>
  <c r="F60" i="2"/>
  <c r="G29" i="14"/>
  <c r="G148" i="14"/>
  <c r="K88" i="3"/>
  <c r="C232" i="2"/>
  <c r="F142" i="5"/>
  <c r="G142" i="5" s="1"/>
  <c r="F154" i="5"/>
  <c r="G154" i="5" s="1"/>
  <c r="I126" i="12"/>
  <c r="E65" i="5"/>
  <c r="F65" i="5" s="1"/>
  <c r="G65" i="5" s="1"/>
  <c r="N26" i="12"/>
  <c r="H81" i="3"/>
  <c r="H164" i="3"/>
  <c r="K44" i="3"/>
  <c r="G27" i="14"/>
  <c r="L187" i="12"/>
  <c r="L171" i="12"/>
  <c r="L159" i="12"/>
  <c r="L162" i="5"/>
  <c r="M162" i="5" s="1"/>
  <c r="N186" i="12"/>
  <c r="M156" i="5"/>
  <c r="N161" i="12"/>
  <c r="O169" i="12"/>
  <c r="E104" i="3"/>
  <c r="O161" i="12"/>
  <c r="K36" i="3"/>
  <c r="G173" i="2"/>
  <c r="P163" i="12"/>
  <c r="P167" i="12"/>
  <c r="P171" i="12"/>
  <c r="S166" i="12"/>
  <c r="E163" i="5"/>
  <c r="F163" i="5" s="1"/>
  <c r="G163" i="5" s="1"/>
  <c r="O159" i="12"/>
  <c r="N112" i="2"/>
  <c r="O112" i="2" s="1"/>
  <c r="L173" i="12"/>
  <c r="Q165" i="12"/>
  <c r="B232" i="2"/>
  <c r="L179" i="12"/>
  <c r="S170" i="12"/>
  <c r="L161" i="5"/>
  <c r="M161" i="5" s="1"/>
  <c r="J112" i="12"/>
  <c r="P95" i="5"/>
  <c r="F166" i="5"/>
  <c r="G166" i="5" s="1"/>
  <c r="E102" i="5"/>
  <c r="F102" i="5" s="1"/>
  <c r="G102" i="5" s="1"/>
  <c r="M152" i="5"/>
  <c r="M72" i="5"/>
  <c r="J120" i="5"/>
  <c r="E118" i="5"/>
  <c r="F137" i="5"/>
  <c r="G137" i="5" s="1"/>
  <c r="H18" i="3"/>
  <c r="P63" i="5"/>
  <c r="E171" i="3"/>
  <c r="J132" i="5"/>
  <c r="J144" i="5"/>
  <c r="H183" i="3"/>
  <c r="K117" i="3"/>
  <c r="K55" i="12"/>
  <c r="G15" i="14"/>
  <c r="J35" i="5"/>
  <c r="K179" i="3"/>
  <c r="G90" i="14"/>
  <c r="P27" i="5"/>
  <c r="K131" i="3"/>
  <c r="E119" i="3"/>
  <c r="J90" i="5"/>
  <c r="H111" i="3"/>
  <c r="K37" i="3"/>
  <c r="E70" i="3"/>
  <c r="H93" i="3"/>
  <c r="E88" i="3"/>
  <c r="E98" i="5"/>
  <c r="F98" i="5" s="1"/>
  <c r="G98" i="5" s="1"/>
  <c r="M12" i="5"/>
  <c r="K16" i="3"/>
  <c r="H139" i="3"/>
  <c r="F71" i="5"/>
  <c r="G71" i="5" s="1"/>
  <c r="K52" i="3"/>
  <c r="K159" i="3"/>
  <c r="H20" i="12"/>
  <c r="I55" i="12"/>
  <c r="H18" i="12"/>
  <c r="N46" i="12"/>
  <c r="I51" i="12"/>
  <c r="J84" i="12"/>
  <c r="N114" i="12"/>
  <c r="S120" i="12"/>
  <c r="Q96" i="12"/>
  <c r="Q147" i="12"/>
  <c r="L75" i="7"/>
  <c r="K75" i="12" s="1"/>
  <c r="M31" i="5"/>
  <c r="N85" i="7"/>
  <c r="K74" i="12"/>
  <c r="M85" i="7"/>
  <c r="F165" i="5"/>
  <c r="G165" i="5" s="1"/>
  <c r="E181" i="3"/>
  <c r="J76" i="7"/>
  <c r="J120" i="7"/>
  <c r="H120" i="7"/>
  <c r="H120" i="12" s="1"/>
  <c r="G60" i="2"/>
  <c r="M108" i="7"/>
  <c r="C76" i="7"/>
  <c r="N139" i="7"/>
  <c r="J14" i="12"/>
  <c r="H122" i="12"/>
  <c r="H75" i="7"/>
  <c r="J85" i="7"/>
  <c r="F85" i="5"/>
  <c r="G85" i="5" s="1"/>
  <c r="M166" i="5"/>
  <c r="H117" i="3"/>
  <c r="N93" i="2"/>
  <c r="O93" i="2" s="1"/>
  <c r="O76" i="7"/>
  <c r="F120" i="7"/>
  <c r="M120" i="7"/>
  <c r="K76" i="7"/>
  <c r="J76" i="12" s="1"/>
  <c r="J12" i="12"/>
  <c r="J46" i="12"/>
  <c r="K27" i="12"/>
  <c r="R10" i="12"/>
  <c r="L84" i="12"/>
  <c r="L155" i="12"/>
  <c r="D75" i="7"/>
  <c r="F85" i="7"/>
  <c r="J112" i="5"/>
  <c r="E55" i="3"/>
  <c r="E126" i="3"/>
  <c r="D232" i="2"/>
  <c r="B120" i="7"/>
  <c r="N75" i="7"/>
  <c r="C128" i="7"/>
  <c r="K15" i="12"/>
  <c r="K20" i="12"/>
  <c r="N10" i="12"/>
  <c r="P84" i="12"/>
  <c r="P106" i="12"/>
  <c r="M152" i="12"/>
  <c r="M87" i="12"/>
  <c r="M117" i="12"/>
  <c r="N60" i="12"/>
  <c r="D85" i="7"/>
  <c r="K155" i="12"/>
  <c r="B85" i="7"/>
  <c r="J124" i="5"/>
  <c r="J129" i="5"/>
  <c r="F90" i="2"/>
  <c r="D120" i="7"/>
  <c r="K108" i="3"/>
  <c r="J20" i="2"/>
  <c r="K20" i="2" s="1"/>
  <c r="L156" i="7"/>
  <c r="K156" i="12" s="1"/>
  <c r="M156" i="7"/>
  <c r="J20" i="12"/>
  <c r="I48" i="12"/>
  <c r="P14" i="12"/>
  <c r="J26" i="12"/>
  <c r="P99" i="12"/>
  <c r="I85" i="7"/>
  <c r="I85" i="12" s="1"/>
  <c r="H86" i="3"/>
  <c r="B2" i="28"/>
  <c r="J35" i="2"/>
  <c r="K35" i="2" s="1"/>
  <c r="N108" i="7"/>
  <c r="I120" i="7"/>
  <c r="L85" i="7"/>
  <c r="K85" i="12" s="1"/>
  <c r="H50" i="12"/>
  <c r="H16" i="12"/>
  <c r="J8" i="12"/>
  <c r="J52" i="12"/>
  <c r="J86" i="12"/>
  <c r="H51" i="12"/>
  <c r="P140" i="12"/>
  <c r="M85" i="5"/>
  <c r="R107" i="12"/>
  <c r="S161" i="12"/>
  <c r="N63" i="12"/>
  <c r="O85" i="7"/>
  <c r="K86" i="12"/>
  <c r="H85" i="3"/>
  <c r="H70" i="3"/>
  <c r="N53" i="2"/>
  <c r="O53" i="2" s="1"/>
  <c r="P82" i="5"/>
  <c r="I108" i="7"/>
  <c r="O120" i="7"/>
  <c r="E179" i="3"/>
  <c r="I156" i="7"/>
  <c r="I156" i="12" s="1"/>
  <c r="L120" i="7"/>
  <c r="K120" i="12" s="1"/>
  <c r="K31" i="12"/>
  <c r="K24" i="12"/>
  <c r="H14" i="12"/>
  <c r="J22" i="12"/>
  <c r="H86" i="12"/>
  <c r="R120" i="12"/>
  <c r="H118" i="12"/>
  <c r="R31" i="12"/>
  <c r="R63" i="12"/>
  <c r="Q72" i="12"/>
  <c r="R161" i="12"/>
  <c r="J136" i="5"/>
  <c r="H62" i="3"/>
  <c r="J53" i="2"/>
  <c r="K53" i="2" s="1"/>
  <c r="C108" i="7"/>
  <c r="B156" i="7"/>
  <c r="G120" i="7"/>
  <c r="K19" i="12"/>
  <c r="H24" i="12"/>
  <c r="H26" i="12"/>
  <c r="N129" i="12"/>
  <c r="I86" i="12"/>
  <c r="E26" i="3"/>
  <c r="N22" i="2"/>
  <c r="O22" i="2" s="1"/>
  <c r="G37" i="2"/>
  <c r="L76" i="7"/>
  <c r="K76" i="12" s="1"/>
  <c r="L108" i="7"/>
  <c r="K108" i="12" s="1"/>
  <c r="J108" i="7"/>
  <c r="E108" i="7"/>
  <c r="E120" i="7"/>
  <c r="G71" i="14"/>
  <c r="K75" i="7"/>
  <c r="J75" i="12" s="1"/>
  <c r="I75" i="7"/>
  <c r="I75" i="12" s="1"/>
  <c r="C120" i="7"/>
  <c r="K7" i="12"/>
  <c r="J16" i="12"/>
  <c r="K12" i="12"/>
  <c r="J54" i="12"/>
  <c r="O76" i="12"/>
  <c r="J120" i="12"/>
  <c r="J118" i="12"/>
  <c r="M43" i="5"/>
  <c r="E85" i="7"/>
  <c r="F142" i="2"/>
  <c r="B4" i="28" s="1"/>
  <c r="O75" i="7"/>
  <c r="H76" i="7"/>
  <c r="H76" i="12" s="1"/>
  <c r="H108" i="7"/>
  <c r="F156" i="7"/>
  <c r="K108" i="7"/>
  <c r="C156" i="7"/>
  <c r="B76" i="7"/>
  <c r="G108" i="7"/>
  <c r="G75" i="7"/>
  <c r="O108" i="7"/>
  <c r="H52" i="12"/>
  <c r="K51" i="12"/>
  <c r="R60" i="12"/>
  <c r="S52" i="12"/>
  <c r="K85" i="7"/>
  <c r="J85" i="12" s="1"/>
  <c r="J49" i="5"/>
  <c r="F99" i="5"/>
  <c r="G99" i="5" s="1"/>
  <c r="K154" i="3"/>
  <c r="G90" i="2"/>
  <c r="P142" i="5"/>
  <c r="J75" i="7"/>
  <c r="D76" i="7"/>
  <c r="D108" i="7"/>
  <c r="J156" i="7"/>
  <c r="G156" i="7"/>
  <c r="H80" i="3"/>
  <c r="K188" i="3"/>
  <c r="F108" i="7"/>
  <c r="H156" i="7"/>
  <c r="H156" i="12" s="1"/>
  <c r="H32" i="3"/>
  <c r="B75" i="7"/>
  <c r="K23" i="12"/>
  <c r="E152" i="5"/>
  <c r="F152" i="5" s="1"/>
  <c r="G152" i="5" s="1"/>
  <c r="F114" i="2"/>
  <c r="E75" i="7"/>
  <c r="N156" i="7"/>
  <c r="K156" i="7"/>
  <c r="J156" i="12" s="1"/>
  <c r="F75" i="7"/>
  <c r="P18" i="5"/>
  <c r="D156" i="7"/>
  <c r="F38" i="2"/>
  <c r="J159" i="2"/>
  <c r="K159" i="2" s="1"/>
  <c r="G34" i="14"/>
  <c r="G38" i="2"/>
  <c r="H155" i="3"/>
  <c r="P38" i="5"/>
  <c r="G115" i="14"/>
  <c r="G11" i="14"/>
  <c r="G161" i="14"/>
  <c r="Q8" i="12"/>
  <c r="M9" i="12"/>
  <c r="L18" i="12"/>
  <c r="L81" i="5"/>
  <c r="M81" i="5" s="1"/>
  <c r="L86" i="5"/>
  <c r="L101" i="5"/>
  <c r="M101" i="5" s="1"/>
  <c r="L107" i="5"/>
  <c r="M107" i="5" s="1"/>
  <c r="L105" i="5"/>
  <c r="M105" i="5" s="1"/>
  <c r="L111" i="5"/>
  <c r="M111" i="5" s="1"/>
  <c r="L65" i="5"/>
  <c r="L70" i="5"/>
  <c r="M70" i="5" s="1"/>
  <c r="N15" i="12"/>
  <c r="N17" i="12"/>
  <c r="O42" i="12"/>
  <c r="O45" i="12"/>
  <c r="Q45" i="12"/>
  <c r="M48" i="12"/>
  <c r="L82" i="5"/>
  <c r="L87" i="5"/>
  <c r="M87" i="5" s="1"/>
  <c r="L98" i="5"/>
  <c r="M98" i="5" s="1"/>
  <c r="L104" i="5"/>
  <c r="M104" i="5" s="1"/>
  <c r="N117" i="12"/>
  <c r="N123" i="12"/>
  <c r="L156" i="12"/>
  <c r="L159" i="5"/>
  <c r="M159" i="5" s="1"/>
  <c r="D233" i="2"/>
  <c r="O164" i="12"/>
  <c r="N171" i="12"/>
  <c r="L176" i="12"/>
  <c r="L185" i="12"/>
  <c r="B231" i="2"/>
  <c r="P142" i="12"/>
  <c r="L149" i="12"/>
  <c r="O24" i="12"/>
  <c r="O26" i="12"/>
  <c r="L11" i="5"/>
  <c r="L13" i="5"/>
  <c r="M13" i="5" s="1"/>
  <c r="L18" i="5"/>
  <c r="L20" i="5"/>
  <c r="M20" i="5" s="1"/>
  <c r="N41" i="12"/>
  <c r="N44" i="12"/>
  <c r="N97" i="12"/>
  <c r="N103" i="12"/>
  <c r="P15" i="12"/>
  <c r="L17" i="12"/>
  <c r="L50" i="12"/>
  <c r="P61" i="12"/>
  <c r="L66" i="12"/>
  <c r="L80" i="12"/>
  <c r="L85" i="12"/>
  <c r="L130" i="5"/>
  <c r="M130" i="5" s="1"/>
  <c r="L136" i="5"/>
  <c r="M136" i="5" s="1"/>
  <c r="S132" i="12"/>
  <c r="N138" i="12"/>
  <c r="L133" i="5"/>
  <c r="M133" i="5" s="1"/>
  <c r="L139" i="5"/>
  <c r="M139" i="5" s="1"/>
  <c r="B11" i="28"/>
  <c r="L145" i="12"/>
  <c r="Q141" i="12"/>
  <c r="M148" i="12"/>
  <c r="C233" i="2"/>
  <c r="P78" i="12"/>
  <c r="L83" i="12"/>
  <c r="L121" i="5"/>
  <c r="M121" i="5" s="1"/>
  <c r="L127" i="5"/>
  <c r="M127" i="5" s="1"/>
  <c r="Q10" i="12"/>
  <c r="M11" i="12"/>
  <c r="M19" i="12"/>
  <c r="M21" i="12"/>
  <c r="L26" i="12"/>
  <c r="Q44" i="12"/>
  <c r="M47" i="12"/>
  <c r="Q49" i="12"/>
  <c r="M53" i="12"/>
  <c r="P62" i="12"/>
  <c r="L67" i="12"/>
  <c r="L73" i="5"/>
  <c r="M73" i="5" s="1"/>
  <c r="L78" i="5"/>
  <c r="L93" i="5"/>
  <c r="M93" i="5" s="1"/>
  <c r="L99" i="5"/>
  <c r="R101" i="12"/>
  <c r="N107" i="12"/>
  <c r="N105" i="12"/>
  <c r="N111" i="12"/>
  <c r="N109" i="12"/>
  <c r="N115" i="12"/>
  <c r="L23" i="12"/>
  <c r="L25" i="12"/>
  <c r="L15" i="5"/>
  <c r="M15" i="5" s="1"/>
  <c r="L17" i="5"/>
  <c r="L53" i="12"/>
  <c r="L58" i="12"/>
  <c r="L58" i="5"/>
  <c r="M58" i="5" s="1"/>
  <c r="L63" i="5"/>
  <c r="M63" i="5" s="1"/>
  <c r="M64" i="12"/>
  <c r="M69" i="12"/>
  <c r="L74" i="5"/>
  <c r="M74" i="5" s="1"/>
  <c r="L90" i="5"/>
  <c r="M90" i="5" s="1"/>
  <c r="L96" i="5"/>
  <c r="M96" i="5" s="1"/>
  <c r="L114" i="5"/>
  <c r="M114" i="5" s="1"/>
  <c r="L120" i="5"/>
  <c r="M120" i="5" s="1"/>
  <c r="L117" i="5"/>
  <c r="M117" i="5" s="1"/>
  <c r="L123" i="5"/>
  <c r="M123" i="5" s="1"/>
  <c r="O160" i="12"/>
  <c r="L163" i="5"/>
  <c r="M163" i="5" s="1"/>
  <c r="I60" i="12"/>
  <c r="L28" i="5"/>
  <c r="M28" i="5" s="1"/>
  <c r="L30" i="5"/>
  <c r="M30" i="5" s="1"/>
  <c r="C231" i="2"/>
  <c r="L45" i="12"/>
  <c r="O86" i="12"/>
  <c r="O91" i="12"/>
  <c r="O102" i="12"/>
  <c r="O110" i="12"/>
  <c r="L137" i="5"/>
  <c r="M137" i="5" s="1"/>
  <c r="L144" i="5"/>
  <c r="L19" i="5"/>
  <c r="M19" i="5" s="1"/>
  <c r="L21" i="5"/>
  <c r="M21" i="5" s="1"/>
  <c r="N29" i="12"/>
  <c r="N31" i="12"/>
  <c r="L41" i="5"/>
  <c r="M41" i="5" s="1"/>
  <c r="L44" i="5"/>
  <c r="M44" i="5" s="1"/>
  <c r="L57" i="5"/>
  <c r="M57" i="5" s="1"/>
  <c r="L62" i="5"/>
  <c r="Q65" i="12"/>
  <c r="M70" i="12"/>
  <c r="N23" i="12"/>
  <c r="N25" i="12"/>
  <c r="O38" i="12"/>
  <c r="O41" i="12"/>
  <c r="M15" i="12"/>
  <c r="M17" i="12"/>
  <c r="L53" i="5"/>
  <c r="M53" i="5" s="1"/>
  <c r="L66" i="5"/>
  <c r="M66" i="5" s="1"/>
  <c r="L71" i="5"/>
  <c r="M71" i="5" s="1"/>
  <c r="P88" i="12"/>
  <c r="L93" i="12"/>
  <c r="L122" i="12"/>
  <c r="L128" i="12"/>
  <c r="L155" i="5"/>
  <c r="M155" i="5" s="1"/>
  <c r="E231" i="2"/>
  <c r="O34" i="12"/>
  <c r="O37" i="12"/>
  <c r="P86" i="12"/>
  <c r="L91" i="12"/>
  <c r="L102" i="12"/>
  <c r="N121" i="12"/>
  <c r="N127" i="12"/>
  <c r="Q32" i="12"/>
  <c r="M35" i="12"/>
  <c r="N70" i="12"/>
  <c r="N78" i="12"/>
  <c r="L100" i="12"/>
  <c r="L127" i="12"/>
  <c r="I58" i="12"/>
  <c r="O145" i="12"/>
  <c r="J90" i="12"/>
  <c r="J87" i="12"/>
  <c r="L131" i="5"/>
  <c r="M131" i="5" s="1"/>
  <c r="E45" i="5"/>
  <c r="F45" i="5" s="1"/>
  <c r="G45" i="5" s="1"/>
  <c r="K170" i="12"/>
  <c r="E91" i="5"/>
  <c r="F91" i="5" s="1"/>
  <c r="G91" i="5" s="1"/>
  <c r="J154" i="12"/>
  <c r="E24" i="5"/>
  <c r="F24" i="5" s="1"/>
  <c r="G24" i="5" s="1"/>
  <c r="L94" i="5"/>
  <c r="O185" i="12"/>
  <c r="J183" i="12"/>
  <c r="M28" i="12"/>
  <c r="O21" i="12"/>
  <c r="L59" i="5"/>
  <c r="L79" i="5"/>
  <c r="M79" i="5" s="1"/>
  <c r="O89" i="12"/>
  <c r="L103" i="5"/>
  <c r="M103" i="5" s="1"/>
  <c r="L161" i="12"/>
  <c r="O149" i="12"/>
  <c r="L177" i="12"/>
  <c r="H65" i="12"/>
  <c r="E16" i="5"/>
  <c r="F16" i="5" s="1"/>
  <c r="G16" i="5" s="1"/>
  <c r="E75" i="5"/>
  <c r="F75" i="5" s="1"/>
  <c r="G75" i="5" s="1"/>
  <c r="E122" i="5"/>
  <c r="F122" i="5" s="1"/>
  <c r="G122" i="5" s="1"/>
  <c r="E112" i="5"/>
  <c r="F112" i="5" s="1"/>
  <c r="G112" i="5" s="1"/>
  <c r="L36" i="5"/>
  <c r="M36" i="5" s="1"/>
  <c r="O119" i="12"/>
  <c r="O93" i="12"/>
  <c r="O18" i="12"/>
  <c r="O56" i="12"/>
  <c r="M119" i="12"/>
  <c r="I176" i="12"/>
  <c r="K127" i="3"/>
  <c r="I81" i="12"/>
  <c r="G116" i="2"/>
  <c r="K104" i="3"/>
  <c r="N173" i="2"/>
  <c r="O173" i="2" s="1"/>
  <c r="P31" i="5"/>
  <c r="P153" i="5"/>
  <c r="N128" i="2"/>
  <c r="O128" i="2" s="1"/>
  <c r="J114" i="12"/>
  <c r="O114" i="12"/>
  <c r="N91" i="12"/>
  <c r="I74" i="12"/>
  <c r="I90" i="12"/>
  <c r="I83" i="12"/>
  <c r="J74" i="12"/>
  <c r="I96" i="12"/>
  <c r="I72" i="12"/>
  <c r="H74" i="12"/>
  <c r="H133" i="12"/>
  <c r="L119" i="5"/>
  <c r="M119" i="5" s="1"/>
  <c r="L148" i="5"/>
  <c r="M148" i="5" s="1"/>
  <c r="L153" i="5"/>
  <c r="M153" i="5" s="1"/>
  <c r="E78" i="5"/>
  <c r="F78" i="5" s="1"/>
  <c r="G78" i="5" s="1"/>
  <c r="E96" i="5"/>
  <c r="F96" i="5" s="1"/>
  <c r="G96" i="5" s="1"/>
  <c r="E131" i="5"/>
  <c r="F131" i="5" s="1"/>
  <c r="G131" i="5" s="1"/>
  <c r="E135" i="5"/>
  <c r="F135" i="5" s="1"/>
  <c r="G135" i="5" s="1"/>
  <c r="E28" i="5"/>
  <c r="F28" i="5" s="1"/>
  <c r="G28" i="5" s="1"/>
  <c r="E148" i="5"/>
  <c r="F148" i="5" s="1"/>
  <c r="G148" i="5" s="1"/>
  <c r="L43" i="12"/>
  <c r="O83" i="12"/>
  <c r="O79" i="12"/>
  <c r="O111" i="12"/>
  <c r="M132" i="12"/>
  <c r="N165" i="12"/>
  <c r="I88" i="12"/>
  <c r="K132" i="12"/>
  <c r="E16" i="3"/>
  <c r="K26" i="3"/>
  <c r="K74" i="3"/>
  <c r="E52" i="3"/>
  <c r="E126" i="5"/>
  <c r="F126" i="5" s="1"/>
  <c r="G126" i="5" s="1"/>
  <c r="E155" i="5"/>
  <c r="F155" i="5" s="1"/>
  <c r="G155" i="5" s="1"/>
  <c r="G114" i="2"/>
  <c r="J152" i="12"/>
  <c r="H184" i="3"/>
  <c r="K106" i="3"/>
  <c r="P30" i="5"/>
  <c r="P14" i="5"/>
  <c r="P161" i="5"/>
  <c r="M41" i="12"/>
  <c r="E104" i="5"/>
  <c r="F104" i="5" s="1"/>
  <c r="G104" i="5" s="1"/>
  <c r="N72" i="12"/>
  <c r="N48" i="2"/>
  <c r="O48" i="2" s="1"/>
  <c r="B13" i="28"/>
  <c r="P166" i="5"/>
  <c r="L97" i="12"/>
  <c r="M181" i="12"/>
  <c r="P133" i="5"/>
  <c r="G140" i="2"/>
  <c r="G50" i="2"/>
  <c r="L48" i="5"/>
  <c r="M48" i="5" s="1"/>
  <c r="N131" i="12"/>
  <c r="O136" i="12"/>
  <c r="N83" i="12"/>
  <c r="O98" i="12"/>
  <c r="L158" i="5"/>
  <c r="M158" i="5" s="1"/>
  <c r="H82" i="12"/>
  <c r="I94" i="12"/>
  <c r="L35" i="5"/>
  <c r="M35" i="5" s="1"/>
  <c r="L154" i="5"/>
  <c r="M154" i="5" s="1"/>
  <c r="O170" i="12"/>
  <c r="J166" i="12"/>
  <c r="L112" i="5"/>
  <c r="M112" i="5" s="1"/>
  <c r="L135" i="5"/>
  <c r="M135" i="5" s="1"/>
  <c r="E27" i="5"/>
  <c r="F27" i="5" s="1"/>
  <c r="G27" i="5" s="1"/>
  <c r="E111" i="5"/>
  <c r="F111" i="5" s="1"/>
  <c r="G111" i="5" s="1"/>
  <c r="K159" i="12"/>
  <c r="L52" i="5"/>
  <c r="M52" i="5" s="1"/>
  <c r="C234" i="2"/>
  <c r="L24" i="5"/>
  <c r="M24" i="5" s="1"/>
  <c r="L115" i="5"/>
  <c r="M115" i="5" s="1"/>
  <c r="C7" i="28"/>
  <c r="G42" i="2"/>
  <c r="L25" i="5"/>
  <c r="M25" i="5" s="1"/>
  <c r="N139" i="12"/>
  <c r="L59" i="12"/>
  <c r="L149" i="5"/>
  <c r="M149" i="5" s="1"/>
  <c r="N173" i="12"/>
  <c r="J59" i="12"/>
  <c r="K8" i="3"/>
  <c r="B7" i="28"/>
  <c r="E146" i="5"/>
  <c r="F146" i="5" s="1"/>
  <c r="G146" i="5" s="1"/>
  <c r="P121" i="5"/>
  <c r="P40" i="5"/>
  <c r="L27" i="5"/>
  <c r="M27" i="5" s="1"/>
  <c r="O29" i="12"/>
  <c r="N181" i="12"/>
  <c r="L120" i="12"/>
  <c r="L51" i="5"/>
  <c r="I182" i="12"/>
  <c r="O99" i="12"/>
  <c r="M183" i="12"/>
  <c r="I169" i="12"/>
  <c r="O100" i="12"/>
  <c r="L132" i="12"/>
  <c r="M63" i="12"/>
  <c r="O73" i="12"/>
  <c r="L40" i="5"/>
  <c r="M40" i="5" s="1"/>
  <c r="H61" i="12"/>
  <c r="J178" i="12"/>
  <c r="E94" i="5"/>
  <c r="F94" i="5" s="1"/>
  <c r="G94" i="5" s="1"/>
  <c r="E20" i="5"/>
  <c r="F20" i="5" s="1"/>
  <c r="G20" i="5" s="1"/>
  <c r="E36" i="5"/>
  <c r="F36" i="5" s="1"/>
  <c r="G36" i="5" s="1"/>
  <c r="E120" i="5"/>
  <c r="F120" i="5" s="1"/>
  <c r="G120" i="5" s="1"/>
  <c r="E161" i="5"/>
  <c r="F161" i="5" s="1"/>
  <c r="G161" i="5" s="1"/>
  <c r="M16" i="12"/>
  <c r="L14" i="5"/>
  <c r="M14" i="5" s="1"/>
  <c r="L75" i="12"/>
  <c r="H56" i="12"/>
  <c r="J72" i="12"/>
  <c r="J179" i="12"/>
  <c r="E130" i="5"/>
  <c r="F130" i="5" s="1"/>
  <c r="G130" i="5" s="1"/>
  <c r="E100" i="3"/>
  <c r="K84" i="3"/>
  <c r="F159" i="2"/>
  <c r="P17" i="5"/>
  <c r="P29" i="5"/>
  <c r="P41" i="5"/>
  <c r="M46" i="5"/>
  <c r="O14" i="12"/>
  <c r="M131" i="12"/>
  <c r="M67" i="12"/>
  <c r="L81" i="12"/>
  <c r="L112" i="12"/>
  <c r="L183" i="12"/>
  <c r="H68" i="12"/>
  <c r="I76" i="12"/>
  <c r="E79" i="5"/>
  <c r="F79" i="5" s="1"/>
  <c r="G79" i="5" s="1"/>
  <c r="E83" i="5"/>
  <c r="F83" i="5" s="1"/>
  <c r="G83" i="5" s="1"/>
  <c r="E87" i="5"/>
  <c r="F87" i="5" s="1"/>
  <c r="G87" i="5" s="1"/>
  <c r="E63" i="5"/>
  <c r="F63" i="5" s="1"/>
  <c r="G63" i="5" s="1"/>
  <c r="K175" i="3"/>
  <c r="F152" i="2"/>
  <c r="P115" i="5"/>
  <c r="N99" i="12"/>
  <c r="C10" i="28"/>
  <c r="N13" i="12"/>
  <c r="L125" i="12"/>
  <c r="J72" i="2"/>
  <c r="K72" i="2" s="1"/>
  <c r="P16" i="5"/>
  <c r="P71" i="5"/>
  <c r="M109" i="12"/>
  <c r="O165" i="12"/>
  <c r="E127" i="5"/>
  <c r="F127" i="5" s="1"/>
  <c r="G127" i="5" s="1"/>
  <c r="P44" i="5"/>
  <c r="P157" i="5"/>
  <c r="L21" i="12"/>
  <c r="P21" i="12"/>
  <c r="K115" i="7"/>
  <c r="J115" i="12" s="1"/>
  <c r="L138" i="5"/>
  <c r="M138" i="5" s="1"/>
  <c r="C13" i="28"/>
  <c r="M101" i="12"/>
  <c r="Q101" i="12"/>
  <c r="C104" i="7"/>
  <c r="F104" i="7"/>
  <c r="I98" i="12"/>
  <c r="J104" i="7"/>
  <c r="L104" i="7"/>
  <c r="K104" i="12" s="1"/>
  <c r="N104" i="7"/>
  <c r="E104" i="7"/>
  <c r="D104" i="7"/>
  <c r="M104" i="7"/>
  <c r="I104" i="7"/>
  <c r="I104" i="12" s="1"/>
  <c r="G104" i="7"/>
  <c r="K104" i="7"/>
  <c r="J104" i="12" s="1"/>
  <c r="O104" i="7"/>
  <c r="I103" i="12"/>
  <c r="I107" i="12"/>
  <c r="K98" i="12"/>
  <c r="R159" i="12"/>
  <c r="S159" i="12"/>
  <c r="F141" i="5"/>
  <c r="G141" i="5" s="1"/>
  <c r="E129" i="3"/>
  <c r="G131" i="14"/>
  <c r="E37" i="5"/>
  <c r="F37" i="5" s="1"/>
  <c r="G37" i="5" s="1"/>
  <c r="H37" i="3"/>
  <c r="B142" i="7"/>
  <c r="N142" i="7"/>
  <c r="I142" i="7"/>
  <c r="I149" i="12" s="1"/>
  <c r="D142" i="7"/>
  <c r="L142" i="7"/>
  <c r="K142" i="12" s="1"/>
  <c r="M142" i="7"/>
  <c r="E142" i="7"/>
  <c r="F142" i="7"/>
  <c r="C142" i="7"/>
  <c r="H142" i="7"/>
  <c r="H142" i="12" s="1"/>
  <c r="G142" i="7"/>
  <c r="B128" i="7"/>
  <c r="M128" i="7"/>
  <c r="D128" i="7"/>
  <c r="I128" i="7"/>
  <c r="I128" i="12" s="1"/>
  <c r="N128" i="7"/>
  <c r="E128" i="7"/>
  <c r="J128" i="7"/>
  <c r="O128" i="7"/>
  <c r="F128" i="7"/>
  <c r="L128" i="7"/>
  <c r="K128" i="12" s="1"/>
  <c r="G128" i="7"/>
  <c r="K44" i="7"/>
  <c r="J44" i="12" s="1"/>
  <c r="O44" i="7"/>
  <c r="M44" i="7"/>
  <c r="G44" i="7"/>
  <c r="B44" i="7"/>
  <c r="F44" i="7"/>
  <c r="E44" i="7"/>
  <c r="J44" i="7"/>
  <c r="C44" i="7"/>
  <c r="N44" i="7"/>
  <c r="G70" i="14"/>
  <c r="P59" i="12"/>
  <c r="M84" i="12"/>
  <c r="L44" i="7"/>
  <c r="J38" i="12"/>
  <c r="N81" i="12"/>
  <c r="K105" i="12"/>
  <c r="M65" i="5"/>
  <c r="N39" i="7"/>
  <c r="J142" i="5"/>
  <c r="H44" i="7"/>
  <c r="H44" i="12" s="1"/>
  <c r="P29" i="12"/>
  <c r="L29" i="12"/>
  <c r="M155" i="12"/>
  <c r="Q155" i="12"/>
  <c r="M110" i="12"/>
  <c r="Q110" i="12"/>
  <c r="H104" i="7"/>
  <c r="H104" i="12" s="1"/>
  <c r="R139" i="12"/>
  <c r="S139" i="12"/>
  <c r="Q99" i="12"/>
  <c r="M99" i="12"/>
  <c r="M43" i="12"/>
  <c r="S81" i="12"/>
  <c r="J102" i="12"/>
  <c r="H114" i="12"/>
  <c r="I106" i="12"/>
  <c r="J101" i="12"/>
  <c r="K107" i="12"/>
  <c r="P113" i="12"/>
  <c r="L113" i="12"/>
  <c r="O142" i="7"/>
  <c r="M128" i="5"/>
  <c r="N98" i="2"/>
  <c r="O98" i="2" s="1"/>
  <c r="N100" i="12"/>
  <c r="S100" i="12"/>
  <c r="P115" i="12"/>
  <c r="L115" i="12"/>
  <c r="S136" i="12"/>
  <c r="N136" i="12"/>
  <c r="R136" i="12"/>
  <c r="D44" i="7"/>
  <c r="H104" i="3"/>
  <c r="P74" i="5"/>
  <c r="Q58" i="12"/>
  <c r="R21" i="12"/>
  <c r="Q129" i="12"/>
  <c r="M129" i="12"/>
  <c r="K142" i="7"/>
  <c r="J142" i="12" s="1"/>
  <c r="F50" i="2"/>
  <c r="N9" i="12"/>
  <c r="S9" i="12"/>
  <c r="M116" i="5"/>
  <c r="Q126" i="12"/>
  <c r="M126" i="12"/>
  <c r="N172" i="12"/>
  <c r="S172" i="12"/>
  <c r="R172" i="12"/>
  <c r="R95" i="12"/>
  <c r="N95" i="12"/>
  <c r="Q167" i="12"/>
  <c r="M167" i="12"/>
  <c r="J167" i="2"/>
  <c r="K167" i="2" s="1"/>
  <c r="K3" i="21"/>
  <c r="F167" i="2"/>
  <c r="M139" i="12"/>
  <c r="Q139" i="12"/>
  <c r="R80" i="12"/>
  <c r="N80" i="12"/>
  <c r="R138" i="12"/>
  <c r="S138" i="12"/>
  <c r="B12" i="28"/>
  <c r="I168" i="7"/>
  <c r="I177" i="12" s="1"/>
  <c r="G168" i="7"/>
  <c r="C168" i="7"/>
  <c r="J168" i="7"/>
  <c r="K168" i="7"/>
  <c r="K169" i="12"/>
  <c r="F168" i="7"/>
  <c r="O168" i="7"/>
  <c r="E168" i="7"/>
  <c r="J167" i="12"/>
  <c r="M168" i="7"/>
  <c r="H167" i="12"/>
  <c r="L168" i="7"/>
  <c r="K167" i="12" s="1"/>
  <c r="H168" i="7"/>
  <c r="D168" i="7"/>
  <c r="J128" i="12"/>
  <c r="P161" i="12"/>
  <c r="I108" i="12"/>
  <c r="J107" i="12"/>
  <c r="M127" i="12"/>
  <c r="Q127" i="12"/>
  <c r="R153" i="12"/>
  <c r="S153" i="12"/>
  <c r="N153" i="12"/>
  <c r="M137" i="12"/>
  <c r="Q137" i="12"/>
  <c r="L147" i="12"/>
  <c r="P147" i="12"/>
  <c r="J142" i="7"/>
  <c r="L41" i="12"/>
  <c r="P41" i="12"/>
  <c r="H115" i="7"/>
  <c r="Q79" i="12"/>
  <c r="M79" i="12"/>
  <c r="P136" i="12"/>
  <c r="L136" i="12"/>
  <c r="D115" i="7"/>
  <c r="G24" i="14"/>
  <c r="G28" i="14"/>
  <c r="G138" i="14"/>
  <c r="L16" i="12"/>
  <c r="S84" i="12"/>
  <c r="R67" i="12"/>
  <c r="J100" i="12"/>
  <c r="Q131" i="12"/>
  <c r="H141" i="12"/>
  <c r="J105" i="12"/>
  <c r="H105" i="12"/>
  <c r="P114" i="5"/>
  <c r="B104" i="7"/>
  <c r="B168" i="7"/>
  <c r="G82" i="2"/>
  <c r="H179" i="3"/>
  <c r="E134" i="3"/>
  <c r="H128" i="7"/>
  <c r="K39" i="7"/>
  <c r="J42" i="12" s="1"/>
  <c r="B39" i="7"/>
  <c r="J39" i="7"/>
  <c r="I39" i="7"/>
  <c r="I39" i="12" s="1"/>
  <c r="F39" i="7"/>
  <c r="E39" i="7"/>
  <c r="C39" i="7"/>
  <c r="M39" i="7"/>
  <c r="G39" i="7"/>
  <c r="D39" i="7"/>
  <c r="H39" i="7"/>
  <c r="H42" i="12" s="1"/>
  <c r="L39" i="7"/>
  <c r="P33" i="12"/>
  <c r="L33" i="12"/>
  <c r="C139" i="7"/>
  <c r="M139" i="7"/>
  <c r="G139" i="7"/>
  <c r="D139" i="7"/>
  <c r="K139" i="7"/>
  <c r="J139" i="12" s="1"/>
  <c r="E139" i="7"/>
  <c r="H139" i="7"/>
  <c r="H139" i="12" s="1"/>
  <c r="B139" i="7"/>
  <c r="L139" i="7"/>
  <c r="K139" i="12" s="1"/>
  <c r="F139" i="7"/>
  <c r="Q67" i="12"/>
  <c r="G10" i="14"/>
  <c r="G62" i="14"/>
  <c r="G160" i="14"/>
  <c r="G170" i="14"/>
  <c r="P81" i="12"/>
  <c r="N84" i="12"/>
  <c r="S109" i="12"/>
  <c r="R151" i="12"/>
  <c r="S151" i="12"/>
  <c r="P151" i="12"/>
  <c r="N119" i="12"/>
  <c r="N21" i="12"/>
  <c r="M42" i="5"/>
  <c r="I100" i="12"/>
  <c r="J103" i="12"/>
  <c r="J139" i="7"/>
  <c r="G92" i="2"/>
  <c r="F92" i="2"/>
  <c r="F115" i="7"/>
  <c r="L115" i="7"/>
  <c r="K121" i="12" s="1"/>
  <c r="G115" i="7"/>
  <c r="E115" i="7"/>
  <c r="M115" i="7"/>
  <c r="O115" i="7"/>
  <c r="B115" i="7"/>
  <c r="N115" i="7"/>
  <c r="J115" i="7"/>
  <c r="I115" i="7"/>
  <c r="I115" i="12" s="1"/>
  <c r="C115" i="7"/>
  <c r="M8" i="12"/>
  <c r="S19" i="12"/>
  <c r="J98" i="12"/>
  <c r="K129" i="12"/>
  <c r="Q39" i="12"/>
  <c r="S119" i="12"/>
  <c r="N147" i="12"/>
  <c r="S147" i="12"/>
  <c r="M150" i="5"/>
  <c r="N168" i="7"/>
  <c r="E80" i="5"/>
  <c r="F80" i="5" s="1"/>
  <c r="G80" i="5" s="1"/>
  <c r="O139" i="7"/>
  <c r="S148" i="12"/>
  <c r="N148" i="12"/>
  <c r="I44" i="7"/>
  <c r="I44" i="12" s="1"/>
  <c r="M18" i="5"/>
  <c r="R99" i="12"/>
  <c r="M61" i="5"/>
  <c r="M140" i="5"/>
  <c r="H107" i="12"/>
  <c r="N126" i="7"/>
  <c r="J20" i="5"/>
  <c r="I145" i="12"/>
  <c r="I159" i="12"/>
  <c r="H163" i="12"/>
  <c r="K99" i="12"/>
  <c r="O126" i="7"/>
  <c r="G174" i="7"/>
  <c r="F95" i="5"/>
  <c r="G95" i="5" s="1"/>
  <c r="K61" i="3"/>
  <c r="H17" i="3"/>
  <c r="H34" i="3"/>
  <c r="K89" i="3"/>
  <c r="N15" i="2"/>
  <c r="O15" i="2" s="1"/>
  <c r="K177" i="3"/>
  <c r="N81" i="2"/>
  <c r="O81" i="2" s="1"/>
  <c r="G149" i="2"/>
  <c r="J161" i="2"/>
  <c r="K161" i="2" s="1"/>
  <c r="F34" i="2"/>
  <c r="F116" i="2"/>
  <c r="N144" i="2"/>
  <c r="O144" i="2" s="1"/>
  <c r="P78" i="5"/>
  <c r="P23" i="5"/>
  <c r="P39" i="5"/>
  <c r="D56" i="7"/>
  <c r="M56" i="7"/>
  <c r="J99" i="12"/>
  <c r="L137" i="7"/>
  <c r="K137" i="12" s="1"/>
  <c r="E24" i="3"/>
  <c r="E56" i="7"/>
  <c r="H127" i="3"/>
  <c r="B126" i="7"/>
  <c r="B18" i="28" s="1"/>
  <c r="L153" i="7"/>
  <c r="K161" i="12" s="1"/>
  <c r="M32" i="5"/>
  <c r="J13" i="5"/>
  <c r="K157" i="12"/>
  <c r="I160" i="12"/>
  <c r="H99" i="12"/>
  <c r="K126" i="7"/>
  <c r="B17" i="28" s="1"/>
  <c r="J157" i="12"/>
  <c r="C174" i="7"/>
  <c r="F119" i="5"/>
  <c r="G119" i="5" s="1"/>
  <c r="F128" i="5"/>
  <c r="G128" i="5" s="1"/>
  <c r="J138" i="5"/>
  <c r="H146" i="3"/>
  <c r="H178" i="3"/>
  <c r="J143" i="12"/>
  <c r="E75" i="3"/>
  <c r="J71" i="2"/>
  <c r="K71" i="2" s="1"/>
  <c r="G66" i="2"/>
  <c r="N74" i="2"/>
  <c r="O74" i="2" s="1"/>
  <c r="J160" i="2"/>
  <c r="K160" i="2" s="1"/>
  <c r="P118" i="5"/>
  <c r="N56" i="7"/>
  <c r="K137" i="7"/>
  <c r="K139" i="3"/>
  <c r="H150" i="7"/>
  <c r="F126" i="7"/>
  <c r="G149" i="14"/>
  <c r="M23" i="5"/>
  <c r="O150" i="7"/>
  <c r="H157" i="12"/>
  <c r="J44" i="5"/>
  <c r="K152" i="12"/>
  <c r="H159" i="12"/>
  <c r="G126" i="7"/>
  <c r="M78" i="5"/>
  <c r="K98" i="3"/>
  <c r="H49" i="3"/>
  <c r="K9" i="3"/>
  <c r="E14" i="3"/>
  <c r="K35" i="3"/>
  <c r="H115" i="3"/>
  <c r="K137" i="3"/>
  <c r="G21" i="2"/>
  <c r="F129" i="2"/>
  <c r="F149" i="2"/>
  <c r="N29" i="2"/>
  <c r="O29" i="2" s="1"/>
  <c r="N77" i="2"/>
  <c r="O77" i="2" s="1"/>
  <c r="N101" i="2"/>
  <c r="O101" i="2" s="1"/>
  <c r="J56" i="7"/>
  <c r="G63" i="14"/>
  <c r="J16" i="2"/>
  <c r="K16" i="2" s="1"/>
  <c r="K153" i="7"/>
  <c r="J161" i="12" s="1"/>
  <c r="M11" i="5"/>
  <c r="S99" i="12"/>
  <c r="M31" i="12"/>
  <c r="I101" i="12"/>
  <c r="K150" i="7"/>
  <c r="J163" i="12"/>
  <c r="J151" i="12"/>
  <c r="H101" i="12"/>
  <c r="C126" i="7"/>
  <c r="C18" i="28" s="1"/>
  <c r="N174" i="7"/>
  <c r="M92" i="5"/>
  <c r="F101" i="5"/>
  <c r="G101" i="5" s="1"/>
  <c r="F115" i="5"/>
  <c r="G115" i="5" s="1"/>
  <c r="F134" i="5"/>
  <c r="G134" i="5" s="1"/>
  <c r="H122" i="3"/>
  <c r="H35" i="3"/>
  <c r="E145" i="3"/>
  <c r="N110" i="2"/>
  <c r="O110" i="2" s="1"/>
  <c r="J77" i="2"/>
  <c r="K77" i="2" s="1"/>
  <c r="G130" i="2"/>
  <c r="F56" i="7"/>
  <c r="N28" i="2"/>
  <c r="O28" i="2" s="1"/>
  <c r="G193" i="2"/>
  <c r="C175" i="7"/>
  <c r="N175" i="7"/>
  <c r="G150" i="7"/>
  <c r="J22" i="5"/>
  <c r="I162" i="12"/>
  <c r="I150" i="12"/>
  <c r="I151" i="12"/>
  <c r="N137" i="7"/>
  <c r="H149" i="12"/>
  <c r="J174" i="7"/>
  <c r="J74" i="5"/>
  <c r="M102" i="5"/>
  <c r="K15" i="3"/>
  <c r="H150" i="3"/>
  <c r="H55" i="3"/>
  <c r="H99" i="3"/>
  <c r="K140" i="3"/>
  <c r="G129" i="2"/>
  <c r="F82" i="2"/>
  <c r="G141" i="14"/>
  <c r="B56" i="7"/>
  <c r="J28" i="2"/>
  <c r="K28" i="2" s="1"/>
  <c r="G67" i="14"/>
  <c r="E153" i="7"/>
  <c r="N140" i="2"/>
  <c r="O140" i="2" s="1"/>
  <c r="K103" i="12"/>
  <c r="H98" i="12"/>
  <c r="C150" i="7"/>
  <c r="J173" i="12"/>
  <c r="J15" i="5"/>
  <c r="J46" i="5"/>
  <c r="K149" i="12"/>
  <c r="I152" i="12"/>
  <c r="J137" i="7"/>
  <c r="F174" i="7"/>
  <c r="J121" i="5"/>
  <c r="F164" i="5"/>
  <c r="G164" i="5" s="1"/>
  <c r="K34" i="3"/>
  <c r="K134" i="3"/>
  <c r="K153" i="3"/>
  <c r="J91" i="2"/>
  <c r="K91" i="2" s="1"/>
  <c r="J58" i="2"/>
  <c r="K58" i="2" s="1"/>
  <c r="F74" i="2"/>
  <c r="E166" i="3"/>
  <c r="N187" i="2"/>
  <c r="O187" i="2" s="1"/>
  <c r="J150" i="7"/>
  <c r="H119" i="3"/>
  <c r="E121" i="3"/>
  <c r="H153" i="7"/>
  <c r="H153" i="12" s="1"/>
  <c r="G13" i="14"/>
  <c r="H103" i="12"/>
  <c r="J16" i="5"/>
  <c r="M146" i="5"/>
  <c r="H145" i="12"/>
  <c r="K145" i="12"/>
  <c r="I148" i="12"/>
  <c r="F137" i="7"/>
  <c r="J149" i="12"/>
  <c r="B174" i="7"/>
  <c r="J70" i="5"/>
  <c r="J98" i="5"/>
  <c r="M165" i="5"/>
  <c r="E122" i="3"/>
  <c r="E78" i="3"/>
  <c r="N156" i="2"/>
  <c r="O156" i="2" s="1"/>
  <c r="N61" i="2"/>
  <c r="O61" i="2" s="1"/>
  <c r="N109" i="2"/>
  <c r="O109" i="2" s="1"/>
  <c r="H189" i="3"/>
  <c r="G34" i="2"/>
  <c r="P70" i="5"/>
  <c r="K72" i="3"/>
  <c r="N56" i="2"/>
  <c r="O56" i="2" s="1"/>
  <c r="G159" i="2"/>
  <c r="G169" i="14"/>
  <c r="E150" i="7"/>
  <c r="I105" i="12"/>
  <c r="J24" i="5"/>
  <c r="K144" i="12"/>
  <c r="I143" i="12"/>
  <c r="I144" i="12"/>
  <c r="B137" i="7"/>
  <c r="L174" i="7"/>
  <c r="K173" i="12" s="1"/>
  <c r="M108" i="5"/>
  <c r="J117" i="5"/>
  <c r="M122" i="5"/>
  <c r="K87" i="3"/>
  <c r="E109" i="3"/>
  <c r="E115" i="3"/>
  <c r="K143" i="12"/>
  <c r="E137" i="3"/>
  <c r="J182" i="2"/>
  <c r="K182" i="2" s="1"/>
  <c r="N78" i="2"/>
  <c r="O78" i="2" s="1"/>
  <c r="N126" i="2"/>
  <c r="O126" i="2" s="1"/>
  <c r="J133" i="2"/>
  <c r="K133" i="2" s="1"/>
  <c r="J42" i="2"/>
  <c r="K42" i="2" s="1"/>
  <c r="F66" i="2"/>
  <c r="J152" i="2"/>
  <c r="K152" i="2" s="1"/>
  <c r="P158" i="5"/>
  <c r="J56" i="2"/>
  <c r="K56" i="2" s="1"/>
  <c r="J52" i="2"/>
  <c r="K52" i="2" s="1"/>
  <c r="N159" i="2"/>
  <c r="O159" i="2" s="1"/>
  <c r="N150" i="7"/>
  <c r="H100" i="12"/>
  <c r="J126" i="7"/>
  <c r="K151" i="12"/>
  <c r="I99" i="12"/>
  <c r="D153" i="7"/>
  <c r="J17" i="5"/>
  <c r="J48" i="5"/>
  <c r="I173" i="12"/>
  <c r="H143" i="12"/>
  <c r="N153" i="7"/>
  <c r="K160" i="12"/>
  <c r="H174" i="7"/>
  <c r="H173" i="12" s="1"/>
  <c r="J94" i="5"/>
  <c r="M99" i="5"/>
  <c r="J146" i="5"/>
  <c r="E10" i="3"/>
  <c r="K47" i="3"/>
  <c r="E77" i="3"/>
  <c r="H126" i="3"/>
  <c r="H75" i="3"/>
  <c r="I154" i="12"/>
  <c r="N149" i="2"/>
  <c r="O149" i="2" s="1"/>
  <c r="J168" i="2"/>
  <c r="K168" i="2" s="1"/>
  <c r="G53" i="14"/>
  <c r="J108" i="12"/>
  <c r="J145" i="12"/>
  <c r="H56" i="3"/>
  <c r="M60" i="12"/>
  <c r="G132" i="2"/>
  <c r="J64" i="2"/>
  <c r="K64" i="2" s="1"/>
  <c r="N12" i="2"/>
  <c r="O12" i="2" s="1"/>
  <c r="J155" i="2"/>
  <c r="K155" i="2" s="1"/>
  <c r="G35" i="14"/>
  <c r="N36" i="2"/>
  <c r="O36" i="2" s="1"/>
  <c r="K128" i="3"/>
  <c r="G80" i="14"/>
  <c r="E167" i="3"/>
  <c r="G39" i="14"/>
  <c r="K101" i="3"/>
  <c r="F40" i="2"/>
  <c r="G99" i="14"/>
  <c r="G33" i="14"/>
  <c r="G51" i="14"/>
  <c r="H151" i="3"/>
  <c r="G68" i="2"/>
  <c r="J34" i="12"/>
  <c r="K16" i="12"/>
  <c r="H12" i="12"/>
  <c r="G52" i="2"/>
  <c r="H101" i="3"/>
  <c r="E40" i="3"/>
  <c r="F13" i="2"/>
  <c r="E125" i="3"/>
  <c r="F36" i="2"/>
  <c r="P113" i="5"/>
  <c r="P127" i="5"/>
  <c r="P145" i="5"/>
  <c r="H134" i="12"/>
  <c r="P11" i="5"/>
  <c r="P24" i="5"/>
  <c r="P35" i="5"/>
  <c r="P147" i="5"/>
  <c r="I161" i="12"/>
  <c r="P122" i="5"/>
  <c r="F173" i="2"/>
  <c r="P47" i="5"/>
  <c r="E186" i="3"/>
  <c r="P141" i="5"/>
  <c r="P109" i="5"/>
  <c r="F68" i="2"/>
  <c r="N32" i="12"/>
  <c r="M22" i="12"/>
  <c r="S47" i="12"/>
  <c r="R158" i="12"/>
  <c r="M164" i="12"/>
  <c r="Q119" i="12"/>
  <c r="R157" i="12"/>
  <c r="N52" i="12"/>
  <c r="K66" i="7"/>
  <c r="J71" i="12" s="1"/>
  <c r="D110" i="7"/>
  <c r="J65" i="12"/>
  <c r="K65" i="12"/>
  <c r="L9" i="7"/>
  <c r="K9" i="12" s="1"/>
  <c r="H147" i="7"/>
  <c r="H155" i="12" s="1"/>
  <c r="F157" i="5"/>
  <c r="G157" i="5" s="1"/>
  <c r="K174" i="3"/>
  <c r="K188" i="12"/>
  <c r="J186" i="7"/>
  <c r="E44" i="5"/>
  <c r="F44" i="5" s="1"/>
  <c r="G44" i="5" s="1"/>
  <c r="K19" i="3"/>
  <c r="E173" i="3"/>
  <c r="N121" i="2"/>
  <c r="O121" i="2" s="1"/>
  <c r="L66" i="7"/>
  <c r="K71" i="12" s="1"/>
  <c r="J147" i="7"/>
  <c r="E147" i="7"/>
  <c r="E12" i="3"/>
  <c r="M147" i="7"/>
  <c r="C186" i="7"/>
  <c r="I186" i="7"/>
  <c r="I186" i="12" s="1"/>
  <c r="L88" i="12"/>
  <c r="N158" i="12"/>
  <c r="H188" i="12"/>
  <c r="M135" i="12"/>
  <c r="G66" i="7"/>
  <c r="I110" i="7"/>
  <c r="I110" i="12" s="1"/>
  <c r="J133" i="12"/>
  <c r="C147" i="7"/>
  <c r="J19" i="5"/>
  <c r="H189" i="12"/>
  <c r="H9" i="7"/>
  <c r="H9" i="12" s="1"/>
  <c r="E66" i="7"/>
  <c r="D147" i="7"/>
  <c r="J106" i="5"/>
  <c r="F186" i="7"/>
  <c r="E105" i="3"/>
  <c r="H163" i="3"/>
  <c r="F66" i="7"/>
  <c r="K147" i="7"/>
  <c r="J155" i="12" s="1"/>
  <c r="E146" i="3"/>
  <c r="N193" i="2"/>
  <c r="O193" i="2" s="1"/>
  <c r="G186" i="7"/>
  <c r="S171" i="12"/>
  <c r="Q29" i="12"/>
  <c r="L141" i="12"/>
  <c r="C66" i="7"/>
  <c r="N110" i="7"/>
  <c r="I147" i="7"/>
  <c r="J189" i="12"/>
  <c r="J109" i="12"/>
  <c r="D9" i="7"/>
  <c r="J66" i="7"/>
  <c r="F143" i="5"/>
  <c r="G143" i="5" s="1"/>
  <c r="B186" i="7"/>
  <c r="I66" i="7"/>
  <c r="I71" i="12" s="1"/>
  <c r="O186" i="7"/>
  <c r="K146" i="12"/>
  <c r="J141" i="12"/>
  <c r="Q28" i="12"/>
  <c r="L139" i="12"/>
  <c r="L65" i="12"/>
  <c r="N87" i="12"/>
  <c r="N147" i="7"/>
  <c r="I188" i="12"/>
  <c r="I109" i="12"/>
  <c r="O9" i="7"/>
  <c r="K178" i="3"/>
  <c r="L186" i="7"/>
  <c r="K186" i="12" s="1"/>
  <c r="G26" i="2"/>
  <c r="P110" i="5"/>
  <c r="H16" i="3"/>
  <c r="I65" i="12"/>
  <c r="N66" i="7"/>
  <c r="H187" i="12"/>
  <c r="G119" i="14"/>
  <c r="P24" i="12"/>
  <c r="Q50" i="12"/>
  <c r="R66" i="12"/>
  <c r="K109" i="12"/>
  <c r="N150" i="12"/>
  <c r="J188" i="12"/>
  <c r="S87" i="12"/>
  <c r="M82" i="5"/>
  <c r="L95" i="12"/>
  <c r="I184" i="12"/>
  <c r="K9" i="7"/>
  <c r="J10" i="12" s="1"/>
  <c r="H186" i="7"/>
  <c r="H186" i="12" s="1"/>
  <c r="E62" i="3"/>
  <c r="G13" i="2"/>
  <c r="D66" i="7"/>
  <c r="M9" i="7"/>
  <c r="H10" i="12"/>
  <c r="I7" i="12"/>
  <c r="M165" i="12"/>
  <c r="I189" i="12"/>
  <c r="G9" i="7"/>
  <c r="D186" i="7"/>
  <c r="E100" i="5"/>
  <c r="F100" i="5" s="1"/>
  <c r="G100" i="5" s="1"/>
  <c r="H83" i="3"/>
  <c r="H136" i="3"/>
  <c r="J51" i="2"/>
  <c r="K51" i="2" s="1"/>
  <c r="N168" i="2"/>
  <c r="O168" i="2" s="1"/>
  <c r="B66" i="7"/>
  <c r="E9" i="7"/>
  <c r="G128" i="14"/>
  <c r="N64" i="12"/>
  <c r="S121" i="12"/>
  <c r="N132" i="12"/>
  <c r="N118" i="12"/>
  <c r="H184" i="12"/>
  <c r="K184" i="12"/>
  <c r="Q100" i="12"/>
  <c r="I185" i="12"/>
  <c r="C9" i="7"/>
  <c r="H63" i="3"/>
  <c r="G30" i="2"/>
  <c r="F110" i="7"/>
  <c r="N189" i="2"/>
  <c r="O189" i="2" s="1"/>
  <c r="K186" i="7"/>
  <c r="J185" i="12" s="1"/>
  <c r="S64" i="12"/>
  <c r="P26" i="12"/>
  <c r="Q95" i="12"/>
  <c r="H66" i="7"/>
  <c r="N9" i="7"/>
  <c r="O110" i="7"/>
  <c r="H54" i="3"/>
  <c r="M110" i="7"/>
  <c r="R132" i="12"/>
  <c r="R150" i="12"/>
  <c r="R18" i="12"/>
  <c r="I9" i="7"/>
  <c r="I9" i="12" s="1"/>
  <c r="I187" i="12"/>
  <c r="J9" i="7"/>
  <c r="K110" i="7"/>
  <c r="J110" i="12" s="1"/>
  <c r="E54" i="3"/>
  <c r="K105" i="3"/>
  <c r="J31" i="2"/>
  <c r="K31" i="2" s="1"/>
  <c r="F30" i="2"/>
  <c r="J147" i="2"/>
  <c r="K147" i="2" s="1"/>
  <c r="L110" i="7"/>
  <c r="K110" i="12" s="1"/>
  <c r="G88" i="2"/>
  <c r="N66" i="12"/>
  <c r="R118" i="12"/>
  <c r="K8" i="12"/>
  <c r="N18" i="12"/>
  <c r="L86" i="12"/>
  <c r="J184" i="12"/>
  <c r="Q105" i="12"/>
  <c r="M118" i="12"/>
  <c r="K185" i="12"/>
  <c r="F9" i="7"/>
  <c r="G110" i="7"/>
  <c r="H50" i="3"/>
  <c r="E113" i="3"/>
  <c r="J131" i="2"/>
  <c r="K131" i="2" s="1"/>
  <c r="F26" i="2"/>
  <c r="N124" i="2"/>
  <c r="O124" i="2" s="1"/>
  <c r="J175" i="2"/>
  <c r="K175" i="2" s="1"/>
  <c r="P138" i="12"/>
  <c r="M145" i="12"/>
  <c r="H109" i="12"/>
  <c r="F109" i="5"/>
  <c r="G109" i="5" s="1"/>
  <c r="N125" i="2"/>
  <c r="O125" i="2" s="1"/>
  <c r="F48" i="2"/>
  <c r="N44" i="2"/>
  <c r="O44" i="2" s="1"/>
  <c r="F67" i="5"/>
  <c r="G67" i="5" s="1"/>
  <c r="F84" i="5"/>
  <c r="G84" i="5" s="1"/>
  <c r="F153" i="5"/>
  <c r="G153" i="5" s="1"/>
  <c r="E38" i="3"/>
  <c r="H180" i="3"/>
  <c r="K60" i="3"/>
  <c r="H175" i="3"/>
  <c r="N167" i="2"/>
  <c r="O167" i="2" s="1"/>
  <c r="C160" i="7"/>
  <c r="F149" i="5"/>
  <c r="G149" i="5" s="1"/>
  <c r="K55" i="3"/>
  <c r="E136" i="5"/>
  <c r="F136" i="5" s="1"/>
  <c r="G136" i="5" s="1"/>
  <c r="N52" i="2"/>
  <c r="O52" i="2" s="1"/>
  <c r="N185" i="2"/>
  <c r="O185" i="2" s="1"/>
  <c r="E160" i="7"/>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I46" i="12"/>
  <c r="H138" i="12"/>
  <c r="M47" i="5"/>
  <c r="M68" i="5"/>
  <c r="Q24" i="12"/>
  <c r="J18" i="12"/>
  <c r="H33" i="3"/>
  <c r="E66" i="5"/>
  <c r="F66" i="5" s="1"/>
  <c r="G66" i="5" s="1"/>
  <c r="E80" i="3"/>
  <c r="K176" i="3"/>
  <c r="K69" i="3"/>
  <c r="J23"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E61" i="3"/>
  <c r="H107" i="3"/>
  <c r="K124" i="3"/>
  <c r="G167" i="2"/>
  <c r="G60" i="14"/>
  <c r="P76" i="5"/>
  <c r="P100" i="5"/>
  <c r="K92" i="3"/>
  <c r="L142" i="12"/>
  <c r="G134" i="14"/>
  <c r="P42" i="12"/>
  <c r="M140" i="12"/>
  <c r="F107" i="5"/>
  <c r="G107" i="5" s="1"/>
  <c r="K103" i="3"/>
  <c r="E62" i="5"/>
  <c r="F62" i="5" s="1"/>
  <c r="E22" i="3"/>
  <c r="E86" i="3"/>
  <c r="E110" i="5"/>
  <c r="F110" i="5" s="1"/>
  <c r="G110" i="5" s="1"/>
  <c r="H148" i="3"/>
  <c r="E245" i="2"/>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H245" i="2"/>
  <c r="N64" i="2"/>
  <c r="O64" i="2" s="1"/>
  <c r="J36" i="2"/>
  <c r="K36" i="2" s="1"/>
  <c r="N40" i="12"/>
  <c r="F81" i="5"/>
  <c r="G81" i="5" s="1"/>
  <c r="F118" i="5"/>
  <c r="G118" i="5" s="1"/>
  <c r="J156" i="5"/>
  <c r="H10" i="3"/>
  <c r="E114" i="5"/>
  <c r="F114" i="5" s="1"/>
  <c r="G114" i="5" s="1"/>
  <c r="N77" i="12"/>
  <c r="R77" i="12"/>
  <c r="R78" i="12"/>
  <c r="F77" i="5"/>
  <c r="G77" i="5" s="1"/>
  <c r="J82" i="5"/>
  <c r="F132" i="5"/>
  <c r="G132" i="5" s="1"/>
  <c r="F156" i="5"/>
  <c r="G156" i="5" s="1"/>
  <c r="E93" i="3"/>
  <c r="E97" i="3"/>
  <c r="N70" i="2"/>
  <c r="O70" i="2" s="1"/>
  <c r="J17" i="2"/>
  <c r="K17" i="2" s="1"/>
  <c r="G43" i="14"/>
  <c r="N100" i="2"/>
  <c r="O100" i="2" s="1"/>
  <c r="P122" i="12"/>
  <c r="P132" i="12"/>
  <c r="R70" i="12"/>
  <c r="S78" i="12"/>
  <c r="M110" i="5"/>
  <c r="E46" i="5"/>
  <c r="F46" i="5" s="1"/>
  <c r="G46" i="5" s="1"/>
  <c r="N25" i="2"/>
  <c r="O25" i="2" s="1"/>
  <c r="G29" i="2"/>
  <c r="J114" i="2"/>
  <c r="K114" i="2" s="1"/>
  <c r="G76" i="14"/>
  <c r="N48" i="12"/>
  <c r="Q19" i="12"/>
  <c r="P121" i="12"/>
  <c r="F133" i="5"/>
  <c r="G133" i="5" s="1"/>
  <c r="K23" i="3"/>
  <c r="J63" i="2"/>
  <c r="K63" i="2" s="1"/>
  <c r="F185" i="2"/>
  <c r="J187" i="2"/>
  <c r="K187" i="2" s="1"/>
  <c r="F68" i="5"/>
  <c r="G68" i="5" s="1"/>
  <c r="F147" i="5"/>
  <c r="G147" i="5" s="1"/>
  <c r="K71" i="3"/>
  <c r="G166" i="14"/>
  <c r="F88" i="5"/>
  <c r="G88" i="5" s="1"/>
  <c r="F108" i="5"/>
  <c r="G108" i="5" s="1"/>
  <c r="F139" i="5"/>
  <c r="G139" i="5" s="1"/>
  <c r="F64" i="5"/>
  <c r="G64" i="5" s="1"/>
  <c r="F116" i="5"/>
  <c r="G116" i="5" s="1"/>
  <c r="F151" i="5"/>
  <c r="G151" i="5" s="1"/>
  <c r="F159" i="5"/>
  <c r="G159" i="5" s="1"/>
  <c r="K39" i="3"/>
  <c r="E82" i="5"/>
  <c r="F82" i="5" s="1"/>
  <c r="G82" i="5" s="1"/>
  <c r="G47" i="14"/>
  <c r="G88" i="14"/>
  <c r="G120" i="14"/>
  <c r="G93" i="14"/>
  <c r="G179" i="2"/>
  <c r="N47" i="2"/>
  <c r="O47" i="2" s="1"/>
  <c r="K189" i="3"/>
  <c r="E189" i="3"/>
  <c r="G139" i="14"/>
  <c r="G135" i="14"/>
  <c r="G156" i="14"/>
  <c r="B150" i="7"/>
  <c r="L150" i="7"/>
  <c r="B187" i="7"/>
  <c r="F187" i="7"/>
  <c r="O187" i="7"/>
  <c r="G187" i="7"/>
  <c r="K187" i="7"/>
  <c r="J187" i="12" s="1"/>
  <c r="E187" i="7"/>
  <c r="M187" i="7"/>
  <c r="F54" i="7"/>
  <c r="L54" i="7"/>
  <c r="K59" i="12" s="1"/>
  <c r="E54" i="7"/>
  <c r="G36" i="2"/>
  <c r="E110" i="7"/>
  <c r="J110" i="7"/>
  <c r="B110" i="7"/>
  <c r="H110" i="7"/>
  <c r="H110" i="12" s="1"/>
  <c r="B147" i="7"/>
  <c r="F147" i="7"/>
  <c r="G147" i="7"/>
  <c r="O147" i="7"/>
  <c r="F76" i="7"/>
  <c r="G76" i="7"/>
  <c r="N76" i="7"/>
  <c r="C141" i="7"/>
  <c r="O141" i="7"/>
  <c r="G141" i="7"/>
  <c r="L141" i="7"/>
  <c r="K141" i="12" s="1"/>
  <c r="D141" i="7"/>
  <c r="N111" i="2"/>
  <c r="O111" i="2" s="1"/>
  <c r="D28" i="7"/>
  <c r="H28" i="7"/>
  <c r="L28" i="7"/>
  <c r="K28" i="12" s="1"/>
  <c r="E28" i="7"/>
  <c r="I28" i="7"/>
  <c r="I28" i="12" s="1"/>
  <c r="M28" i="7"/>
  <c r="B28" i="7"/>
  <c r="F28" i="7"/>
  <c r="J28" i="7"/>
  <c r="N28" i="7"/>
  <c r="G28" i="7"/>
  <c r="K28" i="7"/>
  <c r="O28" i="7"/>
  <c r="C28" i="7"/>
  <c r="B102" i="7"/>
  <c r="J102" i="7"/>
  <c r="E102" i="7"/>
  <c r="H102" i="7"/>
  <c r="H102" i="12" s="1"/>
  <c r="H62" i="7"/>
  <c r="J62" i="7"/>
  <c r="L62" i="7"/>
  <c r="B62" i="7"/>
  <c r="C125" i="7"/>
  <c r="I125" i="7"/>
  <c r="I125" i="12" s="1"/>
  <c r="B164" i="7"/>
  <c r="G164" i="7"/>
  <c r="I164" i="7"/>
  <c r="I163" i="12" s="1"/>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M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I114" i="12"/>
  <c r="I132" i="12"/>
  <c r="K126" i="12"/>
  <c r="J121" i="12"/>
  <c r="J113" i="12"/>
  <c r="I136" i="12"/>
  <c r="J127" i="12"/>
  <c r="J119" i="12"/>
  <c r="H136" i="12"/>
  <c r="H119" i="12"/>
  <c r="I139" i="12"/>
  <c r="H55" i="12"/>
  <c r="K53" i="12"/>
  <c r="H53" i="12"/>
  <c r="K49" i="12"/>
  <c r="H41" i="12"/>
  <c r="I26" i="12"/>
  <c r="I18" i="12"/>
  <c r="I10" i="12"/>
  <c r="H27" i="12"/>
  <c r="H19" i="12"/>
  <c r="H11" i="12"/>
  <c r="K56" i="12"/>
  <c r="H25" i="12"/>
  <c r="K38" i="12"/>
  <c r="K30" i="12"/>
  <c r="K22" i="12"/>
  <c r="K14" i="12"/>
  <c r="I49" i="12"/>
  <c r="I33" i="12"/>
  <c r="I17" i="12"/>
  <c r="K33" i="12"/>
  <c r="K25" i="12"/>
  <c r="I191" i="5"/>
  <c r="F73" i="5"/>
  <c r="G73" i="5" s="1"/>
  <c r="F89" i="5"/>
  <c r="G89" i="5" s="1"/>
  <c r="F105" i="5"/>
  <c r="G105" i="5" s="1"/>
  <c r="E70" i="5"/>
  <c r="F70" i="5" s="1"/>
  <c r="G70" i="5" s="1"/>
  <c r="E74" i="5"/>
  <c r="F74" i="5" s="1"/>
  <c r="G74" i="5" s="1"/>
  <c r="E86" i="5"/>
  <c r="F86" i="5" s="1"/>
  <c r="G86" i="5" s="1"/>
  <c r="E90" i="5"/>
  <c r="F90" i="5" s="1"/>
  <c r="G90" i="5" s="1"/>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R19" i="12"/>
  <c r="R41" i="12"/>
  <c r="S57" i="12"/>
  <c r="R23" i="12"/>
  <c r="S49" i="12"/>
  <c r="R93" i="12"/>
  <c r="R109" i="12"/>
  <c r="P80" i="12"/>
  <c r="R45" i="12"/>
  <c r="R121" i="12"/>
  <c r="B16" i="28"/>
  <c r="C16" i="28"/>
  <c r="Q136" i="12"/>
  <c r="R147" i="12"/>
  <c r="R155" i="12"/>
  <c r="R163" i="12"/>
  <c r="R171" i="12"/>
  <c r="N159" i="12"/>
  <c r="N163" i="12"/>
  <c r="M130" i="12"/>
  <c r="N73" i="12"/>
  <c r="L62" i="12"/>
  <c r="L46" i="12"/>
  <c r="N7" i="12"/>
  <c r="N37" i="12"/>
  <c r="M65" i="12"/>
  <c r="M49" i="12"/>
  <c r="M33" i="12"/>
  <c r="Q7" i="12"/>
  <c r="S74" i="12"/>
  <c r="E124" i="7"/>
  <c r="I124" i="7"/>
  <c r="M124" i="7"/>
  <c r="F124" i="7"/>
  <c r="K124" i="7"/>
  <c r="J124" i="12" s="1"/>
  <c r="B124" i="7"/>
  <c r="G124" i="7"/>
  <c r="L124" i="7"/>
  <c r="K124" i="12" s="1"/>
  <c r="C124" i="7"/>
  <c r="H124" i="7"/>
  <c r="N124" i="7"/>
  <c r="D124" i="7"/>
  <c r="J124" i="7"/>
  <c r="O124" i="7"/>
  <c r="K123" i="12"/>
  <c r="I141" i="12"/>
  <c r="K136" i="12"/>
  <c r="J129" i="12"/>
  <c r="I120" i="12"/>
  <c r="I112" i="12"/>
  <c r="K131" i="12"/>
  <c r="H123" i="12"/>
  <c r="H117" i="12"/>
  <c r="K135" i="12"/>
  <c r="I135" i="12"/>
  <c r="I119" i="12"/>
  <c r="J56" i="12"/>
  <c r="I117" i="12"/>
  <c r="K52" i="12"/>
  <c r="H57" i="12"/>
  <c r="K48" i="12"/>
  <c r="J31" i="12"/>
  <c r="J23" i="12"/>
  <c r="J15" i="12"/>
  <c r="J7" i="12"/>
  <c r="H38" i="12"/>
  <c r="J25" i="12"/>
  <c r="J17" i="12"/>
  <c r="J9" i="12"/>
  <c r="J53" i="12"/>
  <c r="J37" i="12"/>
  <c r="H21" i="12"/>
  <c r="J47" i="12"/>
  <c r="J41" i="12"/>
  <c r="H37" i="12"/>
  <c r="I20" i="12"/>
  <c r="I12" i="12"/>
  <c r="I45" i="12"/>
  <c r="I29" i="12"/>
  <c r="I13" i="12"/>
  <c r="I31" i="12"/>
  <c r="I23" i="12"/>
  <c r="I15" i="12"/>
  <c r="P53" i="5"/>
  <c r="N191" i="5"/>
  <c r="G231" i="3"/>
  <c r="G232" i="3" s="1"/>
  <c r="J231" i="3"/>
  <c r="J232" i="3" s="1"/>
  <c r="F50" i="5"/>
  <c r="G50" i="5" s="1"/>
  <c r="J53" i="5"/>
  <c r="J57" i="5"/>
  <c r="M60" i="5"/>
  <c r="J61"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S73" i="12"/>
  <c r="R89" i="12"/>
  <c r="R105" i="12"/>
  <c r="P72" i="12"/>
  <c r="E32" i="7"/>
  <c r="I32" i="7"/>
  <c r="M32" i="7"/>
  <c r="D32" i="7"/>
  <c r="J32" i="7"/>
  <c r="O32" i="7"/>
  <c r="F32" i="7"/>
  <c r="K32" i="7"/>
  <c r="J32" i="12" s="1"/>
  <c r="B32" i="7"/>
  <c r="G32" i="7"/>
  <c r="C4" i="21" s="1"/>
  <c r="L32" i="7"/>
  <c r="C32" i="7"/>
  <c r="H32" i="7"/>
  <c r="H32" i="12" s="1"/>
  <c r="N32" i="7"/>
  <c r="P45" i="12"/>
  <c r="D16" i="28"/>
  <c r="B15" i="28"/>
  <c r="E210" i="6"/>
  <c r="C210" i="6"/>
  <c r="N151" i="12"/>
  <c r="L61" i="12"/>
  <c r="M45" i="12"/>
  <c r="H191" i="5"/>
  <c r="H192" i="5" s="1"/>
  <c r="J37" i="5"/>
  <c r="K138" i="12"/>
  <c r="H135" i="12"/>
  <c r="H128" i="12"/>
  <c r="J123" i="12"/>
  <c r="J117" i="12"/>
  <c r="I122" i="12"/>
  <c r="K134" i="12"/>
  <c r="H115" i="12"/>
  <c r="J48" i="12"/>
  <c r="H54" i="12"/>
  <c r="K115" i="12"/>
  <c r="H45" i="12"/>
  <c r="I56" i="12"/>
  <c r="I47" i="12"/>
  <c r="I38" i="12"/>
  <c r="I30" i="12"/>
  <c r="I22" i="12"/>
  <c r="I14" i="12"/>
  <c r="K37" i="12"/>
  <c r="H31" i="12"/>
  <c r="H23" i="12"/>
  <c r="H15" i="12"/>
  <c r="H7" i="12"/>
  <c r="H33" i="12"/>
  <c r="H17" i="12"/>
  <c r="H46" i="12"/>
  <c r="K26" i="12"/>
  <c r="K18" i="12"/>
  <c r="K10" i="12"/>
  <c r="I57" i="12"/>
  <c r="I41" i="12"/>
  <c r="I25"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163" i="14"/>
  <c r="G209" i="11"/>
  <c r="M209" i="11"/>
  <c r="F94" i="8"/>
  <c r="F95" i="8" s="1"/>
  <c r="I94" i="8"/>
  <c r="S33" i="12"/>
  <c r="R85" i="12"/>
  <c r="E40" i="7"/>
  <c r="I40" i="7"/>
  <c r="I40" i="12" s="1"/>
  <c r="M40" i="7"/>
  <c r="B40" i="7"/>
  <c r="G40" i="7"/>
  <c r="L40" i="7"/>
  <c r="C40" i="7"/>
  <c r="H40" i="7"/>
  <c r="H40" i="12" s="1"/>
  <c r="N40" i="7"/>
  <c r="D40" i="7"/>
  <c r="J40" i="7"/>
  <c r="O40" i="7"/>
  <c r="F40" i="7"/>
  <c r="K40" i="7"/>
  <c r="J40" i="12" s="1"/>
  <c r="P37" i="12"/>
  <c r="Q64" i="12"/>
  <c r="D18"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13" i="12"/>
  <c r="J55" i="12"/>
  <c r="K46" i="12"/>
  <c r="I54" i="12"/>
  <c r="J45" i="12"/>
  <c r="J27" i="12"/>
  <c r="J19" i="12"/>
  <c r="J11" i="12"/>
  <c r="I42" i="12"/>
  <c r="J29" i="12"/>
  <c r="J21" i="12"/>
  <c r="J13" i="12"/>
  <c r="K41" i="12"/>
  <c r="H29" i="12"/>
  <c r="H13" i="12"/>
  <c r="K45" i="12"/>
  <c r="I24" i="12"/>
  <c r="I16" i="12"/>
  <c r="I8" i="12"/>
  <c r="I53" i="12"/>
  <c r="I37" i="12"/>
  <c r="I21" i="12"/>
  <c r="I35" i="12"/>
  <c r="I27" i="12"/>
  <c r="I19" i="12"/>
  <c r="I11" i="12"/>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F17" i="2"/>
  <c r="G17" i="2"/>
  <c r="G158" i="2"/>
  <c r="F158" i="2"/>
  <c r="J170" i="2"/>
  <c r="K170" i="2" s="1"/>
  <c r="G41" i="2"/>
  <c r="J175" i="12" l="1"/>
  <c r="H185" i="12"/>
  <c r="K180" i="12"/>
  <c r="H178" i="12"/>
  <c r="K178" i="12"/>
  <c r="B234" i="2"/>
  <c r="D234" i="2"/>
  <c r="K54" i="12"/>
  <c r="D7" i="28"/>
  <c r="J66" i="12"/>
  <c r="L191" i="5"/>
  <c r="L192" i="5" s="1"/>
  <c r="M192" i="5" s="1"/>
  <c r="H80" i="12"/>
  <c r="H75" i="12"/>
  <c r="O192" i="12"/>
  <c r="O193" i="12" s="1"/>
  <c r="M94" i="5"/>
  <c r="I212" i="10"/>
  <c r="J159" i="12"/>
  <c r="I167" i="12"/>
  <c r="J186" i="12"/>
  <c r="H39" i="12"/>
  <c r="I66" i="12"/>
  <c r="J39" i="12"/>
  <c r="L212" i="10"/>
  <c r="K66" i="12"/>
  <c r="J94" i="8"/>
  <c r="C103" i="8" s="1"/>
  <c r="I142" i="12"/>
  <c r="J153" i="12"/>
  <c r="K153" i="12"/>
  <c r="I168" i="12"/>
  <c r="H35" i="12"/>
  <c r="I164" i="12"/>
  <c r="I172" i="12"/>
  <c r="H62" i="12"/>
  <c r="H67" i="12"/>
  <c r="I147" i="12"/>
  <c r="K148" i="12"/>
  <c r="I155" i="12"/>
  <c r="H150" i="12"/>
  <c r="H158" i="12"/>
  <c r="K168" i="12"/>
  <c r="K177" i="12"/>
  <c r="I43" i="12"/>
  <c r="J116" i="12"/>
  <c r="H43" i="12"/>
  <c r="J35" i="12"/>
  <c r="K40" i="12"/>
  <c r="K43" i="12"/>
  <c r="H28" i="12"/>
  <c r="H30" i="12"/>
  <c r="J147" i="12"/>
  <c r="J150" i="12"/>
  <c r="J158" i="12"/>
  <c r="J168" i="12"/>
  <c r="J43" i="12"/>
  <c r="K116" i="12"/>
  <c r="H124" i="12"/>
  <c r="H130" i="12"/>
  <c r="I124" i="12"/>
  <c r="I130" i="12"/>
  <c r="J130" i="12"/>
  <c r="K62" i="12"/>
  <c r="K67" i="12"/>
  <c r="H66" i="12"/>
  <c r="H71" i="12"/>
  <c r="K147" i="12"/>
  <c r="H147" i="12"/>
  <c r="H174" i="12"/>
  <c r="H183" i="12"/>
  <c r="K174" i="12"/>
  <c r="K183" i="12"/>
  <c r="J137" i="12"/>
  <c r="J144" i="12"/>
  <c r="J126" i="12"/>
  <c r="J132" i="12"/>
  <c r="H116" i="12"/>
  <c r="K39" i="12"/>
  <c r="K42" i="12"/>
  <c r="H168" i="12"/>
  <c r="H177" i="12"/>
  <c r="K32" i="12"/>
  <c r="K35" i="12"/>
  <c r="J28" i="12"/>
  <c r="J30" i="12"/>
  <c r="K150" i="12"/>
  <c r="K158" i="12"/>
  <c r="K44" i="12"/>
  <c r="K47" i="12"/>
  <c r="H108" i="12"/>
  <c r="J177" i="12"/>
  <c r="F212" i="10"/>
  <c r="O212" i="10"/>
  <c r="E216" i="7"/>
  <c r="E217" i="7" s="1"/>
  <c r="B227" i="7" s="1"/>
  <c r="N225" i="2"/>
  <c r="O225" i="2" s="1"/>
  <c r="A103" i="8"/>
  <c r="C216" i="7"/>
  <c r="C217" i="7" s="1"/>
  <c r="M192" i="12"/>
  <c r="M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I32" i="12"/>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N192" i="12"/>
  <c r="N193" i="12" s="1"/>
  <c r="L209" i="11"/>
  <c r="J210" i="11"/>
  <c r="L210" i="11" s="1"/>
  <c r="B219" i="6"/>
  <c r="G233" i="2"/>
  <c r="F233" i="2" s="1"/>
  <c r="M191" i="5" l="1"/>
  <c r="J192" i="12"/>
  <c r="J193" i="12" s="1"/>
  <c r="H192" i="12"/>
  <c r="H193" i="12" s="1"/>
  <c r="K192" i="12"/>
  <c r="K193" i="12" s="1"/>
  <c r="I192" i="12"/>
  <c r="I193" i="12" s="1"/>
  <c r="N217" i="7"/>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<sst xmlns="http://schemas.openxmlformats.org/spreadsheetml/2006/main" count="3463" uniqueCount="691">
  <si>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</si>
  <si>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</si>
  <si>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</si>
  <si>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</si>
  <si>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</si>
  <si>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</si>
  <si>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</si>
  <si>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</si>
  <si>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</si>
  <si>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</si>
  <si>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</si>
  <si>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</si>
  <si>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</si>
  <si>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</si>
  <si>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</si>
  <si>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</si>
  <si>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</si>
  <si>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</si>
  <si>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</si>
  <si>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</si>
  <si>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</si>
  <si>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</si>
  <si>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</si>
  <si>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</si>
  <si>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</si>
  <si>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</si>
  <si>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</si>
  <si>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</si>
  <si>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</si>
  <si>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</si>
  <si>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</si>
  <si>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</si>
  <si>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</si>
  <si>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</si>
  <si>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</si>
  <si>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</si>
  <si>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</si>
  <si>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</si>
  <si>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</si>
  <si>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</si>
  <si>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</si>
  <si>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</si>
  <si>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</si>
  <si>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</si>
  <si>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</si>
  <si>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</si>
  <si>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</si>
  <si>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</si>
  <si>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</si>
  <si>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</si>
  <si>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</si>
  <si>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</si>
  <si>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</si>
  <si>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</si>
  <si>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</si>
  <si>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</si>
  <si>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</si>
  <si>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</si>
  <si>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</si>
  <si>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</si>
  <si>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</si>
  <si>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</si>
  <si>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</si>
  <si>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</si>
  <si>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</si>
  <si>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</si>
  <si>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</si>
  <si>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</si>
  <si>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</si>
  <si>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</si>
  <si>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</si>
  <si>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</si>
  <si>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</si>
  <si>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</si>
  <si>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</si>
  <si>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</si>
  <si>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</si>
  <si>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</si>
  <si>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</si>
  <si>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</si>
  <si>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</si>
  <si>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</si>
  <si>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</si>
  <si>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</si>
  <si>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</si>
  <si>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</si>
  <si>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</si>
  <si>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</si>
  <si>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</si>
  <si>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</si>
  <si>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</si>
  <si>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</si>
  <si>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</si>
  <si>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</si>
  <si>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</si>
  <si>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</si>
  <si>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</si>
  <si>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</si>
  <si>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</si>
  <si>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</si>
  <si>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</si>
  <si>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</si>
  <si>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</si>
  <si>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</si>
  <si>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</si>
  <si>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</si>
  <si>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</si>
  <si>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</si>
  <si>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</si>
  <si>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</si>
  <si>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</si>
  <si>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</si>
  <si>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</si>
  <si>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</si>
  <si>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</si>
  <si>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</si>
  <si>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</si>
  <si>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</si>
  <si>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</si>
  <si>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</si>
  <si>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</si>
  <si>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</si>
  <si>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</si>
  <si>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</si>
  <si>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</si>
  <si>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</si>
  <si>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</si>
  <si>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</si>
  <si>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</si>
  <si>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</si>
  <si>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</si>
  <si>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</si>
  <si>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</si>
  <si>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</si>
  <si>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</si>
  <si>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</si>
  <si>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</si>
  <si>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</si>
  <si>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</si>
  <si>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</si>
  <si>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</si>
  <si>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</si>
  <si>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</si>
  <si>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</si>
  <si>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</si>
  <si>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</si>
  <si>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</si>
  <si>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</si>
  <si>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</si>
  <si>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</si>
  <si>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</si>
  <si>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</si>
  <si>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</si>
  <si>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</si>
  <si>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</si>
  <si>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</si>
  <si>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</si>
  <si>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</si>
  <si>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</si>
  <si>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</si>
  <si>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</si>
  <si>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</si>
  <si>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</si>
  <si>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</si>
  <si>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</si>
  <si>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</si>
  <si>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</si>
  <si>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</si>
  <si>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</si>
  <si>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</si>
  <si>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</si>
  <si>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</si>
  <si>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</si>
  <si>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</si>
  <si>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</si>
  <si>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</si>
  <si>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</si>
  <si>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</si>
  <si>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</si>
  <si>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</si>
  <si>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</si>
  <si>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</si>
  <si>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</si>
  <si>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</si>
  <si>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</si>
  <si>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</si>
  <si>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</si>
  <si>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</si>
  <si>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</si>
  <si>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</si>
  <si>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</si>
  <si>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</si>
  <si>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</si>
  <si>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</si>
  <si>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</si>
  <si>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</si>
  <si>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</si>
  <si>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</si>
  <si>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</si>
  <si>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</si>
  <si>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</si>
  <si>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</si>
  <si>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</si>
  <si>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</si>
  <si>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</si>
  <si>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</si>
  <si>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</si>
  <si>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</si>
  <si>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</si>
  <si>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</si>
  <si>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</si>
  <si>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</si>
  <si>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</si>
  <si>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</si>
  <si>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</si>
  <si>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</si>
  <si>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</si>
  <si>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</si>
  <si>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</si>
  <si>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</si>
  <si>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</si>
  <si>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</si>
  <si>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</si>
  <si>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</si>
  <si>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</si>
  <si>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</si>
  <si>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</si>
  <si>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</si>
  <si>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</si>
  <si>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</si>
  <si>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</si>
  <si>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</si>
  <si>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</si>
  <si>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</si>
  <si>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</si>
  <si>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</si>
  <si>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</si>
  <si>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</si>
  <si>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</si>
  <si>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</si>
  <si>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</si>
  <si>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</si>
  <si>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</si>
  <si>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</si>
  <si>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</si>
  <si>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</si>
  <si>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</si>
  <si>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</si>
  <si>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</si>
  <si>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</si>
  <si>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</si>
  <si>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</si>
  <si>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</si>
  <si>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</si>
  <si>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</si>
  <si>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</si>
  <si>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</si>
  <si>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</si>
  <si>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</si>
  <si>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</si>
  <si>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</si>
  <si>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</si>
  <si>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</si>
  <si>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</si>
  <si>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</si>
  <si>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</si>
  <si>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</si>
  <si>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</si>
  <si>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</si>
  <si>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</si>
  <si>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</si>
  <si>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</si>
  <si>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</si>
  <si>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</si>
  <si>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</si>
  <si>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</si>
  <si>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</si>
  <si>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</si>
  <si>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</si>
  <si>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</si>
  <si>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</si>
  <si>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</si>
  <si>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</si>
  <si>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</si>
  <si>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</si>
  <si>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</si>
  <si>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</si>
  <si>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</si>
  <si>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</si>
  <si>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</si>
  <si>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</si>
  <si>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</si>
  <si>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</si>
  <si>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</si>
  <si>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</si>
  <si>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</si>
  <si>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</si>
  <si>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</si>
  <si>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</si>
  <si>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</si>
  <si>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</si>
  <si>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</si>
  <si>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</si>
  <si>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</si>
  <si>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</si>
  <si>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</si>
  <si>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</si>
  <si>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</si>
  <si>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</si>
  <si>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</si>
  <si>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</si>
  <si>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</si>
  <si>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</si>
  <si>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</si>
  <si>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</si>
  <si>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</si>
  <si>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</si>
  <si>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</si>
  <si>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</si>
  <si>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</si>
  <si>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</si>
  <si>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</si>
  <si>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</si>
  <si>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</si>
  <si>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</si>
  <si>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</si>
  <si>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</si>
  <si>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</si>
  <si>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</si>
  <si>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</si>
  <si>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</si>
  <si>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</si>
  <si>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</si>
  <si>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</si>
  <si>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</si>
  <si>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</si>
  <si>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</si>
  <si>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</si>
  <si>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</si>
  <si>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</si>
  <si>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</si>
  <si>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</si>
  <si>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</si>
  <si>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</si>
  <si>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</si>
  <si>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</si>
  <si>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</si>
  <si>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</si>
  <si>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</si>
  <si>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</si>
  <si>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</si>
  <si>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</si>
  <si>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</si>
  <si>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</si>
  <si>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</si>
  <si>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</si>
  <si>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</si>
  <si>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</si>
  <si>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</si>
  <si>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</si>
  <si>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</si>
  <si>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</si>
  <si>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</si>
  <si>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</si>
  <si>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</si>
  <si>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</si>
  <si>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</si>
  <si>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</si>
  <si>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</si>
  <si>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</si>
  <si>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</si>
  <si>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</si>
  <si>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</si>
  <si>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</si>
  <si>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</si>
  <si>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</si>
  <si>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</si>
  <si>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</si>
  <si>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</si>
  <si>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</si>
  <si>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</si>
  <si>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</si>
  <si>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</si>
  <si>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</si>
  <si>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</si>
  <si>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</si>
  <si>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</si>
  <si>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</si>
  <si>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</si>
  <si>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</si>
  <si>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</si>
  <si>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</si>
  <si>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</si>
  <si>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</si>
  <si>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</si>
  <si>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</si>
  <si>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</si>
  <si>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</si>
  <si>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</si>
  <si>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</si>
  <si>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</si>
  <si>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</si>
  <si>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</si>
  <si>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</si>
  <si>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</si>
  <si>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</si>
  <si>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</si>
  <si>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</si>
  <si>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</si>
  <si>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</si>
  <si>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</si>
  <si>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</si>
  <si>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</si>
  <si>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</si>
  <si>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</si>
  <si>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</si>
  <si>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</si>
  <si>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</si>
  <si>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</si>
  <si>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</si>
  <si>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</si>
  <si>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</si>
  <si>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</si>
  <si>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</si>
  <si>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</si>
  <si>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</si>
  <si>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</si>
  <si>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</si>
  <si>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</si>
  <si>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</si>
  <si>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</si>
  <si>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</si>
  <si>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</si>
  <si>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</si>
  <si>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</si>
  <si>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</si>
  <si>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</si>
  <si>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</si>
  <si>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</si>
  <si>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</si>
  <si>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</si>
  <si>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</si>
  <si>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</si>
  <si>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</si>
  <si>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</si>
  <si>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</si>
  <si>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</si>
  <si>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</si>
  <si>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</si>
  <si>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</si>
  <si>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</si>
  <si>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</si>
  <si>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</si>
  <si>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</si>
  <si>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</si>
  <si>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</si>
  <si>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</si>
  <si>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</si>
  <si>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</si>
  <si>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</si>
  <si>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</si>
  <si>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</si>
  <si>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</si>
  <si>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</si>
  <si>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</si>
  <si>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</si>
  <si>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</si>
  <si>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</si>
  <si>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</si>
  <si>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</si>
  <si>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</si>
  <si>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</si>
  <si>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</si>
  <si>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</si>
  <si>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</si>
  <si>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</si>
  <si>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</si>
  <si>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</si>
  <si>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</si>
  <si>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</si>
  <si>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</si>
  <si>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</si>
  <si>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</si>
  <si>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</si>
  <si>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</si>
  <si>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</si>
  <si>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</si>
  <si>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</si>
  <si>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</si>
  <si>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</si>
  <si>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</si>
  <si>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</si>
  <si>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</si>
  <si>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</si>
  <si>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</si>
  <si>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</si>
  <si>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</si>
  <si>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</si>
  <si>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</si>
  <si>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</si>
  <si>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</si>
  <si>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</si>
  <si>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</si>
  <si>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</si>
  <si>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</si>
  <si>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</si>
  <si>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</si>
  <si>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</si>
  <si>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</si>
  <si>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</si>
  <si>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</si>
  <si>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</si>
  <si>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</si>
  <si>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</si>
  <si>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</si>
  <si>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</si>
  <si>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</si>
  <si>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</si>
  <si>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</si>
  <si>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</si>
  <si>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</si>
  <si>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</si>
  <si>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</si>
  <si>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</si>
  <si>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</si>
  <si>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</si>
  <si>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</si>
  <si>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</si>
  <si>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</si>
  <si>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</si>
  <si>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</si>
  <si>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</si>
  <si>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</si>
  <si>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</si>
  <si>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</si>
  <si>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</si>
  <si>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</si>
  <si>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</si>
  <si>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</si>
  <si>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</si>
  <si>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</si>
  <si>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</si>
  <si>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</si>
  <si>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</si>
  <si>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</si>
  <si>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</si>
  <si>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</si>
  <si>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</si>
  <si>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</si>
  <si>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</si>
  <si>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</si>
  <si>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</si>
  <si>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</si>
  <si>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</si>
  <si>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</si>
  <si>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</si>
  <si>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</si>
  <si>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</si>
  <si>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</si>
  <si>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</si>
  <si>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</si>
  <si>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</si>
  <si>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</si>
  <si>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</si>
  <si>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</si>
  <si>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</si>
  <si>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</si>
  <si>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</si>
  <si>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</si>
  <si>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</si>
  <si>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</si>
  <si>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</si>
  <si>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</si>
  <si>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</si>
  <si>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</si>
  <si>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</si>
  <si>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</si>
  <si>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</si>
  <si>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</si>
  <si>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</si>
  <si>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</si>
  <si>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</si>
  <si>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</si>
  <si>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</si>
  <si>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</si>
  <si>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</si>
  <si>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</si>
  <si>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</si>
  <si>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</si>
  <si>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</si>
  <si>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</si>
  <si>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</si>
  <si>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</si>
  <si>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</si>
  <si>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</si>
  <si>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</si>
  <si>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</si>
  <si>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</si>
  <si>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</si>
  <si>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</si>
  <si>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</si>
  <si>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</si>
  <si>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</si>
  <si>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</si>
  <si>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</si>
  <si>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</si>
  <si>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</si>
  <si>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</si>
  <si>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</si>
  <si>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</si>
  <si>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</si>
  <si>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</si>
  <si>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</si>
  <si>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</si>
  <si>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</si>
  <si>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</si>
  <si>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</si>
  <si>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</si>
  <si>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</si>
  <si>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</si>
  <si>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</si>
  <si>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</si>
  <si>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</si>
  <si>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</si>
  <si>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</si>
  <si>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</si>
  <si>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</si>
  <si>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</si>
  <si>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</si>
  <si>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</si>
  <si>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</si>
  <si>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</si>
  <si>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</si>
  <si>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</si>
  <si>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</si>
  <si>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</si>
  <si>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</si>
  <si>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</si>
  <si>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</si>
  <si>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</si>
  <si>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</si>
  <si>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</si>
  <si>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</si>
  <si>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</si>
  <si>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</si>
  <si>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</si>
  <si>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</si>
  <si>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</si>
  <si>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</si>
  <si>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</si>
  <si>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</si>
  <si>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</si>
  <si>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</si>
  <si>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</si>
  <si>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</si>
  <si>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</si>
  <si>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</si>
  <si>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</si>
  <si>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</si>
  <si>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</si>
  <si>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</si>
  <si>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</si>
  <si>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</si>
  <si>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</si>
  <si>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</si>
  <si>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</si>
  <si>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</si>
  <si>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</si>
  <si>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</si>
  <si>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</si>
  <si>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</si>
  <si>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</si>
  <si>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</si>
  <si>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</si>
  <si>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</si>
  <si>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</si>
  <si>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</si>
  <si>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</si>
  <si>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</si>
  <si>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</si>
  <si>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</si>
  <si>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</si>
  <si>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</si>
  <si>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</si>
  <si>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</si>
  <si>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</si>
  <si>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SUZLON</t>
  </si>
  <si>
    <t>NUVAMA</t>
  </si>
  <si>
    <t>SAMMAANCAP</t>
  </si>
  <si>
    <t>POWERINDIA</t>
  </si>
  <si>
    <t>F&amp;O Market Trading Kit for 13 Oct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</si>
</sst>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4" fillId="38" borderId="1" xfId="0" applyNumberFormat="1" applyFont="1" applyFill="1" applyBorder="1" applyAlignment="1" applyProtection="1">
      <alignment horizontal="left" vertical="center"/>
    </xf>
    <xf numFmtId="3" fontId="4"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98" activePane="bottomLeft" state="frozen"/>
      <selection pane="bottomLeft" activeCell="T104" sqref="T104"/>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43" t="s">
        <v>690</v>
      </c>
      <c r="B6" s="244"/>
      <c r="C6" s="244"/>
      <c r="D6" s="244"/>
      <c r="E6" s="244"/>
      <c r="F6" s="244"/>
      <c r="G6" s="244"/>
      <c r="H6" s="244"/>
      <c r="I6" s="244"/>
      <c r="J6" s="244"/>
      <c r="K6" s="244"/>
      <c r="L6" s="244"/>
      <c r="M6" s="244"/>
      <c r="N6" s="244"/>
      <c r="O6" s="244"/>
      <c r="P6" s="244"/>
      <c r="Q6" s="244"/>
      <c r="R6" s="244"/>
      <c r="S6" s="245"/>
    </row>
    <row r="7" spans="1:19" x14ac:dyDescent="0.25">
      <c r="A7" s="246"/>
      <c r="B7" s="247"/>
      <c r="C7" s="247"/>
      <c r="D7" s="247"/>
      <c r="E7" s="247"/>
      <c r="F7" s="247"/>
      <c r="G7" s="247"/>
      <c r="H7" s="247"/>
      <c r="I7" s="247"/>
      <c r="J7" s="247"/>
      <c r="K7" s="247"/>
      <c r="L7" s="247"/>
      <c r="M7" s="247"/>
      <c r="N7" s="247"/>
      <c r="O7" s="247"/>
      <c r="P7" s="247"/>
      <c r="Q7" s="247"/>
      <c r="R7" s="247"/>
      <c r="S7" s="248"/>
    </row>
    <row r="8" spans="1:19" s="64" customFormat="1" ht="15" customHeight="1" x14ac:dyDescent="0.25">
      <c r="A8" s="249"/>
      <c r="B8" s="2"/>
      <c r="C8" s="251" t="s">
        <v>308</v>
      </c>
      <c r="D8" s="252"/>
      <c r="E8" s="252"/>
      <c r="F8" s="252"/>
      <c r="G8" s="253"/>
      <c r="H8" s="251" t="s">
        <v>309</v>
      </c>
      <c r="I8" s="252"/>
      <c r="J8" s="252"/>
      <c r="K8" s="253"/>
      <c r="L8" s="254" t="s">
        <v>310</v>
      </c>
      <c r="M8" s="255"/>
      <c r="N8" s="255"/>
      <c r="O8" s="256"/>
      <c r="P8" s="251" t="s">
        <v>311</v>
      </c>
      <c r="Q8" s="252"/>
      <c r="R8" s="252"/>
      <c r="S8" s="253"/>
    </row>
    <row r="9" spans="1:19" s="64" customFormat="1" x14ac:dyDescent="0.25">
      <c r="A9" s="250"/>
      <c r="B9" s="2"/>
      <c r="C9" s="2" t="s">
        <v>312</v>
      </c>
      <c r="D9" s="251" t="s">
        <v>313</v>
      </c>
      <c r="E9" s="252"/>
      <c r="F9" s="252"/>
      <c r="G9" s="253"/>
      <c r="H9" s="251" t="s">
        <v>314</v>
      </c>
      <c r="I9" s="252"/>
      <c r="J9" s="252"/>
      <c r="K9" s="253"/>
      <c r="L9" s="251" t="s">
        <v>315</v>
      </c>
      <c r="M9" s="252"/>
      <c r="N9" s="252"/>
      <c r="O9" s="253"/>
      <c r="P9" s="251" t="s">
        <v>316</v>
      </c>
      <c r="Q9" s="253"/>
      <c r="R9" s="251" t="s">
        <v>317</v>
      </c>
      <c r="S9" s="253"/>
    </row>
    <row r="10" spans="1:19" s="67" customFormat="1" ht="27" customHeight="1" x14ac:dyDescent="0.25">
      <c r="A10" s="65" t="s">
        <v>318</v>
      </c>
      <c r="B10" s="65" t="s">
        <v>319</v>
      </c>
      <c r="C10" s="66">
        <f>'Data Vlaue (Cr)'!A2</f>
        <v>45940</v>
      </c>
      <c r="D10" s="66">
        <f>'Data Vlaue (Cr)'!A2</f>
        <v>45940</v>
      </c>
      <c r="E10" s="65" t="s">
        <v>322</v>
      </c>
      <c r="F10" s="65" t="s">
        <v>320</v>
      </c>
      <c r="G10" s="65" t="s">
        <v>321</v>
      </c>
      <c r="H10" s="66">
        <f>D10</f>
        <v>45940</v>
      </c>
      <c r="I10" s="65" t="s">
        <v>322</v>
      </c>
      <c r="J10" s="65" t="s">
        <v>323</v>
      </c>
      <c r="K10" s="65" t="s">
        <v>324</v>
      </c>
      <c r="L10" s="66">
        <f>D10</f>
        <v>45940</v>
      </c>
      <c r="M10" s="65" t="s">
        <v>322</v>
      </c>
      <c r="N10" s="65" t="s">
        <v>323</v>
      </c>
      <c r="O10" s="65" t="s">
        <v>324</v>
      </c>
      <c r="P10" s="66">
        <f>D10</f>
        <v>45940</v>
      </c>
      <c r="Q10" s="65" t="s">
        <v>324</v>
      </c>
      <c r="R10" s="66">
        <f>D10</f>
        <v>45940</v>
      </c>
      <c r="S10" s="65" t="s">
        <v>324</v>
      </c>
    </row>
    <row r="11" spans="1:19" x14ac:dyDescent="0.25">
      <c r="A11" s="96" t="str">
        <f>'Data Vlaue (Cr)'!C2</f>
        <v>360ONE</v>
      </c>
      <c r="B11" s="75">
        <f>VLOOKUP($A11,'Data Vlaue (Cr)'!$C:$FB,2)</f>
        <v>500</v>
      </c>
      <c r="C11" s="75">
        <f>VLOOKUP($A11,'Data Vlaue (Cr)'!$C:$FB,8)</f>
        <v>1095.0999999999999</v>
      </c>
      <c r="D11" s="75">
        <f>VLOOKUP($A11,'Data Vlaue (Cr)'!$C:$FB,4)</f>
        <v>1094.3</v>
      </c>
      <c r="E11" s="75">
        <f>VLOOKUP($A11,'Data Vlaue (Cr)'!$C:$FB,5)</f>
        <v>1083.2</v>
      </c>
      <c r="F11" s="75">
        <f>D11-C11</f>
        <v>-0.79999999999995453</v>
      </c>
      <c r="G11" s="75">
        <f>(D11-E11)/D11*100</f>
        <v>1.0143470711870519</v>
      </c>
      <c r="H11" s="75">
        <f>VLOOKUP($A11,'Data Vlaue (Cr)'!$C:$FB,99)</f>
        <v>444</v>
      </c>
      <c r="I11" s="75">
        <f>VLOOKUP($A11,'Data Vlaue (Cr)'!$C:$FB,100)</f>
        <v>443</v>
      </c>
      <c r="J11" s="75">
        <f>H11-I11</f>
        <v>1</v>
      </c>
      <c r="K11" s="75">
        <f>J11/H11*100</f>
        <v>0.22522522522522523</v>
      </c>
      <c r="L11" s="75">
        <f>VLOOKUP($A11,'Data Vlaue (Cr)'!$C:$FB,67)</f>
        <v>163</v>
      </c>
      <c r="M11" s="75">
        <f>VLOOKUP($A11,'Data Vlaue (Cr)'!$C:$FB,68)</f>
        <v>137</v>
      </c>
      <c r="N11" s="75">
        <f>L11-M11</f>
        <v>26</v>
      </c>
      <c r="O11" s="75">
        <f>N11/L11*100</f>
        <v>15.950920245398773</v>
      </c>
      <c r="P11" s="75">
        <f>VLOOKUP($A11,'Data Vlaue (Cr)'!$C:$FB,119)</f>
        <v>0.72</v>
      </c>
      <c r="Q11" s="75">
        <f>VLOOKUP($A11,'Data Vlaue (Cr)'!$C:$FB,122)*100</f>
        <v>0</v>
      </c>
      <c r="R11" s="75">
        <f>VLOOKUP($A11,'Data Vlaue (Cr)'!$C:$FB,125)</f>
        <v>0.17</v>
      </c>
      <c r="S11" s="75">
        <f>VLOOKUP($A11,'Data Vlaue (Cr)'!$C:$FB,128)*100</f>
        <v>-41.38</v>
      </c>
    </row>
    <row r="12" spans="1:19" x14ac:dyDescent="0.25">
      <c r="A12" s="96" t="str">
        <f>'Data Vlaue (Cr)'!C3</f>
        <v>ABB</v>
      </c>
      <c r="B12" s="75">
        <f>VLOOKUP($A12,'Data Vlaue (Cr)'!$C:$FB,2)</f>
        <v>125</v>
      </c>
      <c r="C12" s="75">
        <f>VLOOKUP($A12,'Data Vlaue (Cr)'!$C:$FB,8)</f>
        <v>5186</v>
      </c>
      <c r="D12" s="75">
        <f>VLOOKUP($A12,'Data Vlaue (Cr)'!$C:$FB,4)</f>
        <v>5199</v>
      </c>
      <c r="E12" s="75">
        <f>VLOOKUP($A12,'Data Vlaue (Cr)'!$C:$FB,5)</f>
        <v>5161</v>
      </c>
      <c r="F12" s="75">
        <f t="shared" ref="F12:F75" si="0">D12-C12</f>
        <v>13</v>
      </c>
      <c r="G12" s="75">
        <f t="shared" ref="G12:G74" si="1">(D12-E12)/D12*100</f>
        <v>0.73090979034429693</v>
      </c>
      <c r="H12" s="75">
        <f>VLOOKUP($A12,'Data Vlaue (Cr)'!$C:$FB,99)</f>
        <v>2372</v>
      </c>
      <c r="I12" s="75">
        <f>VLOOKUP($A12,'Data Vlaue (Cr)'!$C:$FB,100)</f>
        <v>2395</v>
      </c>
      <c r="J12" s="75">
        <f t="shared" ref="J12:J75" si="2">H12-I12</f>
        <v>-23</v>
      </c>
      <c r="K12" s="75">
        <f t="shared" ref="K12:K75" si="3">J12/H12*100</f>
        <v>-0.96964586846542999</v>
      </c>
      <c r="L12" s="75">
        <f>VLOOKUP($A12,'Data Vlaue (Cr)'!$C:$FB,67)</f>
        <v>931</v>
      </c>
      <c r="M12" s="75">
        <f>VLOOKUP($A12,'Data Vlaue (Cr)'!$C:$FB,68)</f>
        <v>1418</v>
      </c>
      <c r="N12" s="75">
        <f t="shared" ref="N12:N75" si="4">L12-M12</f>
        <v>-487</v>
      </c>
      <c r="O12" s="75">
        <f t="shared" ref="O12:O75" si="5">N12/L12*100</f>
        <v>-52.309344790547797</v>
      </c>
      <c r="P12" s="75">
        <f>VLOOKUP($A12,'Data Vlaue (Cr)'!$C:$FB,119)</f>
        <v>0.65</v>
      </c>
      <c r="Q12" s="75">
        <f>VLOOKUP($A12,'Data Vlaue (Cr)'!$C:$FB,122)*100</f>
        <v>3.17</v>
      </c>
      <c r="R12" s="75">
        <f>VLOOKUP($A12,'Data Vlaue (Cr)'!$C:$FB,125)</f>
        <v>0.35</v>
      </c>
      <c r="S12" s="75">
        <f>VLOOKUP($A12,'Data Vlaue (Cr)'!$C:$FB,128)*100</f>
        <v>-36.36</v>
      </c>
    </row>
    <row r="13" spans="1:19" x14ac:dyDescent="0.25">
      <c r="A13" s="96" t="str">
        <f>'Data Vlaue (Cr)'!C4</f>
        <v>ABCAPITAL</v>
      </c>
      <c r="B13" s="75">
        <f>VLOOKUP($A13,'Data Vlaue (Cr)'!$C:$FB,2)</f>
        <v>3100</v>
      </c>
      <c r="C13" s="75">
        <f>VLOOKUP($A13,'Data Vlaue (Cr)'!$C:$FB,8)</f>
        <v>293.35000000000002</v>
      </c>
      <c r="D13" s="75">
        <f>VLOOKUP($A13,'Data Vlaue (Cr)'!$C:$FB,4)</f>
        <v>295</v>
      </c>
      <c r="E13" s="75">
        <f>VLOOKUP($A13,'Data Vlaue (Cr)'!$C:$FB,5)</f>
        <v>299.7</v>
      </c>
      <c r="F13" s="75">
        <f t="shared" si="0"/>
        <v>1.6499999999999773</v>
      </c>
      <c r="G13" s="75">
        <f t="shared" si="1"/>
        <v>-1.5932203389830468</v>
      </c>
      <c r="H13" s="75">
        <f>VLOOKUP($A13,'Data Vlaue (Cr)'!$C:$FB,99)</f>
        <v>3171</v>
      </c>
      <c r="I13" s="75">
        <f>VLOOKUP($A13,'Data Vlaue (Cr)'!$C:$FB,100)</f>
        <v>3035</v>
      </c>
      <c r="J13" s="75">
        <f t="shared" si="2"/>
        <v>136</v>
      </c>
      <c r="K13" s="75">
        <f t="shared" si="3"/>
        <v>4.2888678650268055</v>
      </c>
      <c r="L13" s="75">
        <f>VLOOKUP($A13,'Data Vlaue (Cr)'!$C:$FB,67)</f>
        <v>1051</v>
      </c>
      <c r="M13" s="75">
        <f>VLOOKUP($A13,'Data Vlaue (Cr)'!$C:$FB,68)</f>
        <v>824</v>
      </c>
      <c r="N13" s="75">
        <f t="shared" si="4"/>
        <v>227</v>
      </c>
      <c r="O13" s="75">
        <f t="shared" si="5"/>
        <v>21.59847764034253</v>
      </c>
      <c r="P13" s="75">
        <f>VLOOKUP($A13,'Data Vlaue (Cr)'!$C:$FB,119)</f>
        <v>0.54</v>
      </c>
      <c r="Q13" s="75">
        <f>VLOOKUP($A13,'Data Vlaue (Cr)'!$C:$FB,122)*100</f>
        <v>-6.9</v>
      </c>
      <c r="R13" s="75">
        <f>VLOOKUP($A13,'Data Vlaue (Cr)'!$C:$FB,125)</f>
        <v>0.38</v>
      </c>
      <c r="S13" s="75">
        <f>VLOOKUP($A13,'Data Vlaue (Cr)'!$C:$FB,128)*100</f>
        <v>-13.639999999999999</v>
      </c>
    </row>
    <row r="14" spans="1:19" x14ac:dyDescent="0.25">
      <c r="A14" s="96" t="str">
        <f>'Data Vlaue (Cr)'!C5</f>
        <v>ADANIENSOL</v>
      </c>
      <c r="B14" s="75">
        <f>VLOOKUP($A14,'Data Vlaue (Cr)'!$C:$FB,2)</f>
        <v>675</v>
      </c>
      <c r="C14" s="75">
        <f>VLOOKUP($A14,'Data Vlaue (Cr)'!$C:$FB,8)</f>
        <v>925.85</v>
      </c>
      <c r="D14" s="75">
        <f>VLOOKUP($A14,'Data Vlaue (Cr)'!$C:$FB,4)</f>
        <v>931.2</v>
      </c>
      <c r="E14" s="75">
        <f>VLOOKUP($A14,'Data Vlaue (Cr)'!$C:$FB,5)</f>
        <v>934.65</v>
      </c>
      <c r="F14" s="75">
        <f t="shared" si="0"/>
        <v>5.3500000000000227</v>
      </c>
      <c r="G14" s="75">
        <f t="shared" si="1"/>
        <v>-0.37048969072164212</v>
      </c>
      <c r="H14" s="75">
        <f>VLOOKUP($A14,'Data Vlaue (Cr)'!$C:$FB,99)</f>
        <v>2234</v>
      </c>
      <c r="I14" s="75">
        <f>VLOOKUP($A14,'Data Vlaue (Cr)'!$C:$FB,100)</f>
        <v>2231</v>
      </c>
      <c r="J14" s="75">
        <f t="shared" si="2"/>
        <v>3</v>
      </c>
      <c r="K14" s="75">
        <f t="shared" si="3"/>
        <v>0.13428827215756492</v>
      </c>
      <c r="L14" s="75">
        <f>VLOOKUP($A14,'Data Vlaue (Cr)'!$C:$FB,67)</f>
        <v>673</v>
      </c>
      <c r="M14" s="75">
        <f>VLOOKUP($A14,'Data Vlaue (Cr)'!$C:$FB,68)</f>
        <v>662</v>
      </c>
      <c r="N14" s="75">
        <f t="shared" si="4"/>
        <v>11</v>
      </c>
      <c r="O14" s="75">
        <f>N14/L14*100</f>
        <v>1.6344725111441309</v>
      </c>
      <c r="P14" s="75">
        <f>VLOOKUP($A14,'Data Vlaue (Cr)'!$C:$FB,119)</f>
        <v>0.6</v>
      </c>
      <c r="Q14" s="75">
        <f>VLOOKUP($A14,'Data Vlaue (Cr)'!$C:$FB,122)*100</f>
        <v>-3.2300000000000004</v>
      </c>
      <c r="R14" s="75">
        <f>VLOOKUP($A14,'Data Vlaue (Cr)'!$C:$FB,125)</f>
        <v>0.32</v>
      </c>
      <c r="S14" s="75">
        <f>VLOOKUP($A14,'Data Vlaue (Cr)'!$C:$FB,128)*100</f>
        <v>14.29</v>
      </c>
    </row>
    <row r="15" spans="1:19" x14ac:dyDescent="0.25">
      <c r="A15" s="96" t="str">
        <f>'Data Vlaue (Cr)'!C6</f>
        <v>ADANIENT</v>
      </c>
      <c r="B15" s="75">
        <f>VLOOKUP($A15,'Data Vlaue (Cr)'!$C:$FB,2)</f>
        <v>300</v>
      </c>
      <c r="C15" s="75">
        <f>VLOOKUP($A15,'Data Vlaue (Cr)'!$C:$FB,8)</f>
        <v>2550.9</v>
      </c>
      <c r="D15" s="75">
        <f>VLOOKUP($A15,'Data Vlaue (Cr)'!$C:$FB,4)</f>
        <v>2564.6999999999998</v>
      </c>
      <c r="E15" s="75">
        <f>VLOOKUP($A15,'Data Vlaue (Cr)'!$C:$FB,5)</f>
        <v>2557.9</v>
      </c>
      <c r="F15" s="75">
        <f t="shared" si="0"/>
        <v>13.799999999999727</v>
      </c>
      <c r="G15" s="75">
        <f t="shared" si="1"/>
        <v>0.26513822279407839</v>
      </c>
      <c r="H15" s="75">
        <f>VLOOKUP($A15,'Data Vlaue (Cr)'!$C:$FB,99)</f>
        <v>6970</v>
      </c>
      <c r="I15" s="75">
        <f>VLOOKUP($A15,'Data Vlaue (Cr)'!$C:$FB,100)</f>
        <v>6941</v>
      </c>
      <c r="J15" s="75">
        <f t="shared" si="2"/>
        <v>29</v>
      </c>
      <c r="K15" s="75">
        <f t="shared" si="3"/>
        <v>0.41606886657101866</v>
      </c>
      <c r="L15" s="75">
        <f>VLOOKUP($A15,'Data Vlaue (Cr)'!$C:$FB,67)</f>
        <v>2942</v>
      </c>
      <c r="M15" s="75">
        <f>VLOOKUP($A15,'Data Vlaue (Cr)'!$C:$FB,68)</f>
        <v>3178</v>
      </c>
      <c r="N15" s="75">
        <f t="shared" si="4"/>
        <v>-236</v>
      </c>
      <c r="O15" s="75">
        <f t="shared" si="5"/>
        <v>-8.0217539089055059</v>
      </c>
      <c r="P15" s="75">
        <f>VLOOKUP($A15,'Data Vlaue (Cr)'!$C:$FB,119)</f>
        <v>0.56999999999999995</v>
      </c>
      <c r="Q15" s="75">
        <f>VLOOKUP($A15,'Data Vlaue (Cr)'!$C:$FB,122)*100</f>
        <v>0</v>
      </c>
      <c r="R15" s="75">
        <f>VLOOKUP($A15,'Data Vlaue (Cr)'!$C:$FB,125)</f>
        <v>0.36</v>
      </c>
      <c r="S15" s="75">
        <f>VLOOKUP($A15,'Data Vlaue (Cr)'!$C:$FB,128)*100</f>
        <v>5.88</v>
      </c>
    </row>
    <row r="16" spans="1:19" x14ac:dyDescent="0.25">
      <c r="A16" s="96" t="str">
        <f>'Data Vlaue (Cr)'!C7</f>
        <v>ADANIGREEN</v>
      </c>
      <c r="B16" s="75">
        <f>VLOOKUP($A16,'Data Vlaue (Cr)'!$C:$FB,2)</f>
        <v>600</v>
      </c>
      <c r="C16" s="75">
        <f>VLOOKUP($A16,'Data Vlaue (Cr)'!$C:$FB,8)</f>
        <v>1064.3</v>
      </c>
      <c r="D16" s="75">
        <f>VLOOKUP($A16,'Data Vlaue (Cr)'!$C:$FB,4)</f>
        <v>1070.2</v>
      </c>
      <c r="E16" s="75">
        <f>VLOOKUP($A16,'Data Vlaue (Cr)'!$C:$FB,5)</f>
        <v>1056.5999999999999</v>
      </c>
      <c r="F16" s="75">
        <f t="shared" si="0"/>
        <v>5.9000000000000909</v>
      </c>
      <c r="G16" s="75">
        <f t="shared" si="1"/>
        <v>1.2707905064474057</v>
      </c>
      <c r="H16" s="75">
        <f>VLOOKUP($A16,'Data Vlaue (Cr)'!$C:$FB,99)</f>
        <v>3892</v>
      </c>
      <c r="I16" s="75">
        <f>VLOOKUP($A16,'Data Vlaue (Cr)'!$C:$FB,100)</f>
        <v>3893</v>
      </c>
      <c r="J16" s="75">
        <f t="shared" si="2"/>
        <v>-1</v>
      </c>
      <c r="K16" s="75">
        <f t="shared" si="3"/>
        <v>-2.5693730729701953E-2</v>
      </c>
      <c r="L16" s="75">
        <f>VLOOKUP($A16,'Data Vlaue (Cr)'!$C:$FB,67)</f>
        <v>1886</v>
      </c>
      <c r="M16" s="75">
        <f>VLOOKUP($A16,'Data Vlaue (Cr)'!$C:$FB,68)</f>
        <v>1281</v>
      </c>
      <c r="N16" s="75">
        <f t="shared" si="4"/>
        <v>605</v>
      </c>
      <c r="O16" s="75">
        <f t="shared" si="5"/>
        <v>32.078472958642628</v>
      </c>
      <c r="P16" s="75">
        <f>VLOOKUP($A16,'Data Vlaue (Cr)'!$C:$FB,119)</f>
        <v>0.51</v>
      </c>
      <c r="Q16" s="75">
        <f>VLOOKUP($A16,'Data Vlaue (Cr)'!$C:$FB,122)*100</f>
        <v>4.08</v>
      </c>
      <c r="R16" s="75">
        <f>VLOOKUP($A16,'Data Vlaue (Cr)'!$C:$FB,125)</f>
        <v>0.31</v>
      </c>
      <c r="S16" s="75">
        <f>VLOOKUP($A16,'Data Vlaue (Cr)'!$C:$FB,128)*100</f>
        <v>-3.1300000000000003</v>
      </c>
    </row>
    <row r="17" spans="1:19" x14ac:dyDescent="0.25">
      <c r="A17" s="96" t="str">
        <f>'Data Vlaue (Cr)'!C8</f>
        <v>ADANIPORTS</v>
      </c>
      <c r="B17" s="75">
        <f>VLOOKUP($A17,'Data Vlaue (Cr)'!$C:$FB,2)</f>
        <v>475</v>
      </c>
      <c r="C17" s="75">
        <f>VLOOKUP($A17,'Data Vlaue (Cr)'!$C:$FB,8)</f>
        <v>1409.4</v>
      </c>
      <c r="D17" s="75">
        <f>VLOOKUP($A17,'Data Vlaue (Cr)'!$C:$FB,4)</f>
        <v>1417.3</v>
      </c>
      <c r="E17" s="75">
        <f>VLOOKUP($A17,'Data Vlaue (Cr)'!$C:$FB,5)</f>
        <v>1403.9</v>
      </c>
      <c r="F17" s="75">
        <f t="shared" si="0"/>
        <v>7.8999999999998636</v>
      </c>
      <c r="G17" s="75">
        <f t="shared" si="1"/>
        <v>0.94545967685033971</v>
      </c>
      <c r="H17" s="75">
        <f>VLOOKUP($A17,'Data Vlaue (Cr)'!$C:$FB,99)</f>
        <v>4943</v>
      </c>
      <c r="I17" s="75">
        <f>VLOOKUP($A17,'Data Vlaue (Cr)'!$C:$FB,100)</f>
        <v>4936</v>
      </c>
      <c r="J17" s="75">
        <f t="shared" si="2"/>
        <v>7</v>
      </c>
      <c r="K17" s="75">
        <f t="shared" si="3"/>
        <v>0.14161440420797086</v>
      </c>
      <c r="L17" s="75">
        <f>VLOOKUP($A17,'Data Vlaue (Cr)'!$C:$FB,67)</f>
        <v>2821</v>
      </c>
      <c r="M17" s="75">
        <f>VLOOKUP($A17,'Data Vlaue (Cr)'!$C:$FB,68)</f>
        <v>1378</v>
      </c>
      <c r="N17" s="75">
        <f t="shared" si="4"/>
        <v>1443</v>
      </c>
      <c r="O17" s="75">
        <f t="shared" si="5"/>
        <v>51.152073732718897</v>
      </c>
      <c r="P17" s="75">
        <f>VLOOKUP($A17,'Data Vlaue (Cr)'!$C:$FB,119)</f>
        <v>0.59</v>
      </c>
      <c r="Q17" s="75">
        <f>VLOOKUP($A17,'Data Vlaue (Cr)'!$C:$FB,122)*100</f>
        <v>0</v>
      </c>
      <c r="R17" s="75">
        <f>VLOOKUP($A17,'Data Vlaue (Cr)'!$C:$FB,125)</f>
        <v>0.33</v>
      </c>
      <c r="S17" s="75">
        <f>VLOOKUP($A17,'Data Vlaue (Cr)'!$C:$FB,128)*100</f>
        <v>-21.43</v>
      </c>
    </row>
    <row r="18" spans="1:19" x14ac:dyDescent="0.25">
      <c r="A18" s="96" t="str">
        <f>'Data Vlaue (Cr)'!C9</f>
        <v>ALKEM</v>
      </c>
      <c r="B18" s="75">
        <f>VLOOKUP($A18,'Data Vlaue (Cr)'!$C:$FB,2)</f>
        <v>125</v>
      </c>
      <c r="C18" s="75">
        <f>VLOOKUP($A18,'Data Vlaue (Cr)'!$C:$FB,8)</f>
        <v>5454.5</v>
      </c>
      <c r="D18" s="75">
        <f>VLOOKUP($A18,'Data Vlaue (Cr)'!$C:$FB,4)</f>
        <v>5483.5</v>
      </c>
      <c r="E18" s="75">
        <f>VLOOKUP($A18,'Data Vlaue (Cr)'!$C:$FB,5)</f>
        <v>5512.5</v>
      </c>
      <c r="F18" s="75">
        <f t="shared" si="0"/>
        <v>29</v>
      </c>
      <c r="G18" s="75">
        <f t="shared" si="1"/>
        <v>-0.52885930518829216</v>
      </c>
      <c r="H18" s="75">
        <f>VLOOKUP($A18,'Data Vlaue (Cr)'!$C:$FB,99)</f>
        <v>1025</v>
      </c>
      <c r="I18" s="75">
        <f>VLOOKUP($A18,'Data Vlaue (Cr)'!$C:$FB,100)</f>
        <v>1012</v>
      </c>
      <c r="J18" s="75">
        <f t="shared" si="2"/>
        <v>13</v>
      </c>
      <c r="K18" s="75">
        <f t="shared" si="3"/>
        <v>1.2682926829268293</v>
      </c>
      <c r="L18" s="75">
        <f>VLOOKUP($A18,'Data Vlaue (Cr)'!$C:$FB,67)</f>
        <v>280</v>
      </c>
      <c r="M18" s="75">
        <f>VLOOKUP($A18,'Data Vlaue (Cr)'!$C:$FB,68)</f>
        <v>226</v>
      </c>
      <c r="N18" s="75">
        <f t="shared" si="4"/>
        <v>54</v>
      </c>
      <c r="O18" s="75">
        <f t="shared" si="5"/>
        <v>19.285714285714288</v>
      </c>
      <c r="P18" s="75">
        <f>VLOOKUP($A18,'Data Vlaue (Cr)'!$C:$FB,119)</f>
        <v>0.6</v>
      </c>
      <c r="Q18" s="75">
        <f>VLOOKUP($A18,'Data Vlaue (Cr)'!$C:$FB,122)*100</f>
        <v>0</v>
      </c>
      <c r="R18" s="75">
        <f>VLOOKUP($A18,'Data Vlaue (Cr)'!$C:$FB,125)</f>
        <v>0.28000000000000003</v>
      </c>
      <c r="S18" s="75">
        <f>VLOOKUP($A18,'Data Vlaue (Cr)'!$C:$FB,128)*100</f>
        <v>7.6899999999999995</v>
      </c>
    </row>
    <row r="19" spans="1:19" x14ac:dyDescent="0.25">
      <c r="A19" s="96" t="str">
        <f>'Data Vlaue (Cr)'!C10</f>
        <v>AMBER</v>
      </c>
      <c r="B19" s="75">
        <f>VLOOKUP($A19,'Data Vlaue (Cr)'!$C:$FB,2)</f>
        <v>100</v>
      </c>
      <c r="C19" s="75">
        <f>VLOOKUP($A19,'Data Vlaue (Cr)'!$C:$FB,8)</f>
        <v>8284.5</v>
      </c>
      <c r="D19" s="75">
        <f>VLOOKUP($A19,'Data Vlaue (Cr)'!$C:$FB,4)</f>
        <v>8245.5</v>
      </c>
      <c r="E19" s="75">
        <f>VLOOKUP($A19,'Data Vlaue (Cr)'!$C:$FB,5)</f>
        <v>8138</v>
      </c>
      <c r="F19" s="75">
        <f t="shared" si="0"/>
        <v>-39</v>
      </c>
      <c r="G19" s="75">
        <f t="shared" si="1"/>
        <v>1.3037414347219696</v>
      </c>
      <c r="H19" s="75">
        <f>VLOOKUP($A19,'Data Vlaue (Cr)'!$C:$FB,99)</f>
        <v>1173</v>
      </c>
      <c r="I19" s="75">
        <f>VLOOKUP($A19,'Data Vlaue (Cr)'!$C:$FB,100)</f>
        <v>1253</v>
      </c>
      <c r="J19" s="75">
        <f t="shared" si="2"/>
        <v>-80</v>
      </c>
      <c r="K19" s="75">
        <f t="shared" si="3"/>
        <v>-6.8201193520886623</v>
      </c>
      <c r="L19" s="75">
        <f>VLOOKUP($A19,'Data Vlaue (Cr)'!$C:$FB,67)</f>
        <v>1094</v>
      </c>
      <c r="M19" s="75">
        <f>VLOOKUP($A19,'Data Vlaue (Cr)'!$C:$FB,68)</f>
        <v>2139</v>
      </c>
      <c r="N19" s="75">
        <f t="shared" si="4"/>
        <v>-1045</v>
      </c>
      <c r="O19" s="75">
        <f t="shared" si="5"/>
        <v>-95.521023765996347</v>
      </c>
      <c r="P19" s="75">
        <f>VLOOKUP($A19,'Data Vlaue (Cr)'!$C:$FB,119)</f>
        <v>0.57999999999999996</v>
      </c>
      <c r="Q19" s="75">
        <f>VLOOKUP($A19,'Data Vlaue (Cr)'!$C:$FB,122)*100</f>
        <v>13.73</v>
      </c>
      <c r="R19" s="75">
        <f>VLOOKUP($A19,'Data Vlaue (Cr)'!$C:$FB,125)</f>
        <v>0.25</v>
      </c>
      <c r="S19" s="75">
        <f>VLOOKUP($A19,'Data Vlaue (Cr)'!$C:$FB,128)*100</f>
        <v>-26.47</v>
      </c>
    </row>
    <row r="20" spans="1:19" x14ac:dyDescent="0.25">
      <c r="A20" s="96" t="str">
        <f>'Data Vlaue (Cr)'!C11</f>
        <v>AMBUJACEM</v>
      </c>
      <c r="B20" s="75">
        <f>VLOOKUP($A20,'Data Vlaue (Cr)'!$C:$FB,2)</f>
        <v>1050</v>
      </c>
      <c r="C20" s="75">
        <f>VLOOKUP($A20,'Data Vlaue (Cr)'!$C:$FB,8)</f>
        <v>569.25</v>
      </c>
      <c r="D20" s="75">
        <f>VLOOKUP($A20,'Data Vlaue (Cr)'!$C:$FB,4)</f>
        <v>572.04999999999995</v>
      </c>
      <c r="E20" s="75">
        <f>VLOOKUP($A20,'Data Vlaue (Cr)'!$C:$FB,5)</f>
        <v>568.1</v>
      </c>
      <c r="F20" s="75">
        <f t="shared" si="0"/>
        <v>2.7999999999999545</v>
      </c>
      <c r="G20" s="75">
        <f t="shared" si="1"/>
        <v>0.69049908224804335</v>
      </c>
      <c r="H20" s="75">
        <f>VLOOKUP($A20,'Data Vlaue (Cr)'!$C:$FB,99)</f>
        <v>3478</v>
      </c>
      <c r="I20" s="75">
        <f>VLOOKUP($A20,'Data Vlaue (Cr)'!$C:$FB,100)</f>
        <v>3510</v>
      </c>
      <c r="J20" s="75">
        <f t="shared" si="2"/>
        <v>-32</v>
      </c>
      <c r="K20" s="75">
        <f t="shared" si="3"/>
        <v>-0.92006900517538814</v>
      </c>
      <c r="L20" s="75">
        <f>VLOOKUP($A20,'Data Vlaue (Cr)'!$C:$FB,67)</f>
        <v>599</v>
      </c>
      <c r="M20" s="75">
        <f>VLOOKUP($A20,'Data Vlaue (Cr)'!$C:$FB,68)</f>
        <v>406</v>
      </c>
      <c r="N20" s="75">
        <f t="shared" si="4"/>
        <v>193</v>
      </c>
      <c r="O20" s="75">
        <f t="shared" si="5"/>
        <v>32.220367278797994</v>
      </c>
      <c r="P20" s="75">
        <f>VLOOKUP($A20,'Data Vlaue (Cr)'!$C:$FB,119)</f>
        <v>0.69</v>
      </c>
      <c r="Q20" s="75">
        <f>VLOOKUP($A20,'Data Vlaue (Cr)'!$C:$FB,122)*100</f>
        <v>-4.17</v>
      </c>
      <c r="R20" s="75">
        <f>VLOOKUP($A20,'Data Vlaue (Cr)'!$C:$FB,125)</f>
        <v>0.41</v>
      </c>
      <c r="S20" s="75">
        <f>VLOOKUP($A20,'Data Vlaue (Cr)'!$C:$FB,128)*100</f>
        <v>10.81</v>
      </c>
    </row>
    <row r="21" spans="1:19" x14ac:dyDescent="0.25">
      <c r="A21" s="96" t="str">
        <f>'Data Vlaue (Cr)'!C12</f>
        <v>ANGELONE</v>
      </c>
      <c r="B21" s="75">
        <f>VLOOKUP($A21,'Data Vlaue (Cr)'!$C:$FB,2)</f>
        <v>250</v>
      </c>
      <c r="C21" s="75">
        <f>VLOOKUP($A21,'Data Vlaue (Cr)'!$C:$FB,8)</f>
        <v>2303.3000000000002</v>
      </c>
      <c r="D21" s="75">
        <f>VLOOKUP($A21,'Data Vlaue (Cr)'!$C:$FB,4)</f>
        <v>2312.1999999999998</v>
      </c>
      <c r="E21" s="75">
        <f>VLOOKUP($A21,'Data Vlaue (Cr)'!$C:$FB,5)</f>
        <v>2273.1999999999998</v>
      </c>
      <c r="F21" s="75">
        <f t="shared" si="0"/>
        <v>8.8999999999996362</v>
      </c>
      <c r="G21" s="75">
        <f t="shared" si="1"/>
        <v>1.6867053023094891</v>
      </c>
      <c r="H21" s="75">
        <f>VLOOKUP($A21,'Data Vlaue (Cr)'!$C:$FB,99)</f>
        <v>1729</v>
      </c>
      <c r="I21" s="75">
        <f>VLOOKUP($A21,'Data Vlaue (Cr)'!$C:$FB,100)</f>
        <v>1791</v>
      </c>
      <c r="J21" s="75">
        <f t="shared" si="2"/>
        <v>-62</v>
      </c>
      <c r="K21" s="75">
        <f t="shared" si="3"/>
        <v>-3.5858877964141125</v>
      </c>
      <c r="L21" s="75">
        <f>VLOOKUP($A21,'Data Vlaue (Cr)'!$C:$FB,67)</f>
        <v>2167</v>
      </c>
      <c r="M21" s="75">
        <f>VLOOKUP($A21,'Data Vlaue (Cr)'!$C:$FB,68)</f>
        <v>2015</v>
      </c>
      <c r="N21" s="75">
        <f t="shared" si="4"/>
        <v>152</v>
      </c>
      <c r="O21" s="75">
        <f t="shared" si="5"/>
        <v>7.014305491462852</v>
      </c>
      <c r="P21" s="75">
        <f>VLOOKUP($A21,'Data Vlaue (Cr)'!$C:$FB,119)</f>
        <v>0.77</v>
      </c>
      <c r="Q21" s="75">
        <f>VLOOKUP($A21,'Data Vlaue (Cr)'!$C:$FB,122)*100</f>
        <v>8.4500000000000011</v>
      </c>
      <c r="R21" s="75">
        <f>VLOOKUP($A21,'Data Vlaue (Cr)'!$C:$FB,125)</f>
        <v>0.41</v>
      </c>
      <c r="S21" s="75">
        <f>VLOOKUP($A21,'Data Vlaue (Cr)'!$C:$FB,128)*100</f>
        <v>17.14</v>
      </c>
    </row>
    <row r="22" spans="1:19" x14ac:dyDescent="0.25">
      <c r="A22" s="96" t="str">
        <f>'Data Vlaue (Cr)'!C13</f>
        <v>APLAPOLLO</v>
      </c>
      <c r="B22" s="75">
        <f>VLOOKUP($A22,'Data Vlaue (Cr)'!$C:$FB,2)</f>
        <v>350</v>
      </c>
      <c r="C22" s="75">
        <f>VLOOKUP($A22,'Data Vlaue (Cr)'!$C:$FB,8)</f>
        <v>1738.6</v>
      </c>
      <c r="D22" s="75">
        <f>VLOOKUP($A22,'Data Vlaue (Cr)'!$C:$FB,4)</f>
        <v>1746.2</v>
      </c>
      <c r="E22" s="75">
        <f>VLOOKUP($A22,'Data Vlaue (Cr)'!$C:$FB,5)</f>
        <v>1745.4</v>
      </c>
      <c r="F22" s="75">
        <f t="shared" si="0"/>
        <v>7.6000000000001364</v>
      </c>
      <c r="G22" s="75">
        <f t="shared" si="1"/>
        <v>4.5813767036992012E-2</v>
      </c>
      <c r="H22" s="75">
        <f>VLOOKUP($A22,'Data Vlaue (Cr)'!$C:$FB,99)</f>
        <v>1965</v>
      </c>
      <c r="I22" s="75">
        <f>VLOOKUP($A22,'Data Vlaue (Cr)'!$C:$FB,100)</f>
        <v>1965</v>
      </c>
      <c r="J22" s="75">
        <f t="shared" si="2"/>
        <v>0</v>
      </c>
      <c r="K22" s="75">
        <f t="shared" si="3"/>
        <v>0</v>
      </c>
      <c r="L22" s="75">
        <f>VLOOKUP($A22,'Data Vlaue (Cr)'!$C:$FB,67)</f>
        <v>165</v>
      </c>
      <c r="M22" s="75">
        <f>VLOOKUP($A22,'Data Vlaue (Cr)'!$C:$FB,68)</f>
        <v>289</v>
      </c>
      <c r="N22" s="75">
        <f t="shared" si="4"/>
        <v>-124</v>
      </c>
      <c r="O22" s="75">
        <f t="shared" si="5"/>
        <v>-75.151515151515142</v>
      </c>
      <c r="P22" s="75">
        <f>VLOOKUP($A22,'Data Vlaue (Cr)'!$C:$FB,119)</f>
        <v>0.57999999999999996</v>
      </c>
      <c r="Q22" s="75">
        <f>VLOOKUP($A22,'Data Vlaue (Cr)'!$C:$FB,122)*100</f>
        <v>1.7500000000000002</v>
      </c>
      <c r="R22" s="75">
        <f>VLOOKUP($A22,'Data Vlaue (Cr)'!$C:$FB,125)</f>
        <v>0.28999999999999998</v>
      </c>
      <c r="S22" s="75">
        <f>VLOOKUP($A22,'Data Vlaue (Cr)'!$C:$FB,128)*100</f>
        <v>26.090000000000003</v>
      </c>
    </row>
    <row r="23" spans="1:19" x14ac:dyDescent="0.25">
      <c r="A23" s="96" t="str">
        <f>'Data Vlaue (Cr)'!C14</f>
        <v>APOLLOHOSP</v>
      </c>
      <c r="B23" s="75">
        <f>VLOOKUP($A23,'Data Vlaue (Cr)'!$C:$FB,2)</f>
        <v>125</v>
      </c>
      <c r="C23" s="75">
        <f>VLOOKUP($A23,'Data Vlaue (Cr)'!$C:$FB,8)</f>
        <v>7681</v>
      </c>
      <c r="D23" s="75">
        <f>VLOOKUP($A23,'Data Vlaue (Cr)'!$C:$FB,4)</f>
        <v>7721</v>
      </c>
      <c r="E23" s="75">
        <f>VLOOKUP($A23,'Data Vlaue (Cr)'!$C:$FB,5)</f>
        <v>7734</v>
      </c>
      <c r="F23" s="75">
        <f t="shared" si="0"/>
        <v>40</v>
      </c>
      <c r="G23" s="75">
        <f t="shared" si="1"/>
        <v>-0.16837197254241679</v>
      </c>
      <c r="H23" s="75">
        <f>VLOOKUP($A23,'Data Vlaue (Cr)'!$C:$FB,99)</f>
        <v>3096</v>
      </c>
      <c r="I23" s="75">
        <f>VLOOKUP($A23,'Data Vlaue (Cr)'!$C:$FB,100)</f>
        <v>3051</v>
      </c>
      <c r="J23" s="75">
        <f t="shared" si="2"/>
        <v>45</v>
      </c>
      <c r="K23" s="75">
        <f t="shared" si="3"/>
        <v>1.4534883720930232</v>
      </c>
      <c r="L23" s="75">
        <f>VLOOKUP($A23,'Data Vlaue (Cr)'!$C:$FB,67)</f>
        <v>1306</v>
      </c>
      <c r="M23" s="75">
        <f>VLOOKUP($A23,'Data Vlaue (Cr)'!$C:$FB,68)</f>
        <v>1754</v>
      </c>
      <c r="N23" s="75">
        <f t="shared" si="4"/>
        <v>-448</v>
      </c>
      <c r="O23" s="75">
        <f t="shared" si="5"/>
        <v>-34.30321592649311</v>
      </c>
      <c r="P23" s="75">
        <f>VLOOKUP($A23,'Data Vlaue (Cr)'!$C:$FB,119)</f>
        <v>0.59</v>
      </c>
      <c r="Q23" s="75">
        <f>VLOOKUP($A23,'Data Vlaue (Cr)'!$C:$FB,122)*100</f>
        <v>-4.84</v>
      </c>
      <c r="R23" s="75">
        <f>VLOOKUP($A23,'Data Vlaue (Cr)'!$C:$FB,125)</f>
        <v>0.49</v>
      </c>
      <c r="S23" s="75">
        <f>VLOOKUP($A23,'Data Vlaue (Cr)'!$C:$FB,128)*100</f>
        <v>-12.5</v>
      </c>
    </row>
    <row r="24" spans="1:19" x14ac:dyDescent="0.25">
      <c r="A24" s="96" t="str">
        <f>'Data Vlaue (Cr)'!C15</f>
        <v>ASHOKLEY</v>
      </c>
      <c r="B24" s="75">
        <f>VLOOKUP($A24,'Data Vlaue (Cr)'!$C:$FB,2)</f>
        <v>5000</v>
      </c>
      <c r="C24" s="75">
        <f>VLOOKUP($A24,'Data Vlaue (Cr)'!$C:$FB,8)</f>
        <v>137.55000000000001</v>
      </c>
      <c r="D24" s="75">
        <f>VLOOKUP($A24,'Data Vlaue (Cr)'!$C:$FB,4)</f>
        <v>137.72</v>
      </c>
      <c r="E24" s="75">
        <f>VLOOKUP($A24,'Data Vlaue (Cr)'!$C:$FB,5)</f>
        <v>138.72999999999999</v>
      </c>
      <c r="F24" s="75">
        <f t="shared" si="0"/>
        <v>0.16999999999998749</v>
      </c>
      <c r="G24" s="75">
        <f t="shared" si="1"/>
        <v>-0.73337205925064697</v>
      </c>
      <c r="H24" s="75">
        <f>VLOOKUP($A24,'Data Vlaue (Cr)'!$C:$FB,99)</f>
        <v>3412</v>
      </c>
      <c r="I24" s="75">
        <f>VLOOKUP($A24,'Data Vlaue (Cr)'!$C:$FB,100)</f>
        <v>3268</v>
      </c>
      <c r="J24" s="75">
        <f t="shared" si="2"/>
        <v>144</v>
      </c>
      <c r="K24" s="75">
        <f t="shared" si="3"/>
        <v>4.2203985932004686</v>
      </c>
      <c r="L24" s="75">
        <f>VLOOKUP($A24,'Data Vlaue (Cr)'!$C:$FB,67)</f>
        <v>1009</v>
      </c>
      <c r="M24" s="75">
        <f>VLOOKUP($A24,'Data Vlaue (Cr)'!$C:$FB,68)</f>
        <v>1089</v>
      </c>
      <c r="N24" s="75">
        <f t="shared" si="4"/>
        <v>-80</v>
      </c>
      <c r="O24" s="75">
        <f t="shared" si="5"/>
        <v>-7.928642220019821</v>
      </c>
      <c r="P24" s="75">
        <f>VLOOKUP($A24,'Data Vlaue (Cr)'!$C:$FB,119)</f>
        <v>0.45</v>
      </c>
      <c r="Q24" s="75">
        <f>VLOOKUP($A24,'Data Vlaue (Cr)'!$C:$FB,122)*100</f>
        <v>0</v>
      </c>
      <c r="R24" s="75">
        <f>VLOOKUP($A24,'Data Vlaue (Cr)'!$C:$FB,125)</f>
        <v>0.47</v>
      </c>
      <c r="S24" s="75">
        <f>VLOOKUP($A24,'Data Vlaue (Cr)'!$C:$FB,128)*100</f>
        <v>80.77</v>
      </c>
    </row>
    <row r="25" spans="1:19" x14ac:dyDescent="0.25">
      <c r="A25" s="96" t="str">
        <f>'Data Vlaue (Cr)'!C16</f>
        <v>ASIANPAINT</v>
      </c>
      <c r="B25" s="75">
        <f>VLOOKUP($A25,'Data Vlaue (Cr)'!$C:$FB,2)</f>
        <v>250</v>
      </c>
      <c r="C25" s="75">
        <f>VLOOKUP($A25,'Data Vlaue (Cr)'!$C:$FB,8)</f>
        <v>2340.1999999999998</v>
      </c>
      <c r="D25" s="75">
        <f>VLOOKUP($A25,'Data Vlaue (Cr)'!$C:$FB,4)</f>
        <v>2351.1999999999998</v>
      </c>
      <c r="E25" s="75">
        <f>VLOOKUP($A25,'Data Vlaue (Cr)'!$C:$FB,5)</f>
        <v>2347.4</v>
      </c>
      <c r="F25" s="75">
        <f t="shared" si="0"/>
        <v>11</v>
      </c>
      <c r="G25" s="75">
        <f t="shared" si="1"/>
        <v>0.16161959850288055</v>
      </c>
      <c r="H25" s="75">
        <f>VLOOKUP($A25,'Data Vlaue (Cr)'!$C:$FB,99)</f>
        <v>5441</v>
      </c>
      <c r="I25" s="75">
        <f>VLOOKUP($A25,'Data Vlaue (Cr)'!$C:$FB,100)</f>
        <v>5482</v>
      </c>
      <c r="J25" s="75">
        <f t="shared" si="2"/>
        <v>-41</v>
      </c>
      <c r="K25" s="75">
        <f t="shared" si="3"/>
        <v>-0.75353795258224598</v>
      </c>
      <c r="L25" s="75">
        <f>VLOOKUP($A25,'Data Vlaue (Cr)'!$C:$FB,67)</f>
        <v>1839</v>
      </c>
      <c r="M25" s="75">
        <f>VLOOKUP($A25,'Data Vlaue (Cr)'!$C:$FB,68)</f>
        <v>1619</v>
      </c>
      <c r="N25" s="75">
        <f t="shared" si="4"/>
        <v>220</v>
      </c>
      <c r="O25" s="75">
        <f t="shared" si="5"/>
        <v>11.963023382272976</v>
      </c>
      <c r="P25" s="75">
        <f>VLOOKUP($A25,'Data Vlaue (Cr)'!$C:$FB,119)</f>
        <v>0.57999999999999996</v>
      </c>
      <c r="Q25" s="75">
        <f>VLOOKUP($A25,'Data Vlaue (Cr)'!$C:$FB,122)*100</f>
        <v>-1.69</v>
      </c>
      <c r="R25" s="75">
        <f>VLOOKUP($A25,'Data Vlaue (Cr)'!$C:$FB,125)</f>
        <v>0.33</v>
      </c>
      <c r="S25" s="75">
        <f>VLOOKUP($A25,'Data Vlaue (Cr)'!$C:$FB,128)*100</f>
        <v>-2.94</v>
      </c>
    </row>
    <row r="26" spans="1:19" x14ac:dyDescent="0.25">
      <c r="A26" s="96" t="str">
        <f>'Data Vlaue (Cr)'!C17</f>
        <v>ASTRAL</v>
      </c>
      <c r="B26" s="75">
        <f>VLOOKUP($A26,'Data Vlaue (Cr)'!$C:$FB,2)</f>
        <v>425</v>
      </c>
      <c r="C26" s="75">
        <f>VLOOKUP($A26,'Data Vlaue (Cr)'!$C:$FB,8)</f>
        <v>1427.1</v>
      </c>
      <c r="D26" s="75">
        <f>VLOOKUP($A26,'Data Vlaue (Cr)'!$C:$FB,4)</f>
        <v>1433</v>
      </c>
      <c r="E26" s="75">
        <f>VLOOKUP($A26,'Data Vlaue (Cr)'!$C:$FB,5)</f>
        <v>1409.6</v>
      </c>
      <c r="F26" s="75">
        <f t="shared" si="0"/>
        <v>5.9000000000000909</v>
      </c>
      <c r="G26" s="75">
        <f t="shared" si="1"/>
        <v>1.6329378925331535</v>
      </c>
      <c r="H26" s="75">
        <f>VLOOKUP($A26,'Data Vlaue (Cr)'!$C:$FB,99)</f>
        <v>1865</v>
      </c>
      <c r="I26" s="75">
        <f>VLOOKUP($A26,'Data Vlaue (Cr)'!$C:$FB,100)</f>
        <v>1823</v>
      </c>
      <c r="J26" s="75">
        <f t="shared" si="2"/>
        <v>42</v>
      </c>
      <c r="K26" s="75">
        <f t="shared" si="3"/>
        <v>2.2520107238605895</v>
      </c>
      <c r="L26" s="75">
        <f>VLOOKUP($A26,'Data Vlaue (Cr)'!$C:$FB,67)</f>
        <v>1282</v>
      </c>
      <c r="M26" s="75">
        <f>VLOOKUP($A26,'Data Vlaue (Cr)'!$C:$FB,68)</f>
        <v>645</v>
      </c>
      <c r="N26" s="75">
        <f t="shared" si="4"/>
        <v>637</v>
      </c>
      <c r="O26" s="75">
        <f t="shared" si="5"/>
        <v>49.68798751950078</v>
      </c>
      <c r="P26" s="75">
        <f>VLOOKUP($A26,'Data Vlaue (Cr)'!$C:$FB,119)</f>
        <v>0.47</v>
      </c>
      <c r="Q26" s="75">
        <f>VLOOKUP($A26,'Data Vlaue (Cr)'!$C:$FB,122)*100</f>
        <v>-2.08</v>
      </c>
      <c r="R26" s="75">
        <f>VLOOKUP($A26,'Data Vlaue (Cr)'!$C:$FB,125)</f>
        <v>0.33</v>
      </c>
      <c r="S26" s="75">
        <f>VLOOKUP($A26,'Data Vlaue (Cr)'!$C:$FB,128)*100</f>
        <v>-38.89</v>
      </c>
    </row>
    <row r="27" spans="1:19" x14ac:dyDescent="0.25">
      <c r="A27" s="96" t="str">
        <f>'Data Vlaue (Cr)'!C18</f>
        <v>AUBANK</v>
      </c>
      <c r="B27" s="75">
        <f>VLOOKUP($A27,'Data Vlaue (Cr)'!$C:$FB,2)</f>
        <v>1000</v>
      </c>
      <c r="C27" s="75">
        <f>VLOOKUP($A27,'Data Vlaue (Cr)'!$C:$FB,8)</f>
        <v>763.25</v>
      </c>
      <c r="D27" s="75">
        <f>VLOOKUP($A27,'Data Vlaue (Cr)'!$C:$FB,4)</f>
        <v>767.6</v>
      </c>
      <c r="E27" s="75">
        <f>VLOOKUP($A27,'Data Vlaue (Cr)'!$C:$FB,5)</f>
        <v>762.65</v>
      </c>
      <c r="F27" s="75">
        <f t="shared" si="0"/>
        <v>4.3500000000000227</v>
      </c>
      <c r="G27" s="75">
        <f t="shared" si="1"/>
        <v>0.64486711829078236</v>
      </c>
      <c r="H27" s="75">
        <f>VLOOKUP($A27,'Data Vlaue (Cr)'!$C:$FB,99)</f>
        <v>2517</v>
      </c>
      <c r="I27" s="75">
        <f>VLOOKUP($A27,'Data Vlaue (Cr)'!$C:$FB,100)</f>
        <v>2311</v>
      </c>
      <c r="J27" s="75">
        <f t="shared" si="2"/>
        <v>206</v>
      </c>
      <c r="K27" s="75">
        <f t="shared" si="3"/>
        <v>8.1843464441795781</v>
      </c>
      <c r="L27" s="75">
        <f>VLOOKUP($A27,'Data Vlaue (Cr)'!$C:$FB,67)</f>
        <v>1422</v>
      </c>
      <c r="M27" s="75">
        <f>VLOOKUP($A27,'Data Vlaue (Cr)'!$C:$FB,68)</f>
        <v>958</v>
      </c>
      <c r="N27" s="75">
        <f t="shared" si="4"/>
        <v>464</v>
      </c>
      <c r="O27" s="75">
        <f t="shared" si="5"/>
        <v>32.63009845288326</v>
      </c>
      <c r="P27" s="75">
        <f>VLOOKUP($A27,'Data Vlaue (Cr)'!$C:$FB,119)</f>
        <v>0.56999999999999995</v>
      </c>
      <c r="Q27" s="75">
        <f>VLOOKUP($A27,'Data Vlaue (Cr)'!$C:$FB,122)*100</f>
        <v>-24</v>
      </c>
      <c r="R27" s="75">
        <f>VLOOKUP($A27,'Data Vlaue (Cr)'!$C:$FB,125)</f>
        <v>0.3</v>
      </c>
      <c r="S27" s="75">
        <f>VLOOKUP($A27,'Data Vlaue (Cr)'!$C:$FB,128)*100</f>
        <v>-31.819999999999997</v>
      </c>
    </row>
    <row r="28" spans="1:19" x14ac:dyDescent="0.25">
      <c r="A28" s="96" t="str">
        <f>'Data Vlaue (Cr)'!C19</f>
        <v>AUROPHARMA</v>
      </c>
      <c r="B28" s="75">
        <f>VLOOKUP($A28,'Data Vlaue (Cr)'!$C:$FB,2)</f>
        <v>550</v>
      </c>
      <c r="C28" s="75">
        <f>VLOOKUP($A28,'Data Vlaue (Cr)'!$C:$FB,8)</f>
        <v>1130.3</v>
      </c>
      <c r="D28" s="75">
        <f>VLOOKUP($A28,'Data Vlaue (Cr)'!$C:$FB,4)</f>
        <v>1136.5</v>
      </c>
      <c r="E28" s="75">
        <f>VLOOKUP($A28,'Data Vlaue (Cr)'!$C:$FB,5)</f>
        <v>1126.9000000000001</v>
      </c>
      <c r="F28" s="75">
        <f t="shared" si="0"/>
        <v>6.2000000000000455</v>
      </c>
      <c r="G28" s="75">
        <f t="shared" si="1"/>
        <v>0.84469863616365226</v>
      </c>
      <c r="H28" s="75">
        <f>VLOOKUP($A28,'Data Vlaue (Cr)'!$C:$FB,99)</f>
        <v>3065</v>
      </c>
      <c r="I28" s="75">
        <f>VLOOKUP($A28,'Data Vlaue (Cr)'!$C:$FB,100)</f>
        <v>2980</v>
      </c>
      <c r="J28" s="75">
        <f t="shared" si="2"/>
        <v>85</v>
      </c>
      <c r="K28" s="75">
        <f t="shared" si="3"/>
        <v>2.7732463295269167</v>
      </c>
      <c r="L28" s="75">
        <f>VLOOKUP($A28,'Data Vlaue (Cr)'!$C:$FB,67)</f>
        <v>1975</v>
      </c>
      <c r="M28" s="75">
        <f>VLOOKUP($A28,'Data Vlaue (Cr)'!$C:$FB,68)</f>
        <v>4863</v>
      </c>
      <c r="N28" s="75">
        <f t="shared" si="4"/>
        <v>-2888</v>
      </c>
      <c r="O28" s="75">
        <f t="shared" si="5"/>
        <v>-146.22784810126583</v>
      </c>
      <c r="P28" s="75">
        <f>VLOOKUP($A28,'Data Vlaue (Cr)'!$C:$FB,119)</f>
        <v>0.76</v>
      </c>
      <c r="Q28" s="75">
        <f>VLOOKUP($A28,'Data Vlaue (Cr)'!$C:$FB,122)*100</f>
        <v>-6.17</v>
      </c>
      <c r="R28" s="75">
        <f>VLOOKUP($A28,'Data Vlaue (Cr)'!$C:$FB,125)</f>
        <v>0.45</v>
      </c>
      <c r="S28" s="75">
        <f>VLOOKUP($A28,'Data Vlaue (Cr)'!$C:$FB,128)*100</f>
        <v>-6.25</v>
      </c>
    </row>
    <row r="29" spans="1:19" x14ac:dyDescent="0.25">
      <c r="A29" s="96" t="str">
        <f>'Data Vlaue (Cr)'!C20</f>
        <v>AXISBANK</v>
      </c>
      <c r="B29" s="75">
        <f>VLOOKUP($A29,'Data Vlaue (Cr)'!$C:$FB,2)</f>
        <v>625</v>
      </c>
      <c r="C29" s="75">
        <f>VLOOKUP($A29,'Data Vlaue (Cr)'!$C:$FB,8)</f>
        <v>1180.4000000000001</v>
      </c>
      <c r="D29" s="75">
        <f>VLOOKUP($A29,'Data Vlaue (Cr)'!$C:$FB,4)</f>
        <v>1183.8</v>
      </c>
      <c r="E29" s="75">
        <f>VLOOKUP($A29,'Data Vlaue (Cr)'!$C:$FB,5)</f>
        <v>1173.0999999999999</v>
      </c>
      <c r="F29" s="75">
        <f t="shared" si="0"/>
        <v>3.3999999999998636</v>
      </c>
      <c r="G29" s="75">
        <f t="shared" si="1"/>
        <v>0.90386889677310733</v>
      </c>
      <c r="H29" s="75">
        <f>VLOOKUP($A29,'Data Vlaue (Cr)'!$C:$FB,99)</f>
        <v>14645</v>
      </c>
      <c r="I29" s="75">
        <f>VLOOKUP($A29,'Data Vlaue (Cr)'!$C:$FB,100)</f>
        <v>14853</v>
      </c>
      <c r="J29" s="75">
        <f t="shared" si="2"/>
        <v>-208</v>
      </c>
      <c r="K29" s="75">
        <f t="shared" si="3"/>
        <v>-1.4202799590303858</v>
      </c>
      <c r="L29" s="75">
        <f>VLOOKUP($A29,'Data Vlaue (Cr)'!$C:$FB,67)</f>
        <v>7011</v>
      </c>
      <c r="M29" s="75">
        <f>VLOOKUP($A29,'Data Vlaue (Cr)'!$C:$FB,68)</f>
        <v>7722</v>
      </c>
      <c r="N29" s="75">
        <f t="shared" si="4"/>
        <v>-711</v>
      </c>
      <c r="O29" s="75">
        <f t="shared" si="5"/>
        <v>-10.141206675224646</v>
      </c>
      <c r="P29" s="75">
        <f>VLOOKUP($A29,'Data Vlaue (Cr)'!$C:$FB,119)</f>
        <v>0.45</v>
      </c>
      <c r="Q29" s="75">
        <f>VLOOKUP($A29,'Data Vlaue (Cr)'!$C:$FB,122)*100</f>
        <v>9.76</v>
      </c>
      <c r="R29" s="75">
        <f>VLOOKUP($A29,'Data Vlaue (Cr)'!$C:$FB,125)</f>
        <v>0.59</v>
      </c>
      <c r="S29" s="75">
        <f>VLOOKUP($A29,'Data Vlaue (Cr)'!$C:$FB,128)*100</f>
        <v>11.32</v>
      </c>
    </row>
    <row r="30" spans="1:19" x14ac:dyDescent="0.25">
      <c r="A30" s="96" t="str">
        <f>'Data Vlaue (Cr)'!C21</f>
        <v>BAJAJ-AUTO</v>
      </c>
      <c r="B30" s="75">
        <f>VLOOKUP($A30,'Data Vlaue (Cr)'!$C:$FB,2)</f>
        <v>75</v>
      </c>
      <c r="C30" s="75">
        <f>VLOOKUP($A30,'Data Vlaue (Cr)'!$C:$FB,8)</f>
        <v>8946.5</v>
      </c>
      <c r="D30" s="75">
        <f>VLOOKUP($A30,'Data Vlaue (Cr)'!$C:$FB,4)</f>
        <v>8993.5</v>
      </c>
      <c r="E30" s="75">
        <f>VLOOKUP($A30,'Data Vlaue (Cr)'!$C:$FB,5)</f>
        <v>8851</v>
      </c>
      <c r="F30" s="75">
        <f t="shared" si="0"/>
        <v>47</v>
      </c>
      <c r="G30" s="75">
        <f t="shared" si="1"/>
        <v>1.5844776783232335</v>
      </c>
      <c r="H30" s="75">
        <f>VLOOKUP($A30,'Data Vlaue (Cr)'!$C:$FB,99)</f>
        <v>5169</v>
      </c>
      <c r="I30" s="75">
        <f>VLOOKUP($A30,'Data Vlaue (Cr)'!$C:$FB,100)</f>
        <v>5107</v>
      </c>
      <c r="J30" s="75">
        <f t="shared" si="2"/>
        <v>62</v>
      </c>
      <c r="K30" s="75">
        <f t="shared" si="3"/>
        <v>1.1994583091507063</v>
      </c>
      <c r="L30" s="75">
        <f>VLOOKUP($A30,'Data Vlaue (Cr)'!$C:$FB,67)</f>
        <v>4783</v>
      </c>
      <c r="M30" s="75">
        <f>VLOOKUP($A30,'Data Vlaue (Cr)'!$C:$FB,68)</f>
        <v>2316</v>
      </c>
      <c r="N30" s="75">
        <f t="shared" si="4"/>
        <v>2467</v>
      </c>
      <c r="O30" s="75">
        <f t="shared" si="5"/>
        <v>51.578507213046208</v>
      </c>
      <c r="P30" s="75">
        <f>VLOOKUP($A30,'Data Vlaue (Cr)'!$C:$FB,119)</f>
        <v>0.67</v>
      </c>
      <c r="Q30" s="75">
        <f>VLOOKUP($A30,'Data Vlaue (Cr)'!$C:$FB,122)*100</f>
        <v>15.52</v>
      </c>
      <c r="R30" s="75">
        <f>VLOOKUP($A30,'Data Vlaue (Cr)'!$C:$FB,125)</f>
        <v>0.37</v>
      </c>
      <c r="S30" s="75">
        <f>VLOOKUP($A30,'Data Vlaue (Cr)'!$C:$FB,128)*100</f>
        <v>-24.490000000000002</v>
      </c>
    </row>
    <row r="31" spans="1:19" x14ac:dyDescent="0.25">
      <c r="A31" s="96" t="str">
        <f>'Data Vlaue (Cr)'!C22</f>
        <v>BAJAJFINSV</v>
      </c>
      <c r="B31" s="75">
        <f>VLOOKUP($A31,'Data Vlaue (Cr)'!$C:$FB,2)</f>
        <v>500</v>
      </c>
      <c r="C31" s="75">
        <f>VLOOKUP($A31,'Data Vlaue (Cr)'!$C:$FB,8)</f>
        <v>2004.3</v>
      </c>
      <c r="D31" s="75">
        <f>VLOOKUP($A31,'Data Vlaue (Cr)'!$C:$FB,4)</f>
        <v>2015.7</v>
      </c>
      <c r="E31" s="75">
        <f>VLOOKUP($A31,'Data Vlaue (Cr)'!$C:$FB,5)</f>
        <v>2025.1</v>
      </c>
      <c r="F31" s="75">
        <f t="shared" si="0"/>
        <v>11.400000000000091</v>
      </c>
      <c r="G31" s="75">
        <f t="shared" si="1"/>
        <v>-0.46633923698962459</v>
      </c>
      <c r="H31" s="75">
        <f>VLOOKUP($A31,'Data Vlaue (Cr)'!$C:$FB,99)</f>
        <v>5271</v>
      </c>
      <c r="I31" s="75">
        <f>VLOOKUP($A31,'Data Vlaue (Cr)'!$C:$FB,100)</f>
        <v>5141</v>
      </c>
      <c r="J31" s="75">
        <f t="shared" si="2"/>
        <v>130</v>
      </c>
      <c r="K31" s="75">
        <f t="shared" si="3"/>
        <v>2.4663251754885223</v>
      </c>
      <c r="L31" s="75">
        <f>VLOOKUP($A31,'Data Vlaue (Cr)'!$C:$FB,67)</f>
        <v>1303</v>
      </c>
      <c r="M31" s="75">
        <f>VLOOKUP($A31,'Data Vlaue (Cr)'!$C:$FB,68)</f>
        <v>1062</v>
      </c>
      <c r="N31" s="75">
        <f t="shared" si="4"/>
        <v>241</v>
      </c>
      <c r="O31" s="75">
        <f t="shared" si="5"/>
        <v>18.49577897160399</v>
      </c>
      <c r="P31" s="75">
        <f>VLOOKUP($A31,'Data Vlaue (Cr)'!$C:$FB,119)</f>
        <v>0.62</v>
      </c>
      <c r="Q31" s="75">
        <f>VLOOKUP($A31,'Data Vlaue (Cr)'!$C:$FB,122)*100</f>
        <v>-3.1300000000000003</v>
      </c>
      <c r="R31" s="75">
        <f>VLOOKUP($A31,'Data Vlaue (Cr)'!$C:$FB,125)</f>
        <v>0.51</v>
      </c>
      <c r="S31" s="75">
        <f>VLOOKUP($A31,'Data Vlaue (Cr)'!$C:$FB,128)*100</f>
        <v>-22.73</v>
      </c>
    </row>
    <row r="32" spans="1:19" x14ac:dyDescent="0.25">
      <c r="A32" s="96" t="str">
        <f>'Data Vlaue (Cr)'!C23</f>
        <v>BAJFINANCE</v>
      </c>
      <c r="B32" s="75">
        <f>VLOOKUP($A32,'Data Vlaue (Cr)'!$C:$FB,2)</f>
        <v>750</v>
      </c>
      <c r="C32" s="75">
        <f>VLOOKUP($A32,'Data Vlaue (Cr)'!$C:$FB,8)</f>
        <v>1023.85</v>
      </c>
      <c r="D32" s="75">
        <f>VLOOKUP($A32,'Data Vlaue (Cr)'!$C:$FB,4)</f>
        <v>1029.3</v>
      </c>
      <c r="E32" s="75">
        <f>VLOOKUP($A32,'Data Vlaue (Cr)'!$C:$FB,5)</f>
        <v>1028.3499999999999</v>
      </c>
      <c r="F32" s="75">
        <f t="shared" si="0"/>
        <v>5.4499999999999318</v>
      </c>
      <c r="G32" s="75">
        <f t="shared" si="1"/>
        <v>9.2295734965514964E-2</v>
      </c>
      <c r="H32" s="75">
        <f>VLOOKUP($A32,'Data Vlaue (Cr)'!$C:$FB,99)</f>
        <v>12684</v>
      </c>
      <c r="I32" s="75">
        <f>VLOOKUP($A32,'Data Vlaue (Cr)'!$C:$FB,100)</f>
        <v>12498</v>
      </c>
      <c r="J32" s="75">
        <f t="shared" si="2"/>
        <v>186</v>
      </c>
      <c r="K32" s="75">
        <f t="shared" si="3"/>
        <v>1.4664143803216652</v>
      </c>
      <c r="L32" s="75">
        <f>VLOOKUP($A32,'Data Vlaue (Cr)'!$C:$FB,67)</f>
        <v>2866</v>
      </c>
      <c r="M32" s="75">
        <f>VLOOKUP($A32,'Data Vlaue (Cr)'!$C:$FB,68)</f>
        <v>2398</v>
      </c>
      <c r="N32" s="75">
        <f t="shared" si="4"/>
        <v>468</v>
      </c>
      <c r="O32" s="75">
        <f t="shared" si="5"/>
        <v>16.329378925331472</v>
      </c>
      <c r="P32" s="75">
        <f>VLOOKUP($A32,'Data Vlaue (Cr)'!$C:$FB,119)</f>
        <v>0.72</v>
      </c>
      <c r="Q32" s="75">
        <f>VLOOKUP($A32,'Data Vlaue (Cr)'!$C:$FB,122)*100</f>
        <v>-4</v>
      </c>
      <c r="R32" s="75">
        <f>VLOOKUP($A32,'Data Vlaue (Cr)'!$C:$FB,125)</f>
        <v>0.47</v>
      </c>
      <c r="S32" s="75">
        <f>VLOOKUP($A32,'Data Vlaue (Cr)'!$C:$FB,128)*100</f>
        <v>-38.159999999999997</v>
      </c>
    </row>
    <row r="33" spans="1:19" x14ac:dyDescent="0.25">
      <c r="A33" s="96" t="str">
        <f>'Data Vlaue (Cr)'!C24</f>
        <v>BANDHANBNK</v>
      </c>
      <c r="B33" s="75">
        <f>VLOOKUP($A33,'Data Vlaue (Cr)'!$C:$FB,2)</f>
        <v>3600</v>
      </c>
      <c r="C33" s="75">
        <f>VLOOKUP($A33,'Data Vlaue (Cr)'!$C:$FB,8)</f>
        <v>169.32</v>
      </c>
      <c r="D33" s="75">
        <f>VLOOKUP($A33,'Data Vlaue (Cr)'!$C:$FB,4)</f>
        <v>170.24</v>
      </c>
      <c r="E33" s="75">
        <f>VLOOKUP($A33,'Data Vlaue (Cr)'!$C:$FB,5)</f>
        <v>164.19</v>
      </c>
      <c r="F33" s="75">
        <f t="shared" si="0"/>
        <v>0.92000000000001592</v>
      </c>
      <c r="G33" s="75">
        <f t="shared" si="1"/>
        <v>3.5538063909774502</v>
      </c>
      <c r="H33" s="75">
        <f>VLOOKUP($A33,'Data Vlaue (Cr)'!$C:$FB,99)</f>
        <v>2645</v>
      </c>
      <c r="I33" s="75">
        <f>VLOOKUP($A33,'Data Vlaue (Cr)'!$C:$FB,100)</f>
        <v>2623</v>
      </c>
      <c r="J33" s="75">
        <f t="shared" si="2"/>
        <v>22</v>
      </c>
      <c r="K33" s="75">
        <f t="shared" si="3"/>
        <v>0.83175803402646498</v>
      </c>
      <c r="L33" s="75">
        <f>VLOOKUP($A33,'Data Vlaue (Cr)'!$C:$FB,67)</f>
        <v>1996</v>
      </c>
      <c r="M33" s="75">
        <f>VLOOKUP($A33,'Data Vlaue (Cr)'!$C:$FB,68)</f>
        <v>622</v>
      </c>
      <c r="N33" s="75">
        <f t="shared" si="4"/>
        <v>1374</v>
      </c>
      <c r="O33" s="75">
        <f t="shared" si="5"/>
        <v>68.837675350701403</v>
      </c>
      <c r="P33" s="75">
        <f>VLOOKUP($A33,'Data Vlaue (Cr)'!$C:$FB,119)</f>
        <v>0.85</v>
      </c>
      <c r="Q33" s="75">
        <f>VLOOKUP($A33,'Data Vlaue (Cr)'!$C:$FB,122)*100</f>
        <v>3.66</v>
      </c>
      <c r="R33" s="75">
        <f>VLOOKUP($A33,'Data Vlaue (Cr)'!$C:$FB,125)</f>
        <v>0.49</v>
      </c>
      <c r="S33" s="75">
        <f>VLOOKUP($A33,'Data Vlaue (Cr)'!$C:$FB,128)*100</f>
        <v>22.5</v>
      </c>
    </row>
    <row r="34" spans="1:19" x14ac:dyDescent="0.25">
      <c r="A34" s="96" t="str">
        <f>'Data Vlaue (Cr)'!C25</f>
        <v>BANKBARODA</v>
      </c>
      <c r="B34" s="75">
        <f>VLOOKUP($A34,'Data Vlaue (Cr)'!$C:$FB,2)</f>
        <v>2925</v>
      </c>
      <c r="C34" s="75">
        <f>VLOOKUP($A34,'Data Vlaue (Cr)'!$C:$FB,8)</f>
        <v>266.95</v>
      </c>
      <c r="D34" s="75">
        <f>VLOOKUP($A34,'Data Vlaue (Cr)'!$C:$FB,4)</f>
        <v>267.64999999999998</v>
      </c>
      <c r="E34" s="75">
        <f>VLOOKUP($A34,'Data Vlaue (Cr)'!$C:$FB,5)</f>
        <v>264.95</v>
      </c>
      <c r="F34" s="75">
        <f t="shared" si="0"/>
        <v>0.69999999999998863</v>
      </c>
      <c r="G34" s="75">
        <f t="shared" si="1"/>
        <v>1.0087801232953442</v>
      </c>
      <c r="H34" s="180">
        <f>VLOOKUP($A34,'Data Vlaue (Cr)'!$C:$FB,99)</f>
        <v>5407</v>
      </c>
      <c r="I34" s="180">
        <f>VLOOKUP($A34,'Data Vlaue (Cr)'!$C:$FB,100)</f>
        <v>5413</v>
      </c>
      <c r="J34" s="180">
        <f t="shared" si="2"/>
        <v>-6</v>
      </c>
      <c r="K34" s="180">
        <f t="shared" si="3"/>
        <v>-0.1109672646569262</v>
      </c>
      <c r="L34" s="180">
        <f>VLOOKUP($A34,'Data Vlaue (Cr)'!$C:$FB,67)</f>
        <v>3702</v>
      </c>
      <c r="M34" s="180">
        <f>VLOOKUP($A34,'Data Vlaue (Cr)'!$C:$FB,68)</f>
        <v>2130</v>
      </c>
      <c r="N34" s="180">
        <f t="shared" si="4"/>
        <v>1572</v>
      </c>
      <c r="O34" s="180">
        <f t="shared" si="5"/>
        <v>42.463533225283626</v>
      </c>
      <c r="P34" s="180">
        <f>VLOOKUP($A34,'Data Vlaue (Cr)'!$C:$FB,119)</f>
        <v>0.77</v>
      </c>
      <c r="Q34" s="180">
        <f>VLOOKUP($A34,'Data Vlaue (Cr)'!$C:$FB,122)*100</f>
        <v>0</v>
      </c>
      <c r="R34" s="180">
        <f>VLOOKUP($A34,'Data Vlaue (Cr)'!$C:$FB,125)</f>
        <v>0.41</v>
      </c>
      <c r="S34" s="180">
        <f>VLOOKUP($A34,'Data Vlaue (Cr)'!$C:$FB,128)*100</f>
        <v>-8.89</v>
      </c>
    </row>
    <row r="35" spans="1:19" x14ac:dyDescent="0.25">
      <c r="A35" s="96" t="str">
        <f>'Data Vlaue (Cr)'!C26</f>
        <v>BANKINDIA</v>
      </c>
      <c r="B35" s="75">
        <f>VLOOKUP($A35,'Data Vlaue (Cr)'!$C:$FB,2)</f>
        <v>5200</v>
      </c>
      <c r="C35" s="75">
        <f>VLOOKUP($A35,'Data Vlaue (Cr)'!$C:$FB,8)</f>
        <v>126.77</v>
      </c>
      <c r="D35" s="75">
        <f>VLOOKUP($A35,'Data Vlaue (Cr)'!$C:$FB,4)</f>
        <v>127.3</v>
      </c>
      <c r="E35" s="75">
        <f>VLOOKUP($A35,'Data Vlaue (Cr)'!$C:$FB,5)</f>
        <v>126.53</v>
      </c>
      <c r="F35" s="75">
        <f t="shared" si="0"/>
        <v>0.53000000000000114</v>
      </c>
      <c r="G35" s="75">
        <f t="shared" si="1"/>
        <v>0.60487038491751455</v>
      </c>
      <c r="H35" s="75">
        <f>VLOOKUP($A35,'Data Vlaue (Cr)'!$C:$FB,99)</f>
        <v>1446</v>
      </c>
      <c r="I35" s="75">
        <f>VLOOKUP($A35,'Data Vlaue (Cr)'!$C:$FB,100)</f>
        <v>1414</v>
      </c>
      <c r="J35" s="75">
        <f t="shared" si="2"/>
        <v>32</v>
      </c>
      <c r="K35" s="75">
        <f t="shared" si="3"/>
        <v>2.2130013831258646</v>
      </c>
      <c r="L35" s="75">
        <f>VLOOKUP($A35,'Data Vlaue (Cr)'!$C:$FB,67)</f>
        <v>657</v>
      </c>
      <c r="M35" s="75">
        <f>VLOOKUP($A35,'Data Vlaue (Cr)'!$C:$FB,68)</f>
        <v>318</v>
      </c>
      <c r="N35" s="75">
        <f t="shared" si="4"/>
        <v>339</v>
      </c>
      <c r="O35" s="75">
        <f t="shared" si="5"/>
        <v>51.598173515981735</v>
      </c>
      <c r="P35" s="75">
        <f>VLOOKUP($A35,'Data Vlaue (Cr)'!$C:$FB,119)</f>
        <v>0.65</v>
      </c>
      <c r="Q35" s="75">
        <f>VLOOKUP($A35,'Data Vlaue (Cr)'!$C:$FB,122)*100</f>
        <v>3.17</v>
      </c>
      <c r="R35" s="75">
        <f>VLOOKUP($A35,'Data Vlaue (Cr)'!$C:$FB,125)</f>
        <v>0.34</v>
      </c>
      <c r="S35" s="75">
        <f>VLOOKUP($A35,'Data Vlaue (Cr)'!$C:$FB,128)*100</f>
        <v>3.0300000000000002</v>
      </c>
    </row>
    <row r="36" spans="1:19" x14ac:dyDescent="0.25">
      <c r="A36" s="96" t="str">
        <f>'Data Vlaue (Cr)'!C27</f>
        <v>BANKNIFTY</v>
      </c>
      <c r="B36" s="75">
        <f>VLOOKUP($A36,'Data Vlaue (Cr)'!$C:$FB,2)</f>
        <v>35</v>
      </c>
      <c r="C36" s="75">
        <f>VLOOKUP($A36,'Data Vlaue (Cr)'!$C:$FB,8)</f>
        <v>56609.75</v>
      </c>
      <c r="D36" s="75">
        <f>VLOOKUP($A36,'Data Vlaue (Cr)'!$C:$FB,4)</f>
        <v>56862.2</v>
      </c>
      <c r="E36" s="75">
        <f>VLOOKUP($A36,'Data Vlaue (Cr)'!$C:$FB,5)</f>
        <v>56413.2</v>
      </c>
      <c r="F36" s="75">
        <f t="shared" si="0"/>
        <v>252.44999999999709</v>
      </c>
      <c r="G36" s="75">
        <f t="shared" si="1"/>
        <v>0.78962825919503643</v>
      </c>
      <c r="H36" s="75">
        <f>VLOOKUP($A36,'Data Vlaue (Cr)'!$C:$FB,99)</f>
        <v>229771</v>
      </c>
      <c r="I36" s="75">
        <f>VLOOKUP($A36,'Data Vlaue (Cr)'!$C:$FB,100)</f>
        <v>217923</v>
      </c>
      <c r="J36" s="75">
        <f t="shared" si="2"/>
        <v>11848</v>
      </c>
      <c r="K36" s="75">
        <f t="shared" si="3"/>
        <v>5.1564383668957356</v>
      </c>
      <c r="L36" s="75">
        <f>VLOOKUP($A36,'Data Vlaue (Cr)'!$C:$FB,67)</f>
        <v>683363</v>
      </c>
      <c r="M36" s="75">
        <f>VLOOKUP($A36,'Data Vlaue (Cr)'!$C:$FB,68)</f>
        <v>483831</v>
      </c>
      <c r="N36" s="75">
        <f t="shared" si="4"/>
        <v>199532</v>
      </c>
      <c r="O36" s="75">
        <f t="shared" si="5"/>
        <v>29.198537234237147</v>
      </c>
      <c r="P36" s="75">
        <f>VLOOKUP($A36,'Data Vlaue (Cr)'!$C:$FB,119)</f>
        <v>1.1399999999999999</v>
      </c>
      <c r="Q36" s="75">
        <f>VLOOKUP($A36,'Data Vlaue (Cr)'!$C:$FB,122)*100</f>
        <v>5.56</v>
      </c>
      <c r="R36" s="75">
        <f>VLOOKUP($A36,'Data Vlaue (Cr)'!$C:$FB,125)</f>
        <v>0.82</v>
      </c>
      <c r="S36" s="75">
        <f>VLOOKUP($A36,'Data Vlaue (Cr)'!$C:$FB,128)*100</f>
        <v>-7.870000000000001</v>
      </c>
    </row>
    <row r="37" spans="1:19" x14ac:dyDescent="0.25">
      <c r="A37" s="96" t="str">
        <f>'Data Vlaue (Cr)'!C28</f>
        <v>BDL</v>
      </c>
      <c r="B37" s="75">
        <f>VLOOKUP($A37,'Data Vlaue (Cr)'!$C:$FB,2)</f>
        <v>325</v>
      </c>
      <c r="C37" s="75">
        <f>VLOOKUP($A37,'Data Vlaue (Cr)'!$C:$FB,8)</f>
        <v>1537.1</v>
      </c>
      <c r="D37" s="75">
        <f>VLOOKUP($A37,'Data Vlaue (Cr)'!$C:$FB,4)</f>
        <v>1539.7</v>
      </c>
      <c r="E37" s="75">
        <f>VLOOKUP($A37,'Data Vlaue (Cr)'!$C:$FB,5)</f>
        <v>1524.9</v>
      </c>
      <c r="F37" s="75">
        <f t="shared" si="0"/>
        <v>2.6000000000001364</v>
      </c>
      <c r="G37" s="75">
        <f t="shared" si="1"/>
        <v>0.96122621289861354</v>
      </c>
      <c r="H37" s="75">
        <f>VLOOKUP($A37,'Data Vlaue (Cr)'!$C:$FB,99)</f>
        <v>1511</v>
      </c>
      <c r="I37" s="75">
        <f>VLOOKUP($A37,'Data Vlaue (Cr)'!$C:$FB,100)</f>
        <v>1546</v>
      </c>
      <c r="J37" s="75">
        <f t="shared" si="2"/>
        <v>-35</v>
      </c>
      <c r="K37" s="75">
        <f t="shared" si="3"/>
        <v>-2.316346790205162</v>
      </c>
      <c r="L37" s="75">
        <f>VLOOKUP($A37,'Data Vlaue (Cr)'!$C:$FB,67)</f>
        <v>943</v>
      </c>
      <c r="M37" s="75">
        <f>VLOOKUP($A37,'Data Vlaue (Cr)'!$C:$FB,68)</f>
        <v>808</v>
      </c>
      <c r="N37" s="75">
        <f t="shared" si="4"/>
        <v>135</v>
      </c>
      <c r="O37" s="75">
        <f t="shared" si="5"/>
        <v>14.316012725344645</v>
      </c>
      <c r="P37" s="75">
        <f>VLOOKUP($A37,'Data Vlaue (Cr)'!$C:$FB,119)</f>
        <v>0.59</v>
      </c>
      <c r="Q37" s="75">
        <f>VLOOKUP($A37,'Data Vlaue (Cr)'!$C:$FB,122)*100</f>
        <v>5.36</v>
      </c>
      <c r="R37" s="75">
        <f>VLOOKUP($A37,'Data Vlaue (Cr)'!$C:$FB,125)</f>
        <v>0.32</v>
      </c>
      <c r="S37" s="75">
        <f>VLOOKUP($A37,'Data Vlaue (Cr)'!$C:$FB,128)*100</f>
        <v>45.45</v>
      </c>
    </row>
    <row r="38" spans="1:19" x14ac:dyDescent="0.25">
      <c r="A38" s="96" t="str">
        <f>'Data Vlaue (Cr)'!C29</f>
        <v>BEL</v>
      </c>
      <c r="B38" s="75">
        <f>VLOOKUP($A38,'Data Vlaue (Cr)'!$C:$FB,2)</f>
        <v>2850</v>
      </c>
      <c r="C38" s="75">
        <f>VLOOKUP($A38,'Data Vlaue (Cr)'!$C:$FB,8)</f>
        <v>413.5</v>
      </c>
      <c r="D38" s="75">
        <f>VLOOKUP($A38,'Data Vlaue (Cr)'!$C:$FB,4)</f>
        <v>414.95</v>
      </c>
      <c r="E38" s="75">
        <f>VLOOKUP($A38,'Data Vlaue (Cr)'!$C:$FB,5)</f>
        <v>411.65</v>
      </c>
      <c r="F38" s="75">
        <f t="shared" si="0"/>
        <v>1.4499999999999886</v>
      </c>
      <c r="G38" s="75">
        <f t="shared" si="1"/>
        <v>0.79527653934209219</v>
      </c>
      <c r="H38" s="75">
        <f>VLOOKUP($A38,'Data Vlaue (Cr)'!$C:$FB,99)</f>
        <v>8735</v>
      </c>
      <c r="I38" s="75">
        <f>VLOOKUP($A38,'Data Vlaue (Cr)'!$C:$FB,100)</f>
        <v>8787</v>
      </c>
      <c r="J38" s="75">
        <f t="shared" si="2"/>
        <v>-52</v>
      </c>
      <c r="K38" s="75">
        <f t="shared" si="3"/>
        <v>-0.59530623926731541</v>
      </c>
      <c r="L38" s="75">
        <f>VLOOKUP($A38,'Data Vlaue (Cr)'!$C:$FB,67)</f>
        <v>7316</v>
      </c>
      <c r="M38" s="75">
        <f>VLOOKUP($A38,'Data Vlaue (Cr)'!$C:$FB,68)</f>
        <v>5348</v>
      </c>
      <c r="N38" s="75">
        <f t="shared" si="4"/>
        <v>1968</v>
      </c>
      <c r="O38" s="75">
        <f t="shared" si="5"/>
        <v>26.899945325314377</v>
      </c>
      <c r="P38" s="75">
        <f>VLOOKUP($A38,'Data Vlaue (Cr)'!$C:$FB,119)</f>
        <v>0.64</v>
      </c>
      <c r="Q38" s="75">
        <f>VLOOKUP($A38,'Data Vlaue (Cr)'!$C:$FB,122)*100</f>
        <v>0</v>
      </c>
      <c r="R38" s="75">
        <f>VLOOKUP($A38,'Data Vlaue (Cr)'!$C:$FB,125)</f>
        <v>0.49</v>
      </c>
      <c r="S38" s="75">
        <f>VLOOKUP($A38,'Data Vlaue (Cr)'!$C:$FB,128)*100</f>
        <v>-2</v>
      </c>
    </row>
    <row r="39" spans="1:19" x14ac:dyDescent="0.25">
      <c r="A39" s="96" t="str">
        <f>'Data Vlaue (Cr)'!C30</f>
        <v>BHARATFORG</v>
      </c>
      <c r="B39" s="75">
        <f>VLOOKUP($A39,'Data Vlaue (Cr)'!$C:$FB,2)</f>
        <v>500</v>
      </c>
      <c r="C39" s="75">
        <f>VLOOKUP($A39,'Data Vlaue (Cr)'!$C:$FB,8)</f>
        <v>1220</v>
      </c>
      <c r="D39" s="75">
        <f>VLOOKUP($A39,'Data Vlaue (Cr)'!$C:$FB,4)</f>
        <v>1214.8</v>
      </c>
      <c r="E39" s="75">
        <f>VLOOKUP($A39,'Data Vlaue (Cr)'!$C:$FB,5)</f>
        <v>1206.4000000000001</v>
      </c>
      <c r="F39" s="75">
        <f t="shared" si="0"/>
        <v>-5.2000000000000455</v>
      </c>
      <c r="G39" s="75">
        <f t="shared" si="1"/>
        <v>0.69147184721763777</v>
      </c>
      <c r="H39" s="75">
        <f>VLOOKUP($A39,'Data Vlaue (Cr)'!$C:$FB,99)</f>
        <v>1995</v>
      </c>
      <c r="I39" s="75">
        <f>VLOOKUP($A39,'Data Vlaue (Cr)'!$C:$FB,100)</f>
        <v>1980</v>
      </c>
      <c r="J39" s="75">
        <f t="shared" si="2"/>
        <v>15</v>
      </c>
      <c r="K39" s="75">
        <f t="shared" si="3"/>
        <v>0.75187969924812026</v>
      </c>
      <c r="L39" s="75">
        <f>VLOOKUP($A39,'Data Vlaue (Cr)'!$C:$FB,67)</f>
        <v>723</v>
      </c>
      <c r="M39" s="75">
        <f>VLOOKUP($A39,'Data Vlaue (Cr)'!$C:$FB,68)</f>
        <v>698</v>
      </c>
      <c r="N39" s="75">
        <f t="shared" si="4"/>
        <v>25</v>
      </c>
      <c r="O39" s="75">
        <f t="shared" si="5"/>
        <v>3.4578146611341634</v>
      </c>
      <c r="P39" s="75">
        <f>VLOOKUP($A39,'Data Vlaue (Cr)'!$C:$FB,119)</f>
        <v>0.64</v>
      </c>
      <c r="Q39" s="75">
        <f>VLOOKUP($A39,'Data Vlaue (Cr)'!$C:$FB,122)*100</f>
        <v>-4.4799999999999995</v>
      </c>
      <c r="R39" s="75">
        <f>VLOOKUP($A39,'Data Vlaue (Cr)'!$C:$FB,125)</f>
        <v>0.35</v>
      </c>
      <c r="S39" s="75">
        <f>VLOOKUP($A39,'Data Vlaue (Cr)'!$C:$FB,128)*100</f>
        <v>-18.600000000000001</v>
      </c>
    </row>
    <row r="40" spans="1:19" x14ac:dyDescent="0.25">
      <c r="A40" s="96" t="str">
        <f>'Data Vlaue (Cr)'!C31</f>
        <v>BHARTIARTL</v>
      </c>
      <c r="B40" s="75">
        <f>VLOOKUP($A40,'Data Vlaue (Cr)'!$C:$FB,2)</f>
        <v>475</v>
      </c>
      <c r="C40" s="75">
        <f>VLOOKUP($A40,'Data Vlaue (Cr)'!$C:$FB,8)</f>
        <v>1939.9</v>
      </c>
      <c r="D40" s="75">
        <f>VLOOKUP($A40,'Data Vlaue (Cr)'!$C:$FB,4)</f>
        <v>1950.5</v>
      </c>
      <c r="E40" s="75">
        <f>VLOOKUP($A40,'Data Vlaue (Cr)'!$C:$FB,5)</f>
        <v>1948.7</v>
      </c>
      <c r="F40" s="75">
        <f t="shared" si="0"/>
        <v>10.599999999999909</v>
      </c>
      <c r="G40" s="75">
        <f t="shared" si="1"/>
        <v>9.2284029735962808E-2</v>
      </c>
      <c r="H40" s="75">
        <f>VLOOKUP($A40,'Data Vlaue (Cr)'!$C:$FB,99)</f>
        <v>13390</v>
      </c>
      <c r="I40" s="75">
        <f>VLOOKUP($A40,'Data Vlaue (Cr)'!$C:$FB,100)</f>
        <v>12921</v>
      </c>
      <c r="J40" s="75">
        <f t="shared" si="2"/>
        <v>469</v>
      </c>
      <c r="K40" s="75">
        <f t="shared" si="3"/>
        <v>3.5026138909634055</v>
      </c>
      <c r="L40" s="75">
        <f>VLOOKUP($A40,'Data Vlaue (Cr)'!$C:$FB,67)</f>
        <v>4099</v>
      </c>
      <c r="M40" s="75">
        <f>VLOOKUP($A40,'Data Vlaue (Cr)'!$C:$FB,68)</f>
        <v>6153</v>
      </c>
      <c r="N40" s="75">
        <f t="shared" si="4"/>
        <v>-2054</v>
      </c>
      <c r="O40" s="75">
        <f t="shared" si="5"/>
        <v>-50.10978287387168</v>
      </c>
      <c r="P40" s="75">
        <f>VLOOKUP($A40,'Data Vlaue (Cr)'!$C:$FB,119)</f>
        <v>0.48</v>
      </c>
      <c r="Q40" s="75">
        <f>VLOOKUP($A40,'Data Vlaue (Cr)'!$C:$FB,122)*100</f>
        <v>-7.6899999999999995</v>
      </c>
      <c r="R40" s="75">
        <f>VLOOKUP($A40,'Data Vlaue (Cr)'!$C:$FB,125)</f>
        <v>0.51</v>
      </c>
      <c r="S40" s="75">
        <f>VLOOKUP($A40,'Data Vlaue (Cr)'!$C:$FB,128)*100</f>
        <v>-1.92</v>
      </c>
    </row>
    <row r="41" spans="1:19" x14ac:dyDescent="0.25">
      <c r="A41" s="96" t="str">
        <f>'Data Vlaue (Cr)'!C32</f>
        <v>BHEL</v>
      </c>
      <c r="B41" s="75">
        <f>VLOOKUP($A41,'Data Vlaue (Cr)'!$C:$FB,2)</f>
        <v>2625</v>
      </c>
      <c r="C41" s="75">
        <f>VLOOKUP($A41,'Data Vlaue (Cr)'!$C:$FB,8)</f>
        <v>239.64</v>
      </c>
      <c r="D41" s="75">
        <f>VLOOKUP($A41,'Data Vlaue (Cr)'!$C:$FB,4)</f>
        <v>240.26</v>
      </c>
      <c r="E41" s="75">
        <f>VLOOKUP($A41,'Data Vlaue (Cr)'!$C:$FB,5)</f>
        <v>240.47</v>
      </c>
      <c r="F41" s="75">
        <f t="shared" si="0"/>
        <v>0.62000000000000455</v>
      </c>
      <c r="G41" s="75">
        <f t="shared" si="1"/>
        <v>-8.7405310913180712E-2</v>
      </c>
      <c r="H41" s="75">
        <f>VLOOKUP($A41,'Data Vlaue (Cr)'!$C:$FB,99)</f>
        <v>2257</v>
      </c>
      <c r="I41" s="75">
        <f>VLOOKUP($A41,'Data Vlaue (Cr)'!$C:$FB,100)</f>
        <v>2251</v>
      </c>
      <c r="J41" s="75">
        <f t="shared" si="2"/>
        <v>6</v>
      </c>
      <c r="K41" s="75">
        <f t="shared" si="3"/>
        <v>0.26583961010190521</v>
      </c>
      <c r="L41" s="75">
        <f>VLOOKUP($A41,'Data Vlaue (Cr)'!$C:$FB,67)</f>
        <v>1112</v>
      </c>
      <c r="M41" s="75">
        <f>VLOOKUP($A41,'Data Vlaue (Cr)'!$C:$FB,68)</f>
        <v>788</v>
      </c>
      <c r="N41" s="75">
        <f t="shared" si="4"/>
        <v>324</v>
      </c>
      <c r="O41" s="75">
        <f t="shared" si="5"/>
        <v>29.136690647482016</v>
      </c>
      <c r="P41" s="75">
        <f>VLOOKUP($A41,'Data Vlaue (Cr)'!$C:$FB,119)</f>
        <v>0.7</v>
      </c>
      <c r="Q41" s="75">
        <f>VLOOKUP($A41,'Data Vlaue (Cr)'!$C:$FB,122)*100</f>
        <v>0</v>
      </c>
      <c r="R41" s="75">
        <f>VLOOKUP($A41,'Data Vlaue (Cr)'!$C:$FB,125)</f>
        <v>0.54</v>
      </c>
      <c r="S41" s="75">
        <f>VLOOKUP($A41,'Data Vlaue (Cr)'!$C:$FB,128)*100</f>
        <v>5.88</v>
      </c>
    </row>
    <row r="42" spans="1:19" x14ac:dyDescent="0.25">
      <c r="A42" s="96" t="str">
        <f>'Data Vlaue (Cr)'!C33</f>
        <v>BIOCON</v>
      </c>
      <c r="B42" s="75">
        <f>VLOOKUP($A42,'Data Vlaue (Cr)'!$C:$FB,2)</f>
        <v>2500</v>
      </c>
      <c r="C42" s="75">
        <f>VLOOKUP($A42,'Data Vlaue (Cr)'!$C:$FB,8)</f>
        <v>353.45</v>
      </c>
      <c r="D42" s="75">
        <f>VLOOKUP($A42,'Data Vlaue (Cr)'!$C:$FB,4)</f>
        <v>354.7</v>
      </c>
      <c r="E42" s="75">
        <f>VLOOKUP($A42,'Data Vlaue (Cr)'!$C:$FB,5)</f>
        <v>354.25</v>
      </c>
      <c r="F42" s="75">
        <f t="shared" si="0"/>
        <v>1.25</v>
      </c>
      <c r="G42" s="75">
        <f t="shared" si="1"/>
        <v>0.1268677755849982</v>
      </c>
      <c r="H42" s="75">
        <f>VLOOKUP($A42,'Data Vlaue (Cr)'!$C:$FB,99)</f>
        <v>2381</v>
      </c>
      <c r="I42" s="75">
        <f>VLOOKUP($A42,'Data Vlaue (Cr)'!$C:$FB,100)</f>
        <v>2304</v>
      </c>
      <c r="J42" s="75">
        <f t="shared" si="2"/>
        <v>77</v>
      </c>
      <c r="K42" s="75">
        <f t="shared" si="3"/>
        <v>3.2339353212935738</v>
      </c>
      <c r="L42" s="75">
        <f>VLOOKUP($A42,'Data Vlaue (Cr)'!$C:$FB,67)</f>
        <v>2082</v>
      </c>
      <c r="M42" s="75">
        <f>VLOOKUP($A42,'Data Vlaue (Cr)'!$C:$FB,68)</f>
        <v>1126</v>
      </c>
      <c r="N42" s="75">
        <f t="shared" si="4"/>
        <v>956</v>
      </c>
      <c r="O42" s="75">
        <f t="shared" si="5"/>
        <v>45.917387127761764</v>
      </c>
      <c r="P42" s="75">
        <f>VLOOKUP($A42,'Data Vlaue (Cr)'!$C:$FB,119)</f>
        <v>0.63</v>
      </c>
      <c r="Q42" s="75">
        <f>VLOOKUP($A42,'Data Vlaue (Cr)'!$C:$FB,122)*100</f>
        <v>0</v>
      </c>
      <c r="R42" s="75">
        <f>VLOOKUP($A42,'Data Vlaue (Cr)'!$C:$FB,125)</f>
        <v>0.39</v>
      </c>
      <c r="S42" s="75">
        <f>VLOOKUP($A42,'Data Vlaue (Cr)'!$C:$FB,128)*100</f>
        <v>18.18</v>
      </c>
    </row>
    <row r="43" spans="1:19" x14ac:dyDescent="0.25">
      <c r="A43" s="96" t="str">
        <f>'Data Vlaue (Cr)'!C34</f>
        <v>BLUESTARCO</v>
      </c>
      <c r="B43" s="75">
        <f>VLOOKUP($A43,'Data Vlaue (Cr)'!$C:$FB,2)</f>
        <v>325</v>
      </c>
      <c r="C43" s="75">
        <f>VLOOKUP($A43,'Data Vlaue (Cr)'!$C:$FB,8)</f>
        <v>1949.1</v>
      </c>
      <c r="D43" s="75">
        <f>VLOOKUP($A43,'Data Vlaue (Cr)'!$C:$FB,4)</f>
        <v>1958</v>
      </c>
      <c r="E43" s="75">
        <f>VLOOKUP($A43,'Data Vlaue (Cr)'!$C:$FB,5)</f>
        <v>1899</v>
      </c>
      <c r="F43" s="75">
        <f t="shared" si="0"/>
        <v>8.9000000000000909</v>
      </c>
      <c r="G43" s="75">
        <f t="shared" si="1"/>
        <v>3.0132788559754853</v>
      </c>
      <c r="H43" s="75">
        <f>VLOOKUP($A43,'Data Vlaue (Cr)'!$C:$FB,99)</f>
        <v>522</v>
      </c>
      <c r="I43" s="75">
        <f>VLOOKUP($A43,'Data Vlaue (Cr)'!$C:$FB,100)</f>
        <v>491</v>
      </c>
      <c r="J43" s="75">
        <f t="shared" si="2"/>
        <v>31</v>
      </c>
      <c r="K43" s="75">
        <f t="shared" si="3"/>
        <v>5.9386973180076632</v>
      </c>
      <c r="L43" s="75">
        <f>VLOOKUP($A43,'Data Vlaue (Cr)'!$C:$FB,67)</f>
        <v>1101</v>
      </c>
      <c r="M43" s="75">
        <f>VLOOKUP($A43,'Data Vlaue (Cr)'!$C:$FB,68)</f>
        <v>141</v>
      </c>
      <c r="N43" s="75">
        <f t="shared" si="4"/>
        <v>960</v>
      </c>
      <c r="O43" s="75">
        <f t="shared" si="5"/>
        <v>87.19346049046321</v>
      </c>
      <c r="P43" s="75">
        <f>VLOOKUP($A43,'Data Vlaue (Cr)'!$C:$FB,119)</f>
        <v>0.62</v>
      </c>
      <c r="Q43" s="75">
        <f>VLOOKUP($A43,'Data Vlaue (Cr)'!$C:$FB,122)*100</f>
        <v>-13.889999999999999</v>
      </c>
      <c r="R43" s="75">
        <f>VLOOKUP($A43,'Data Vlaue (Cr)'!$C:$FB,125)</f>
        <v>0.28999999999999998</v>
      </c>
      <c r="S43" s="75">
        <f>VLOOKUP($A43,'Data Vlaue (Cr)'!$C:$FB,128)*100</f>
        <v>-34.089999999999996</v>
      </c>
    </row>
    <row r="44" spans="1:19" x14ac:dyDescent="0.25">
      <c r="A44" s="96" t="str">
        <f>'Data Vlaue (Cr)'!C35</f>
        <v>BOSCHLTD</v>
      </c>
      <c r="B44" s="75">
        <f>VLOOKUP($A44,'Data Vlaue (Cr)'!$C:$FB,2)</f>
        <v>25</v>
      </c>
      <c r="C44" s="75">
        <f>VLOOKUP($A44,'Data Vlaue (Cr)'!$C:$FB,8)</f>
        <v>38625</v>
      </c>
      <c r="D44" s="75">
        <f>VLOOKUP($A44,'Data Vlaue (Cr)'!$C:$FB,4)</f>
        <v>38805</v>
      </c>
      <c r="E44" s="75">
        <f>VLOOKUP($A44,'Data Vlaue (Cr)'!$C:$FB,5)</f>
        <v>38665</v>
      </c>
      <c r="F44" s="75">
        <f t="shared" si="0"/>
        <v>180</v>
      </c>
      <c r="G44" s="75">
        <f t="shared" si="1"/>
        <v>0.36077825022548637</v>
      </c>
      <c r="H44" s="75">
        <f>VLOOKUP($A44,'Data Vlaue (Cr)'!$C:$FB,99)</f>
        <v>1335</v>
      </c>
      <c r="I44" s="75">
        <f>VLOOKUP($A44,'Data Vlaue (Cr)'!$C:$FB,100)</f>
        <v>1303</v>
      </c>
      <c r="J44" s="75">
        <f t="shared" si="2"/>
        <v>32</v>
      </c>
      <c r="K44" s="75">
        <f t="shared" si="3"/>
        <v>2.3970037453183521</v>
      </c>
      <c r="L44" s="75">
        <f>VLOOKUP($A44,'Data Vlaue (Cr)'!$C:$FB,67)</f>
        <v>491</v>
      </c>
      <c r="M44" s="75">
        <f>VLOOKUP($A44,'Data Vlaue (Cr)'!$C:$FB,68)</f>
        <v>576</v>
      </c>
      <c r="N44" s="75">
        <f t="shared" si="4"/>
        <v>-85</v>
      </c>
      <c r="O44" s="75">
        <f t="shared" si="5"/>
        <v>-17.311608961303463</v>
      </c>
      <c r="P44" s="75">
        <f>VLOOKUP($A44,'Data Vlaue (Cr)'!$C:$FB,119)</f>
        <v>0.6</v>
      </c>
      <c r="Q44" s="75">
        <f>VLOOKUP($A44,'Data Vlaue (Cr)'!$C:$FB,122)*100</f>
        <v>-3.2300000000000004</v>
      </c>
      <c r="R44" s="75">
        <f>VLOOKUP($A44,'Data Vlaue (Cr)'!$C:$FB,125)</f>
        <v>0.28999999999999998</v>
      </c>
      <c r="S44" s="75">
        <f>VLOOKUP($A44,'Data Vlaue (Cr)'!$C:$FB,128)*100</f>
        <v>-71.569999999999993</v>
      </c>
    </row>
    <row r="45" spans="1:19" x14ac:dyDescent="0.25">
      <c r="A45" s="96" t="str">
        <f>'Data Vlaue (Cr)'!C36</f>
        <v>BPCL</v>
      </c>
      <c r="B45" s="75">
        <f>VLOOKUP($A45,'Data Vlaue (Cr)'!$C:$FB,2)</f>
        <v>1975</v>
      </c>
      <c r="C45" s="75">
        <f>VLOOKUP($A45,'Data Vlaue (Cr)'!$C:$FB,8)</f>
        <v>338.7</v>
      </c>
      <c r="D45" s="75">
        <f>VLOOKUP($A45,'Data Vlaue (Cr)'!$C:$FB,4)</f>
        <v>339.95</v>
      </c>
      <c r="E45" s="75">
        <f>VLOOKUP($A45,'Data Vlaue (Cr)'!$C:$FB,5)</f>
        <v>345.85</v>
      </c>
      <c r="F45" s="75">
        <f t="shared" si="0"/>
        <v>1.25</v>
      </c>
      <c r="G45" s="75">
        <f t="shared" si="1"/>
        <v>-1.7355493454919941</v>
      </c>
      <c r="H45" s="75">
        <f>VLOOKUP($A45,'Data Vlaue (Cr)'!$C:$FB,99)</f>
        <v>2050</v>
      </c>
      <c r="I45" s="75">
        <f>VLOOKUP($A45,'Data Vlaue (Cr)'!$C:$FB,100)</f>
        <v>2041</v>
      </c>
      <c r="J45" s="75">
        <f t="shared" si="2"/>
        <v>9</v>
      </c>
      <c r="K45" s="75">
        <f t="shared" si="3"/>
        <v>0.4390243902439025</v>
      </c>
      <c r="L45" s="75">
        <f>VLOOKUP($A45,'Data Vlaue (Cr)'!$C:$FB,67)</f>
        <v>1067</v>
      </c>
      <c r="M45" s="75">
        <f>VLOOKUP($A45,'Data Vlaue (Cr)'!$C:$FB,68)</f>
        <v>1576</v>
      </c>
      <c r="N45" s="75">
        <f t="shared" si="4"/>
        <v>-509</v>
      </c>
      <c r="O45" s="75">
        <f t="shared" si="5"/>
        <v>-47.703842549203372</v>
      </c>
      <c r="P45" s="75">
        <f>VLOOKUP($A45,'Data Vlaue (Cr)'!$C:$FB,119)</f>
        <v>0.78</v>
      </c>
      <c r="Q45" s="75">
        <f>VLOOKUP($A45,'Data Vlaue (Cr)'!$C:$FB,122)*100</f>
        <v>-12.36</v>
      </c>
      <c r="R45" s="75">
        <f>VLOOKUP($A45,'Data Vlaue (Cr)'!$C:$FB,125)</f>
        <v>0.55000000000000004</v>
      </c>
      <c r="S45" s="75">
        <f>VLOOKUP($A45,'Data Vlaue (Cr)'!$C:$FB,128)*100</f>
        <v>34.150000000000006</v>
      </c>
    </row>
    <row r="46" spans="1:19" x14ac:dyDescent="0.25">
      <c r="A46" s="96" t="str">
        <f>'Data Vlaue (Cr)'!C37</f>
        <v>BRITANNIA</v>
      </c>
      <c r="B46" s="75">
        <f>VLOOKUP($A46,'Data Vlaue (Cr)'!$C:$FB,2)</f>
        <v>125</v>
      </c>
      <c r="C46" s="75">
        <f>VLOOKUP($A46,'Data Vlaue (Cr)'!$C:$FB,8)</f>
        <v>5871.5</v>
      </c>
      <c r="D46" s="75">
        <f>VLOOKUP($A46,'Data Vlaue (Cr)'!$C:$FB,4)</f>
        <v>5895.5</v>
      </c>
      <c r="E46" s="75">
        <f>VLOOKUP($A46,'Data Vlaue (Cr)'!$C:$FB,5)</f>
        <v>5899.5</v>
      </c>
      <c r="F46" s="75">
        <f t="shared" si="0"/>
        <v>24</v>
      </c>
      <c r="G46" s="75">
        <f t="shared" si="1"/>
        <v>-6.7848358917818666E-2</v>
      </c>
      <c r="H46" s="75">
        <f>VLOOKUP($A46,'Data Vlaue (Cr)'!$C:$FB,99)</f>
        <v>3069</v>
      </c>
      <c r="I46" s="75">
        <f>VLOOKUP($A46,'Data Vlaue (Cr)'!$C:$FB,100)</f>
        <v>3073</v>
      </c>
      <c r="J46" s="75">
        <f t="shared" si="2"/>
        <v>-4</v>
      </c>
      <c r="K46" s="75">
        <f t="shared" si="3"/>
        <v>-0.13033561420658196</v>
      </c>
      <c r="L46" s="75">
        <f>VLOOKUP($A46,'Data Vlaue (Cr)'!$C:$FB,67)</f>
        <v>505</v>
      </c>
      <c r="M46" s="75">
        <f>VLOOKUP($A46,'Data Vlaue (Cr)'!$C:$FB,68)</f>
        <v>861</v>
      </c>
      <c r="N46" s="75">
        <f t="shared" si="4"/>
        <v>-356</v>
      </c>
      <c r="O46" s="75">
        <f t="shared" si="5"/>
        <v>-70.495049504950487</v>
      </c>
      <c r="P46" s="75">
        <f>VLOOKUP($A46,'Data Vlaue (Cr)'!$C:$FB,119)</f>
        <v>0.5</v>
      </c>
      <c r="Q46" s="75">
        <f>VLOOKUP($A46,'Data Vlaue (Cr)'!$C:$FB,122)*100</f>
        <v>-1.96</v>
      </c>
      <c r="R46" s="75">
        <f>VLOOKUP($A46,'Data Vlaue (Cr)'!$C:$FB,125)</f>
        <v>0.34</v>
      </c>
      <c r="S46" s="75">
        <f>VLOOKUP($A46,'Data Vlaue (Cr)'!$C:$FB,128)*100</f>
        <v>0</v>
      </c>
    </row>
    <row r="47" spans="1:19" x14ac:dyDescent="0.25">
      <c r="A47" s="96" t="str">
        <f>'Data Vlaue (Cr)'!C38</f>
        <v>BSE</v>
      </c>
      <c r="B47" s="75">
        <f>VLOOKUP($A47,'Data Vlaue (Cr)'!$C:$FB,2)</f>
        <v>375</v>
      </c>
      <c r="C47" s="75">
        <f>VLOOKUP($A47,'Data Vlaue (Cr)'!$C:$FB,8)</f>
        <v>2385</v>
      </c>
      <c r="D47" s="75">
        <f>VLOOKUP($A47,'Data Vlaue (Cr)'!$C:$FB,4)</f>
        <v>2393.4</v>
      </c>
      <c r="E47" s="75">
        <f>VLOOKUP($A47,'Data Vlaue (Cr)'!$C:$FB,5)</f>
        <v>2344</v>
      </c>
      <c r="F47" s="75">
        <f t="shared" si="0"/>
        <v>8.4000000000000909</v>
      </c>
      <c r="G47" s="75">
        <f t="shared" si="1"/>
        <v>2.064009359070782</v>
      </c>
      <c r="H47" s="75">
        <f>VLOOKUP($A47,'Data Vlaue (Cr)'!$C:$FB,99)</f>
        <v>7261</v>
      </c>
      <c r="I47" s="75">
        <f>VLOOKUP($A47,'Data Vlaue (Cr)'!$C:$FB,100)</f>
        <v>7197</v>
      </c>
      <c r="J47" s="75">
        <f t="shared" si="2"/>
        <v>64</v>
      </c>
      <c r="K47" s="75">
        <f t="shared" si="3"/>
        <v>0.88142129183308093</v>
      </c>
      <c r="L47" s="75">
        <f>VLOOKUP($A47,'Data Vlaue (Cr)'!$C:$FB,67)</f>
        <v>13466</v>
      </c>
      <c r="M47" s="75">
        <f>VLOOKUP($A47,'Data Vlaue (Cr)'!$C:$FB,68)</f>
        <v>14768</v>
      </c>
      <c r="N47" s="75">
        <f t="shared" si="4"/>
        <v>-1302</v>
      </c>
      <c r="O47" s="75">
        <f t="shared" si="5"/>
        <v>-9.6687954849249973</v>
      </c>
      <c r="P47" s="75">
        <f>VLOOKUP($A47,'Data Vlaue (Cr)'!$C:$FB,119)</f>
        <v>1.02</v>
      </c>
      <c r="Q47" s="75">
        <f>VLOOKUP($A47,'Data Vlaue (Cr)'!$C:$FB,122)*100</f>
        <v>-1.92</v>
      </c>
      <c r="R47" s="75">
        <f>VLOOKUP($A47,'Data Vlaue (Cr)'!$C:$FB,125)</f>
        <v>0.46</v>
      </c>
      <c r="S47" s="75">
        <f>VLOOKUP($A47,'Data Vlaue (Cr)'!$C:$FB,128)*100</f>
        <v>-20.69</v>
      </c>
    </row>
    <row r="48" spans="1:19" x14ac:dyDescent="0.25">
      <c r="A48" s="96" t="str">
        <f>'Data Vlaue (Cr)'!C39</f>
        <v>CAMS</v>
      </c>
      <c r="B48" s="75">
        <f>VLOOKUP($A48,'Data Vlaue (Cr)'!$C:$FB,2)</f>
        <v>150</v>
      </c>
      <c r="C48" s="75">
        <f>VLOOKUP($A48,'Data Vlaue (Cr)'!$C:$FB,8)</f>
        <v>3860.8</v>
      </c>
      <c r="D48" s="75">
        <f>VLOOKUP($A48,'Data Vlaue (Cr)'!$C:$FB,4)</f>
        <v>3872.3</v>
      </c>
      <c r="E48" s="75">
        <f>VLOOKUP($A48,'Data Vlaue (Cr)'!$C:$FB,5)</f>
        <v>3849.4</v>
      </c>
      <c r="F48" s="75">
        <f t="shared" si="0"/>
        <v>11.5</v>
      </c>
      <c r="G48" s="75">
        <f t="shared" si="1"/>
        <v>0.59137980011879476</v>
      </c>
      <c r="H48" s="75">
        <f>VLOOKUP($A48,'Data Vlaue (Cr)'!$C:$FB,99)</f>
        <v>1543</v>
      </c>
      <c r="I48" s="75">
        <f>VLOOKUP($A48,'Data Vlaue (Cr)'!$C:$FB,100)</f>
        <v>1535</v>
      </c>
      <c r="J48" s="75">
        <f t="shared" si="2"/>
        <v>8</v>
      </c>
      <c r="K48" s="75">
        <f t="shared" si="3"/>
        <v>0.51847051198963057</v>
      </c>
      <c r="L48" s="75">
        <f>VLOOKUP($A48,'Data Vlaue (Cr)'!$C:$FB,67)</f>
        <v>907</v>
      </c>
      <c r="M48" s="75">
        <f>VLOOKUP($A48,'Data Vlaue (Cr)'!$C:$FB,68)</f>
        <v>914</v>
      </c>
      <c r="N48" s="75">
        <f t="shared" si="4"/>
        <v>-7</v>
      </c>
      <c r="O48" s="75">
        <f t="shared" si="5"/>
        <v>-0.77177508269018735</v>
      </c>
      <c r="P48" s="75">
        <f>VLOOKUP($A48,'Data Vlaue (Cr)'!$C:$FB,119)</f>
        <v>0.62</v>
      </c>
      <c r="Q48" s="75">
        <f>VLOOKUP($A48,'Data Vlaue (Cr)'!$C:$FB,122)*100</f>
        <v>1.6400000000000001</v>
      </c>
      <c r="R48" s="75">
        <f>VLOOKUP($A48,'Data Vlaue (Cr)'!$C:$FB,125)</f>
        <v>0.24</v>
      </c>
      <c r="S48" s="75">
        <f>VLOOKUP($A48,'Data Vlaue (Cr)'!$C:$FB,128)*100</f>
        <v>9.09</v>
      </c>
    </row>
    <row r="49" spans="1:19" x14ac:dyDescent="0.25">
      <c r="A49" s="96" t="str">
        <f>'Data Vlaue (Cr)'!C40</f>
        <v>CANBK</v>
      </c>
      <c r="B49" s="75">
        <f>VLOOKUP($A49,'Data Vlaue (Cr)'!$C:$FB,2)</f>
        <v>6750</v>
      </c>
      <c r="C49" s="75">
        <f>VLOOKUP($A49,'Data Vlaue (Cr)'!$C:$FB,8)</f>
        <v>127.39</v>
      </c>
      <c r="D49" s="75">
        <f>VLOOKUP($A49,'Data Vlaue (Cr)'!$C:$FB,4)</f>
        <v>127.76</v>
      </c>
      <c r="E49" s="75">
        <f>VLOOKUP($A49,'Data Vlaue (Cr)'!$C:$FB,5)</f>
        <v>126.84</v>
      </c>
      <c r="F49" s="75">
        <f t="shared" si="0"/>
        <v>0.37000000000000455</v>
      </c>
      <c r="G49" s="75">
        <f t="shared" si="1"/>
        <v>0.72010018785222418</v>
      </c>
      <c r="H49" s="75">
        <f>VLOOKUP($A49,'Data Vlaue (Cr)'!$C:$FB,99)</f>
        <v>5739</v>
      </c>
      <c r="I49" s="75">
        <f>VLOOKUP($A49,'Data Vlaue (Cr)'!$C:$FB,100)</f>
        <v>5844</v>
      </c>
      <c r="J49" s="75">
        <f t="shared" si="2"/>
        <v>-105</v>
      </c>
      <c r="K49" s="75">
        <f t="shared" si="3"/>
        <v>-1.8295870360690014</v>
      </c>
      <c r="L49" s="75">
        <f>VLOOKUP($A49,'Data Vlaue (Cr)'!$C:$FB,67)</f>
        <v>4053</v>
      </c>
      <c r="M49" s="75">
        <f>VLOOKUP($A49,'Data Vlaue (Cr)'!$C:$FB,68)</f>
        <v>2150</v>
      </c>
      <c r="N49" s="75">
        <f t="shared" si="4"/>
        <v>1903</v>
      </c>
      <c r="O49" s="75">
        <f t="shared" si="5"/>
        <v>46.95287441401431</v>
      </c>
      <c r="P49" s="75">
        <f>VLOOKUP($A49,'Data Vlaue (Cr)'!$C:$FB,119)</f>
        <v>0.85</v>
      </c>
      <c r="Q49" s="75">
        <f>VLOOKUP($A49,'Data Vlaue (Cr)'!$C:$FB,122)*100</f>
        <v>7.59</v>
      </c>
      <c r="R49" s="75">
        <f>VLOOKUP($A49,'Data Vlaue (Cr)'!$C:$FB,125)</f>
        <v>0.47</v>
      </c>
      <c r="S49" s="75">
        <f>VLOOKUP($A49,'Data Vlaue (Cr)'!$C:$FB,128)*100</f>
        <v>-12.959999999999999</v>
      </c>
    </row>
    <row r="50" spans="1:19" x14ac:dyDescent="0.25">
      <c r="A50" s="96" t="str">
        <f>'Data Vlaue (Cr)'!C41</f>
        <v>CDSL</v>
      </c>
      <c r="B50" s="75">
        <f>VLOOKUP($A50,'Data Vlaue (Cr)'!$C:$FB,2)</f>
        <v>475</v>
      </c>
      <c r="C50" s="75">
        <f>VLOOKUP($A50,'Data Vlaue (Cr)'!$C:$FB,8)</f>
        <v>1605.3</v>
      </c>
      <c r="D50" s="75">
        <f>VLOOKUP($A50,'Data Vlaue (Cr)'!$C:$FB,4)</f>
        <v>1614.6</v>
      </c>
      <c r="E50" s="75">
        <f>VLOOKUP($A50,'Data Vlaue (Cr)'!$C:$FB,5)</f>
        <v>1567.4</v>
      </c>
      <c r="F50" s="75">
        <f t="shared" si="0"/>
        <v>9.2999999999999545</v>
      </c>
      <c r="G50" s="75">
        <f t="shared" si="1"/>
        <v>2.9233246624550859</v>
      </c>
      <c r="H50" s="75">
        <f>VLOOKUP($A50,'Data Vlaue (Cr)'!$C:$FB,99)</f>
        <v>2793</v>
      </c>
      <c r="I50" s="75">
        <f>VLOOKUP($A50,'Data Vlaue (Cr)'!$C:$FB,100)</f>
        <v>2854</v>
      </c>
      <c r="J50" s="75">
        <f t="shared" si="2"/>
        <v>-61</v>
      </c>
      <c r="K50" s="75">
        <f t="shared" si="3"/>
        <v>-2.1840315073397778</v>
      </c>
      <c r="L50" s="75">
        <f>VLOOKUP($A50,'Data Vlaue (Cr)'!$C:$FB,67)</f>
        <v>5326</v>
      </c>
      <c r="M50" s="75">
        <f>VLOOKUP($A50,'Data Vlaue (Cr)'!$C:$FB,68)</f>
        <v>2148</v>
      </c>
      <c r="N50" s="75">
        <f t="shared" si="4"/>
        <v>3178</v>
      </c>
      <c r="O50" s="75">
        <f t="shared" si="5"/>
        <v>59.669545625234697</v>
      </c>
      <c r="P50" s="75">
        <f>VLOOKUP($A50,'Data Vlaue (Cr)'!$C:$FB,119)</f>
        <v>0.67</v>
      </c>
      <c r="Q50" s="75">
        <f>VLOOKUP($A50,'Data Vlaue (Cr)'!$C:$FB,122)*100</f>
        <v>3.08</v>
      </c>
      <c r="R50" s="75">
        <f>VLOOKUP($A50,'Data Vlaue (Cr)'!$C:$FB,125)</f>
        <v>0.27</v>
      </c>
      <c r="S50" s="75">
        <f>VLOOKUP($A50,'Data Vlaue (Cr)'!$C:$FB,128)*100</f>
        <v>-22.86</v>
      </c>
    </row>
    <row r="51" spans="1:19" x14ac:dyDescent="0.25">
      <c r="A51" s="96" t="str">
        <f>'Data Vlaue (Cr)'!C42</f>
        <v>CGPOWER</v>
      </c>
      <c r="B51" s="75">
        <f>VLOOKUP($A51,'Data Vlaue (Cr)'!$C:$FB,2)</f>
        <v>850</v>
      </c>
      <c r="C51" s="75">
        <f>VLOOKUP($A51,'Data Vlaue (Cr)'!$C:$FB,8)</f>
        <v>753.4</v>
      </c>
      <c r="D51" s="75">
        <f>VLOOKUP($A51,'Data Vlaue (Cr)'!$C:$FB,4)</f>
        <v>756</v>
      </c>
      <c r="E51" s="75">
        <f>VLOOKUP($A51,'Data Vlaue (Cr)'!$C:$FB,5)</f>
        <v>763.25</v>
      </c>
      <c r="F51" s="75">
        <f t="shared" si="0"/>
        <v>2.6000000000000227</v>
      </c>
      <c r="G51" s="75">
        <f t="shared" si="1"/>
        <v>-0.95899470899470896</v>
      </c>
      <c r="H51" s="75">
        <f>VLOOKUP($A51,'Data Vlaue (Cr)'!$C:$FB,99)</f>
        <v>2125</v>
      </c>
      <c r="I51" s="75">
        <f>VLOOKUP($A51,'Data Vlaue (Cr)'!$C:$FB,100)</f>
        <v>2046</v>
      </c>
      <c r="J51" s="75">
        <f t="shared" si="2"/>
        <v>79</v>
      </c>
      <c r="K51" s="75">
        <f t="shared" si="3"/>
        <v>3.7176470588235295</v>
      </c>
      <c r="L51" s="75">
        <f>VLOOKUP($A51,'Data Vlaue (Cr)'!$C:$FB,67)</f>
        <v>866</v>
      </c>
      <c r="M51" s="75">
        <f>VLOOKUP($A51,'Data Vlaue (Cr)'!$C:$FB,68)</f>
        <v>1307</v>
      </c>
      <c r="N51" s="75">
        <f t="shared" si="4"/>
        <v>-441</v>
      </c>
      <c r="O51" s="75">
        <f t="shared" si="5"/>
        <v>-50.92378752886836</v>
      </c>
      <c r="P51" s="75">
        <f>VLOOKUP($A51,'Data Vlaue (Cr)'!$C:$FB,119)</f>
        <v>0.62</v>
      </c>
      <c r="Q51" s="75">
        <f>VLOOKUP($A51,'Data Vlaue (Cr)'!$C:$FB,122)*100</f>
        <v>5.08</v>
      </c>
      <c r="R51" s="75">
        <f>VLOOKUP($A51,'Data Vlaue (Cr)'!$C:$FB,125)</f>
        <v>0.39</v>
      </c>
      <c r="S51" s="75">
        <f>VLOOKUP($A51,'Data Vlaue (Cr)'!$C:$FB,128)*100</f>
        <v>56.000000000000007</v>
      </c>
    </row>
    <row r="52" spans="1:19" x14ac:dyDescent="0.25">
      <c r="A52" s="96" t="str">
        <f>'Data Vlaue (Cr)'!C43</f>
        <v>CHOLAFIN</v>
      </c>
      <c r="B52" s="75">
        <f>VLOOKUP($A52,'Data Vlaue (Cr)'!$C:$FB,2)</f>
        <v>625</v>
      </c>
      <c r="C52" s="75">
        <f>VLOOKUP($A52,'Data Vlaue (Cr)'!$C:$FB,8)</f>
        <v>1614.2</v>
      </c>
      <c r="D52" s="75">
        <f>VLOOKUP($A52,'Data Vlaue (Cr)'!$C:$FB,4)</f>
        <v>1611.6</v>
      </c>
      <c r="E52" s="75">
        <f>VLOOKUP($A52,'Data Vlaue (Cr)'!$C:$FB,5)</f>
        <v>1617.4</v>
      </c>
      <c r="F52" s="75">
        <f t="shared" si="0"/>
        <v>-2.6000000000001364</v>
      </c>
      <c r="G52" s="75">
        <f t="shared" si="1"/>
        <v>-0.35989079175975319</v>
      </c>
      <c r="H52" s="75">
        <f>VLOOKUP($A52,'Data Vlaue (Cr)'!$C:$FB,99)</f>
        <v>3223</v>
      </c>
      <c r="I52" s="75">
        <f>VLOOKUP($A52,'Data Vlaue (Cr)'!$C:$FB,100)</f>
        <v>3214</v>
      </c>
      <c r="J52" s="75">
        <f t="shared" si="2"/>
        <v>9</v>
      </c>
      <c r="K52" s="75">
        <f t="shared" si="3"/>
        <v>0.27924294135898231</v>
      </c>
      <c r="L52" s="75">
        <f>VLOOKUP($A52,'Data Vlaue (Cr)'!$C:$FB,67)</f>
        <v>890</v>
      </c>
      <c r="M52" s="75">
        <f>VLOOKUP($A52,'Data Vlaue (Cr)'!$C:$FB,68)</f>
        <v>1110</v>
      </c>
      <c r="N52" s="75">
        <f t="shared" si="4"/>
        <v>-220</v>
      </c>
      <c r="O52" s="75">
        <f t="shared" si="5"/>
        <v>-24.719101123595504</v>
      </c>
      <c r="P52" s="75">
        <f>VLOOKUP($A52,'Data Vlaue (Cr)'!$C:$FB,119)</f>
        <v>0.73</v>
      </c>
      <c r="Q52" s="75">
        <f>VLOOKUP($A52,'Data Vlaue (Cr)'!$C:$FB,122)*100</f>
        <v>0</v>
      </c>
      <c r="R52" s="75">
        <f>VLOOKUP($A52,'Data Vlaue (Cr)'!$C:$FB,125)</f>
        <v>0.39</v>
      </c>
      <c r="S52" s="75">
        <f>VLOOKUP($A52,'Data Vlaue (Cr)'!$C:$FB,128)*100</f>
        <v>-17.02</v>
      </c>
    </row>
    <row r="53" spans="1:19" x14ac:dyDescent="0.25">
      <c r="A53" s="96" t="str">
        <f>'Data Vlaue (Cr)'!C44</f>
        <v>CIPLA</v>
      </c>
      <c r="B53" s="75">
        <f>VLOOKUP($A53,'Data Vlaue (Cr)'!$C:$FB,2)</f>
        <v>375</v>
      </c>
      <c r="C53" s="75">
        <f>VLOOKUP($A53,'Data Vlaue (Cr)'!$C:$FB,8)</f>
        <v>1561.8</v>
      </c>
      <c r="D53" s="75">
        <f>VLOOKUP($A53,'Data Vlaue (Cr)'!$C:$FB,4)</f>
        <v>1572.2</v>
      </c>
      <c r="E53" s="75">
        <f>VLOOKUP($A53,'Data Vlaue (Cr)'!$C:$FB,5)</f>
        <v>1517.3</v>
      </c>
      <c r="F53" s="75">
        <f t="shared" si="0"/>
        <v>10.400000000000091</v>
      </c>
      <c r="G53" s="75">
        <f t="shared" si="1"/>
        <v>3.4919221473095083</v>
      </c>
      <c r="H53" s="75">
        <f>VLOOKUP($A53,'Data Vlaue (Cr)'!$C:$FB,99)</f>
        <v>2891</v>
      </c>
      <c r="I53" s="75">
        <f>VLOOKUP($A53,'Data Vlaue (Cr)'!$C:$FB,100)</f>
        <v>2572</v>
      </c>
      <c r="J53" s="75">
        <f t="shared" si="2"/>
        <v>319</v>
      </c>
      <c r="K53" s="75">
        <f t="shared" si="3"/>
        <v>11.034244206157039</v>
      </c>
      <c r="L53" s="75">
        <f>VLOOKUP($A53,'Data Vlaue (Cr)'!$C:$FB,67)</f>
        <v>5065</v>
      </c>
      <c r="M53" s="75">
        <f>VLOOKUP($A53,'Data Vlaue (Cr)'!$C:$FB,68)</f>
        <v>1278</v>
      </c>
      <c r="N53" s="75">
        <f t="shared" si="4"/>
        <v>3787</v>
      </c>
      <c r="O53" s="75">
        <f t="shared" si="5"/>
        <v>74.768015794669296</v>
      </c>
      <c r="P53" s="75">
        <f>VLOOKUP($A53,'Data Vlaue (Cr)'!$C:$FB,119)</f>
        <v>0.8</v>
      </c>
      <c r="Q53" s="75">
        <f>VLOOKUP($A53,'Data Vlaue (Cr)'!$C:$FB,122)*100</f>
        <v>40.35</v>
      </c>
      <c r="R53" s="75">
        <f>VLOOKUP($A53,'Data Vlaue (Cr)'!$C:$FB,125)</f>
        <v>0.38</v>
      </c>
      <c r="S53" s="75">
        <f>VLOOKUP($A53,'Data Vlaue (Cr)'!$C:$FB,128)*100</f>
        <v>18.75</v>
      </c>
    </row>
    <row r="54" spans="1:19" x14ac:dyDescent="0.25">
      <c r="A54" s="96" t="str">
        <f>'Data Vlaue (Cr)'!C45</f>
        <v>COALINDIA</v>
      </c>
      <c r="B54" s="75">
        <f>VLOOKUP($A54,'Data Vlaue (Cr)'!$C:$FB,2)</f>
        <v>1350</v>
      </c>
      <c r="C54" s="75">
        <f>VLOOKUP($A54,'Data Vlaue (Cr)'!$C:$FB,8)</f>
        <v>384.5</v>
      </c>
      <c r="D54" s="75">
        <f>VLOOKUP($A54,'Data Vlaue (Cr)'!$C:$FB,4)</f>
        <v>385.7</v>
      </c>
      <c r="E54" s="75">
        <f>VLOOKUP($A54,'Data Vlaue (Cr)'!$C:$FB,5)</f>
        <v>385.45</v>
      </c>
      <c r="F54" s="75">
        <f t="shared" si="0"/>
        <v>1.1999999999999886</v>
      </c>
      <c r="G54" s="75">
        <f t="shared" si="1"/>
        <v>6.4817215452424165E-2</v>
      </c>
      <c r="H54" s="75">
        <f>VLOOKUP($A54,'Data Vlaue (Cr)'!$C:$FB,99)</f>
        <v>4644</v>
      </c>
      <c r="I54" s="75">
        <f>VLOOKUP($A54,'Data Vlaue (Cr)'!$C:$FB,100)</f>
        <v>4536</v>
      </c>
      <c r="J54" s="75">
        <f t="shared" si="2"/>
        <v>108</v>
      </c>
      <c r="K54" s="75">
        <f t="shared" si="3"/>
        <v>2.3255813953488373</v>
      </c>
      <c r="L54" s="75">
        <f>VLOOKUP($A54,'Data Vlaue (Cr)'!$C:$FB,67)</f>
        <v>1171</v>
      </c>
      <c r="M54" s="75">
        <f>VLOOKUP($A54,'Data Vlaue (Cr)'!$C:$FB,68)</f>
        <v>1316</v>
      </c>
      <c r="N54" s="75">
        <f t="shared" si="4"/>
        <v>-145</v>
      </c>
      <c r="O54" s="75">
        <f t="shared" si="5"/>
        <v>-12.382578992314262</v>
      </c>
      <c r="P54" s="75">
        <f>VLOOKUP($A54,'Data Vlaue (Cr)'!$C:$FB,119)</f>
        <v>0.66</v>
      </c>
      <c r="Q54" s="75">
        <f>VLOOKUP($A54,'Data Vlaue (Cr)'!$C:$FB,122)*100</f>
        <v>-1.49</v>
      </c>
      <c r="R54" s="75">
        <f>VLOOKUP($A54,'Data Vlaue (Cr)'!$C:$FB,125)</f>
        <v>0.47</v>
      </c>
      <c r="S54" s="75">
        <f>VLOOKUP($A54,'Data Vlaue (Cr)'!$C:$FB,128)*100</f>
        <v>4.4400000000000004</v>
      </c>
    </row>
    <row r="55" spans="1:19" x14ac:dyDescent="0.25">
      <c r="A55" s="96" t="str">
        <f>'Data Vlaue (Cr)'!C46</f>
        <v>COFORGE</v>
      </c>
      <c r="B55" s="75">
        <f>VLOOKUP($A55,'Data Vlaue (Cr)'!$C:$FB,2)</f>
        <v>375</v>
      </c>
      <c r="C55" s="75">
        <f>VLOOKUP($A55,'Data Vlaue (Cr)'!$C:$FB,8)</f>
        <v>1722.3</v>
      </c>
      <c r="D55" s="75">
        <f>VLOOKUP($A55,'Data Vlaue (Cr)'!$C:$FB,4)</f>
        <v>1731.1</v>
      </c>
      <c r="E55" s="75">
        <f>VLOOKUP($A55,'Data Vlaue (Cr)'!$C:$FB,5)</f>
        <v>1729.4</v>
      </c>
      <c r="F55" s="75">
        <f t="shared" si="0"/>
        <v>8.7999999999999545</v>
      </c>
      <c r="G55" s="75">
        <f t="shared" si="1"/>
        <v>9.8203454450916661E-2</v>
      </c>
      <c r="H55" s="75">
        <f>VLOOKUP($A55,'Data Vlaue (Cr)'!$C:$FB,99)</f>
        <v>3413</v>
      </c>
      <c r="I55" s="75">
        <f>VLOOKUP($A55,'Data Vlaue (Cr)'!$C:$FB,100)</f>
        <v>3512</v>
      </c>
      <c r="J55" s="75">
        <f t="shared" si="2"/>
        <v>-99</v>
      </c>
      <c r="K55" s="75">
        <f t="shared" si="3"/>
        <v>-2.9006738939349548</v>
      </c>
      <c r="L55" s="75">
        <f>VLOOKUP($A55,'Data Vlaue (Cr)'!$C:$FB,67)</f>
        <v>2303</v>
      </c>
      <c r="M55" s="75">
        <f>VLOOKUP($A55,'Data Vlaue (Cr)'!$C:$FB,68)</f>
        <v>2346</v>
      </c>
      <c r="N55" s="75">
        <f t="shared" si="4"/>
        <v>-43</v>
      </c>
      <c r="O55" s="75">
        <f t="shared" si="5"/>
        <v>-1.8671298306556665</v>
      </c>
      <c r="P55" s="75">
        <f>VLOOKUP($A55,'Data Vlaue (Cr)'!$C:$FB,119)</f>
        <v>0.69</v>
      </c>
      <c r="Q55" s="75">
        <f>VLOOKUP($A55,'Data Vlaue (Cr)'!$C:$FB,122)*100</f>
        <v>9.5200000000000014</v>
      </c>
      <c r="R55" s="75">
        <f>VLOOKUP($A55,'Data Vlaue (Cr)'!$C:$FB,125)</f>
        <v>0.52</v>
      </c>
      <c r="S55" s="75">
        <f>VLOOKUP($A55,'Data Vlaue (Cr)'!$C:$FB,128)*100</f>
        <v>-7.1400000000000006</v>
      </c>
    </row>
    <row r="56" spans="1:19" x14ac:dyDescent="0.25">
      <c r="A56" s="96" t="str">
        <f>'Data Vlaue (Cr)'!C47</f>
        <v>COLPAL</v>
      </c>
      <c r="B56" s="75">
        <f>VLOOKUP($A56,'Data Vlaue (Cr)'!$C:$FB,2)</f>
        <v>225</v>
      </c>
      <c r="C56" s="75">
        <f>VLOOKUP($A56,'Data Vlaue (Cr)'!$C:$FB,8)</f>
        <v>2227.8000000000002</v>
      </c>
      <c r="D56" s="75">
        <f>VLOOKUP($A56,'Data Vlaue (Cr)'!$C:$FB,4)</f>
        <v>2238.8000000000002</v>
      </c>
      <c r="E56" s="75">
        <f>VLOOKUP($A56,'Data Vlaue (Cr)'!$C:$FB,5)</f>
        <v>2218.6999999999998</v>
      </c>
      <c r="F56" s="75">
        <f t="shared" si="0"/>
        <v>11</v>
      </c>
      <c r="G56" s="75">
        <f t="shared" si="1"/>
        <v>0.89780239413973384</v>
      </c>
      <c r="H56" s="75">
        <f>VLOOKUP($A56,'Data Vlaue (Cr)'!$C:$FB,99)</f>
        <v>1882</v>
      </c>
      <c r="I56" s="75">
        <f>VLOOKUP($A56,'Data Vlaue (Cr)'!$C:$FB,100)</f>
        <v>1848</v>
      </c>
      <c r="J56" s="75">
        <f t="shared" si="2"/>
        <v>34</v>
      </c>
      <c r="K56" s="75">
        <f t="shared" si="3"/>
        <v>1.8065887353878853</v>
      </c>
      <c r="L56" s="75">
        <f>VLOOKUP($A56,'Data Vlaue (Cr)'!$C:$FB,67)</f>
        <v>525</v>
      </c>
      <c r="M56" s="75">
        <f>VLOOKUP($A56,'Data Vlaue (Cr)'!$C:$FB,68)</f>
        <v>319</v>
      </c>
      <c r="N56" s="75">
        <f t="shared" si="4"/>
        <v>206</v>
      </c>
      <c r="O56" s="75">
        <f t="shared" si="5"/>
        <v>39.238095238095241</v>
      </c>
      <c r="P56" s="75">
        <f>VLOOKUP($A56,'Data Vlaue (Cr)'!$C:$FB,119)</f>
        <v>0.81</v>
      </c>
      <c r="Q56" s="75">
        <f>VLOOKUP($A56,'Data Vlaue (Cr)'!$C:$FB,122)*100</f>
        <v>3.85</v>
      </c>
      <c r="R56" s="75">
        <f>VLOOKUP($A56,'Data Vlaue (Cr)'!$C:$FB,125)</f>
        <v>0.3</v>
      </c>
      <c r="S56" s="75">
        <f>VLOOKUP($A56,'Data Vlaue (Cr)'!$C:$FB,128)*100</f>
        <v>3.45</v>
      </c>
    </row>
    <row r="57" spans="1:19" x14ac:dyDescent="0.25">
      <c r="A57" s="96" t="str">
        <f>'Data Vlaue (Cr)'!C48</f>
        <v>CONCOR</v>
      </c>
      <c r="B57" s="75">
        <f>VLOOKUP($A57,'Data Vlaue (Cr)'!$C:$FB,2)</f>
        <v>1250</v>
      </c>
      <c r="C57" s="75">
        <f>VLOOKUP($A57,'Data Vlaue (Cr)'!$C:$FB,8)</f>
        <v>541.4</v>
      </c>
      <c r="D57" s="75">
        <f>VLOOKUP($A57,'Data Vlaue (Cr)'!$C:$FB,4)</f>
        <v>542.65</v>
      </c>
      <c r="E57" s="75">
        <f>VLOOKUP($A57,'Data Vlaue (Cr)'!$C:$FB,5)</f>
        <v>540.1</v>
      </c>
      <c r="F57" s="75">
        <f t="shared" si="0"/>
        <v>1.25</v>
      </c>
      <c r="G57" s="75">
        <f t="shared" si="1"/>
        <v>0.46991615221596883</v>
      </c>
      <c r="H57" s="75">
        <f>VLOOKUP($A57,'Data Vlaue (Cr)'!$C:$FB,99)</f>
        <v>2333</v>
      </c>
      <c r="I57" s="75">
        <f>VLOOKUP($A57,'Data Vlaue (Cr)'!$C:$FB,100)</f>
        <v>2334</v>
      </c>
      <c r="J57" s="75">
        <f t="shared" si="2"/>
        <v>-1</v>
      </c>
      <c r="K57" s="75">
        <f t="shared" si="3"/>
        <v>-4.2863266180882979E-2</v>
      </c>
      <c r="L57" s="75">
        <f>VLOOKUP($A57,'Data Vlaue (Cr)'!$C:$FB,67)</f>
        <v>976</v>
      </c>
      <c r="M57" s="75">
        <f>VLOOKUP($A57,'Data Vlaue (Cr)'!$C:$FB,68)</f>
        <v>1451</v>
      </c>
      <c r="N57" s="75">
        <f t="shared" si="4"/>
        <v>-475</v>
      </c>
      <c r="O57" s="75">
        <f t="shared" si="5"/>
        <v>-48.668032786885249</v>
      </c>
      <c r="P57" s="75">
        <f>VLOOKUP($A57,'Data Vlaue (Cr)'!$C:$FB,119)</f>
        <v>0.74</v>
      </c>
      <c r="Q57" s="75">
        <f>VLOOKUP($A57,'Data Vlaue (Cr)'!$C:$FB,122)*100</f>
        <v>2.78</v>
      </c>
      <c r="R57" s="75">
        <f>VLOOKUP($A57,'Data Vlaue (Cr)'!$C:$FB,125)</f>
        <v>0.3</v>
      </c>
      <c r="S57" s="75">
        <f>VLOOKUP($A57,'Data Vlaue (Cr)'!$C:$FB,128)*100</f>
        <v>-9.09</v>
      </c>
    </row>
    <row r="58" spans="1:19" x14ac:dyDescent="0.25">
      <c r="A58" s="96" t="str">
        <f>'Data Vlaue (Cr)'!C49</f>
        <v>CROMPTON</v>
      </c>
      <c r="B58" s="75">
        <f>VLOOKUP($A58,'Data Vlaue (Cr)'!$C:$FB,2)</f>
        <v>1800</v>
      </c>
      <c r="C58" s="75">
        <f>VLOOKUP($A58,'Data Vlaue (Cr)'!$C:$FB,8)</f>
        <v>287.75</v>
      </c>
      <c r="D58" s="75">
        <f>VLOOKUP($A58,'Data Vlaue (Cr)'!$C:$FB,4)</f>
        <v>289.14999999999998</v>
      </c>
      <c r="E58" s="75">
        <f>VLOOKUP($A58,'Data Vlaue (Cr)'!$C:$FB,5)</f>
        <v>286.3</v>
      </c>
      <c r="F58" s="75">
        <f t="shared" si="0"/>
        <v>1.3999999999999773</v>
      </c>
      <c r="G58" s="75">
        <f t="shared" si="1"/>
        <v>0.98564758775720773</v>
      </c>
      <c r="H58" s="75">
        <f>VLOOKUP($A58,'Data Vlaue (Cr)'!$C:$FB,99)</f>
        <v>2334</v>
      </c>
      <c r="I58" s="75">
        <f>VLOOKUP($A58,'Data Vlaue (Cr)'!$C:$FB,100)</f>
        <v>2314</v>
      </c>
      <c r="J58" s="75">
        <f t="shared" si="2"/>
        <v>20</v>
      </c>
      <c r="K58" s="75">
        <f t="shared" si="3"/>
        <v>0.85689802913453306</v>
      </c>
      <c r="L58" s="75">
        <f>VLOOKUP($A58,'Data Vlaue (Cr)'!$C:$FB,67)</f>
        <v>767</v>
      </c>
      <c r="M58" s="75">
        <f>VLOOKUP($A58,'Data Vlaue (Cr)'!$C:$FB,68)</f>
        <v>555</v>
      </c>
      <c r="N58" s="75">
        <f t="shared" si="4"/>
        <v>212</v>
      </c>
      <c r="O58" s="75">
        <f t="shared" si="5"/>
        <v>27.640156453715775</v>
      </c>
      <c r="P58" s="75">
        <f>VLOOKUP($A58,'Data Vlaue (Cr)'!$C:$FB,119)</f>
        <v>0.56999999999999995</v>
      </c>
      <c r="Q58" s="75">
        <f>VLOOKUP($A58,'Data Vlaue (Cr)'!$C:$FB,122)*100</f>
        <v>3.64</v>
      </c>
      <c r="R58" s="75">
        <f>VLOOKUP($A58,'Data Vlaue (Cr)'!$C:$FB,125)</f>
        <v>0.26</v>
      </c>
      <c r="S58" s="75">
        <f>VLOOKUP($A58,'Data Vlaue (Cr)'!$C:$FB,128)*100</f>
        <v>0</v>
      </c>
    </row>
    <row r="59" spans="1:19" x14ac:dyDescent="0.25">
      <c r="A59" s="96" t="str">
        <f>'Data Vlaue (Cr)'!C50</f>
        <v>CUMMINSIND</v>
      </c>
      <c r="B59" s="75">
        <f>VLOOKUP($A59,'Data Vlaue (Cr)'!$C:$FB,2)</f>
        <v>200</v>
      </c>
      <c r="C59" s="75">
        <f>VLOOKUP($A59,'Data Vlaue (Cr)'!$C:$FB,8)</f>
        <v>3966</v>
      </c>
      <c r="D59" s="75">
        <f>VLOOKUP($A59,'Data Vlaue (Cr)'!$C:$FB,4)</f>
        <v>3988.3</v>
      </c>
      <c r="E59" s="75">
        <f>VLOOKUP($A59,'Data Vlaue (Cr)'!$C:$FB,5)</f>
        <v>3973.2</v>
      </c>
      <c r="F59" s="75">
        <f t="shared" si="0"/>
        <v>22.300000000000182</v>
      </c>
      <c r="G59" s="75">
        <f t="shared" si="1"/>
        <v>0.37860742672317438</v>
      </c>
      <c r="H59" s="75">
        <f>VLOOKUP($A59,'Data Vlaue (Cr)'!$C:$FB,99)</f>
        <v>1687</v>
      </c>
      <c r="I59" s="75">
        <f>VLOOKUP($A59,'Data Vlaue (Cr)'!$C:$FB,100)</f>
        <v>1645</v>
      </c>
      <c r="J59" s="75">
        <f t="shared" si="2"/>
        <v>42</v>
      </c>
      <c r="K59" s="75">
        <f t="shared" si="3"/>
        <v>2.4896265560165975</v>
      </c>
      <c r="L59" s="75">
        <f>VLOOKUP($A59,'Data Vlaue (Cr)'!$C:$FB,67)</f>
        <v>1637</v>
      </c>
      <c r="M59" s="75">
        <f>VLOOKUP($A59,'Data Vlaue (Cr)'!$C:$FB,68)</f>
        <v>722</v>
      </c>
      <c r="N59" s="75">
        <f t="shared" si="4"/>
        <v>915</v>
      </c>
      <c r="O59" s="75">
        <f t="shared" si="5"/>
        <v>55.894929749541845</v>
      </c>
      <c r="P59" s="75">
        <f>VLOOKUP($A59,'Data Vlaue (Cr)'!$C:$FB,119)</f>
        <v>0.69</v>
      </c>
      <c r="Q59" s="75">
        <f>VLOOKUP($A59,'Data Vlaue (Cr)'!$C:$FB,122)*100</f>
        <v>-6.76</v>
      </c>
      <c r="R59" s="75">
        <f>VLOOKUP($A59,'Data Vlaue (Cr)'!$C:$FB,125)</f>
        <v>0.27</v>
      </c>
      <c r="S59" s="75">
        <f>VLOOKUP($A59,'Data Vlaue (Cr)'!$C:$FB,128)*100</f>
        <v>0</v>
      </c>
    </row>
    <row r="60" spans="1:19" x14ac:dyDescent="0.25">
      <c r="A60" s="96" t="str">
        <f>'Data Vlaue (Cr)'!C51</f>
        <v>CYIENT</v>
      </c>
      <c r="B60" s="75">
        <f>VLOOKUP($A60,'Data Vlaue (Cr)'!$C:$FB,2)</f>
        <v>425</v>
      </c>
      <c r="C60" s="75">
        <f>VLOOKUP($A60,'Data Vlaue (Cr)'!$C:$FB,8)</f>
        <v>1176.9000000000001</v>
      </c>
      <c r="D60" s="75">
        <f>VLOOKUP($A60,'Data Vlaue (Cr)'!$C:$FB,4)</f>
        <v>1179</v>
      </c>
      <c r="E60" s="75">
        <f>VLOOKUP($A60,'Data Vlaue (Cr)'!$C:$FB,5)</f>
        <v>1181.9000000000001</v>
      </c>
      <c r="F60" s="75">
        <f t="shared" si="0"/>
        <v>2.0999999999999091</v>
      </c>
      <c r="G60" s="75">
        <f t="shared" si="1"/>
        <v>-0.24597116200170405</v>
      </c>
      <c r="H60" s="75">
        <f>VLOOKUP($A60,'Data Vlaue (Cr)'!$C:$FB,99)</f>
        <v>847</v>
      </c>
      <c r="I60" s="75">
        <f>VLOOKUP($A60,'Data Vlaue (Cr)'!$C:$FB,100)</f>
        <v>799</v>
      </c>
      <c r="J60" s="75">
        <f t="shared" si="2"/>
        <v>48</v>
      </c>
      <c r="K60" s="75">
        <f t="shared" si="3"/>
        <v>5.667060212514758</v>
      </c>
      <c r="L60" s="75">
        <f>VLOOKUP($A60,'Data Vlaue (Cr)'!$C:$FB,67)</f>
        <v>277</v>
      </c>
      <c r="M60" s="75">
        <f>VLOOKUP($A60,'Data Vlaue (Cr)'!$C:$FB,68)</f>
        <v>256</v>
      </c>
      <c r="N60" s="75">
        <f t="shared" si="4"/>
        <v>21</v>
      </c>
      <c r="O60" s="75">
        <f t="shared" si="5"/>
        <v>7.5812274368231041</v>
      </c>
      <c r="P60" s="75">
        <f>VLOOKUP($A60,'Data Vlaue (Cr)'!$C:$FB,119)</f>
        <v>0.54</v>
      </c>
      <c r="Q60" s="75">
        <f>VLOOKUP($A60,'Data Vlaue (Cr)'!$C:$FB,122)*100</f>
        <v>-14.29</v>
      </c>
      <c r="R60" s="75">
        <f>VLOOKUP($A60,'Data Vlaue (Cr)'!$C:$FB,125)</f>
        <v>0.19</v>
      </c>
      <c r="S60" s="75">
        <f>VLOOKUP($A60,'Data Vlaue (Cr)'!$C:$FB,128)*100</f>
        <v>-57.78</v>
      </c>
    </row>
    <row r="61" spans="1:19" x14ac:dyDescent="0.25">
      <c r="A61" s="96" t="str">
        <f>'Data Vlaue (Cr)'!C52</f>
        <v>DABUR</v>
      </c>
      <c r="B61" s="75">
        <f>VLOOKUP($A61,'Data Vlaue (Cr)'!$C:$FB,2)</f>
        <v>1250</v>
      </c>
      <c r="C61" s="75">
        <f>VLOOKUP($A61,'Data Vlaue (Cr)'!$C:$FB,8)</f>
        <v>489.7</v>
      </c>
      <c r="D61" s="75">
        <f>VLOOKUP($A61,'Data Vlaue (Cr)'!$C:$FB,4)</f>
        <v>491.35</v>
      </c>
      <c r="E61" s="75">
        <f>VLOOKUP($A61,'Data Vlaue (Cr)'!$C:$FB,5)</f>
        <v>488.15</v>
      </c>
      <c r="F61" s="75">
        <f t="shared" si="0"/>
        <v>1.6500000000000341</v>
      </c>
      <c r="G61" s="75">
        <f t="shared" si="1"/>
        <v>0.65126691767580047</v>
      </c>
      <c r="H61" s="75">
        <f>VLOOKUP($A61,'Data Vlaue (Cr)'!$C:$FB,99)</f>
        <v>2739</v>
      </c>
      <c r="I61" s="75">
        <f>VLOOKUP($A61,'Data Vlaue (Cr)'!$C:$FB,100)</f>
        <v>2755</v>
      </c>
      <c r="J61" s="75">
        <f t="shared" si="2"/>
        <v>-16</v>
      </c>
      <c r="K61" s="75">
        <f t="shared" si="3"/>
        <v>-0.58415480102227091</v>
      </c>
      <c r="L61" s="75">
        <f>VLOOKUP($A61,'Data Vlaue (Cr)'!$C:$FB,67)</f>
        <v>812</v>
      </c>
      <c r="M61" s="75">
        <f>VLOOKUP($A61,'Data Vlaue (Cr)'!$C:$FB,68)</f>
        <v>1161</v>
      </c>
      <c r="N61" s="75">
        <f t="shared" si="4"/>
        <v>-349</v>
      </c>
      <c r="O61" s="75">
        <f t="shared" si="5"/>
        <v>-42.980295566502463</v>
      </c>
      <c r="P61" s="75">
        <f>VLOOKUP($A61,'Data Vlaue (Cr)'!$C:$FB,119)</f>
        <v>0.44</v>
      </c>
      <c r="Q61" s="75">
        <f>VLOOKUP($A61,'Data Vlaue (Cr)'!$C:$FB,122)*100</f>
        <v>2.33</v>
      </c>
      <c r="R61" s="75">
        <f>VLOOKUP($A61,'Data Vlaue (Cr)'!$C:$FB,125)</f>
        <v>0.39</v>
      </c>
      <c r="S61" s="75">
        <f>VLOOKUP($A61,'Data Vlaue (Cr)'!$C:$FB,128)*100</f>
        <v>-9.3000000000000007</v>
      </c>
    </row>
    <row r="62" spans="1:19" x14ac:dyDescent="0.25">
      <c r="A62" s="96" t="str">
        <f>'Data Vlaue (Cr)'!C53</f>
        <v>DALBHARAT</v>
      </c>
      <c r="B62" s="75">
        <f>VLOOKUP($A62,'Data Vlaue (Cr)'!$C:$FB,2)</f>
        <v>325</v>
      </c>
      <c r="C62" s="75">
        <f>VLOOKUP($A62,'Data Vlaue (Cr)'!$C:$FB,8)</f>
        <v>2227.6999999999998</v>
      </c>
      <c r="D62" s="75">
        <f>VLOOKUP($A62,'Data Vlaue (Cr)'!$C:$FB,4)</f>
        <v>2237.8000000000002</v>
      </c>
      <c r="E62" s="75">
        <f>VLOOKUP($A62,'Data Vlaue (Cr)'!$C:$FB,5)</f>
        <v>2243.6</v>
      </c>
      <c r="F62" s="75">
        <f t="shared" si="0"/>
        <v>10.100000000000364</v>
      </c>
      <c r="G62" s="75">
        <f t="shared" si="1"/>
        <v>-0.25918312628473172</v>
      </c>
      <c r="H62" s="75">
        <f>VLOOKUP($A62,'Data Vlaue (Cr)'!$C:$FB,99)</f>
        <v>737</v>
      </c>
      <c r="I62" s="75">
        <f>VLOOKUP($A62,'Data Vlaue (Cr)'!$C:$FB,100)</f>
        <v>718</v>
      </c>
      <c r="J62" s="75">
        <f t="shared" si="2"/>
        <v>19</v>
      </c>
      <c r="K62" s="75">
        <f t="shared" si="3"/>
        <v>2.5780189959294439</v>
      </c>
      <c r="L62" s="75">
        <f>VLOOKUP($A62,'Data Vlaue (Cr)'!$C:$FB,67)</f>
        <v>175</v>
      </c>
      <c r="M62" s="75">
        <f>VLOOKUP($A62,'Data Vlaue (Cr)'!$C:$FB,68)</f>
        <v>284</v>
      </c>
      <c r="N62" s="75">
        <f t="shared" si="4"/>
        <v>-109</v>
      </c>
      <c r="O62" s="75">
        <f t="shared" si="5"/>
        <v>-62.285714285714292</v>
      </c>
      <c r="P62" s="75">
        <f>VLOOKUP($A62,'Data Vlaue (Cr)'!$C:$FB,119)</f>
        <v>0.63</v>
      </c>
      <c r="Q62" s="75">
        <f>VLOOKUP($A62,'Data Vlaue (Cr)'!$C:$FB,122)*100</f>
        <v>-1.5599999999999998</v>
      </c>
      <c r="R62" s="75">
        <f>VLOOKUP($A62,'Data Vlaue (Cr)'!$C:$FB,125)</f>
        <v>0.72</v>
      </c>
      <c r="S62" s="75">
        <f>VLOOKUP($A62,'Data Vlaue (Cr)'!$C:$FB,128)*100</f>
        <v>-35.14</v>
      </c>
    </row>
    <row r="63" spans="1:19" x14ac:dyDescent="0.25">
      <c r="A63" s="96" t="str">
        <f>'Data Vlaue (Cr)'!C54</f>
        <v>DELHIVERY</v>
      </c>
      <c r="B63" s="75">
        <f>VLOOKUP($A63,'Data Vlaue (Cr)'!$C:$FB,2)</f>
        <v>2075</v>
      </c>
      <c r="C63" s="75">
        <f>VLOOKUP($A63,'Data Vlaue (Cr)'!$C:$FB,8)</f>
        <v>464.85</v>
      </c>
      <c r="D63" s="75">
        <f>VLOOKUP($A63,'Data Vlaue (Cr)'!$C:$FB,4)</f>
        <v>467.6</v>
      </c>
      <c r="E63" s="75">
        <f>VLOOKUP($A63,'Data Vlaue (Cr)'!$C:$FB,5)</f>
        <v>470.7</v>
      </c>
      <c r="F63" s="75">
        <f t="shared" si="0"/>
        <v>2.75</v>
      </c>
      <c r="G63" s="75">
        <f t="shared" si="1"/>
        <v>-0.66295979469631439</v>
      </c>
      <c r="H63" s="75">
        <f>VLOOKUP($A63,'Data Vlaue (Cr)'!$C:$FB,99)</f>
        <v>1485</v>
      </c>
      <c r="I63" s="75">
        <f>VLOOKUP($A63,'Data Vlaue (Cr)'!$C:$FB,100)</f>
        <v>1432</v>
      </c>
      <c r="J63" s="75">
        <f t="shared" si="2"/>
        <v>53</v>
      </c>
      <c r="K63" s="75">
        <f t="shared" si="3"/>
        <v>3.5690235690235688</v>
      </c>
      <c r="L63" s="75">
        <f>VLOOKUP($A63,'Data Vlaue (Cr)'!$C:$FB,67)</f>
        <v>741</v>
      </c>
      <c r="M63" s="75">
        <f>VLOOKUP($A63,'Data Vlaue (Cr)'!$C:$FB,68)</f>
        <v>873</v>
      </c>
      <c r="N63" s="75">
        <f t="shared" si="4"/>
        <v>-132</v>
      </c>
      <c r="O63" s="75">
        <f t="shared" si="5"/>
        <v>-17.813765182186234</v>
      </c>
      <c r="P63" s="75">
        <f>VLOOKUP($A63,'Data Vlaue (Cr)'!$C:$FB,119)</f>
        <v>0.78</v>
      </c>
      <c r="Q63" s="75">
        <f>VLOOKUP($A63,'Data Vlaue (Cr)'!$C:$FB,122)*100</f>
        <v>-6.02</v>
      </c>
      <c r="R63" s="75">
        <f>VLOOKUP($A63,'Data Vlaue (Cr)'!$C:$FB,125)</f>
        <v>0.6</v>
      </c>
      <c r="S63" s="75">
        <f>VLOOKUP($A63,'Data Vlaue (Cr)'!$C:$FB,128)*100</f>
        <v>22.45</v>
      </c>
    </row>
    <row r="64" spans="1:19" x14ac:dyDescent="0.25">
      <c r="A64" s="96" t="str">
        <f>'Data Vlaue (Cr)'!C55</f>
        <v>DIVISLAB</v>
      </c>
      <c r="B64" s="75">
        <f>VLOOKUP($A64,'Data Vlaue (Cr)'!$C:$FB,2)</f>
        <v>100</v>
      </c>
      <c r="C64" s="75">
        <f>VLOOKUP($A64,'Data Vlaue (Cr)'!$C:$FB,8)</f>
        <v>6474.5</v>
      </c>
      <c r="D64" s="75">
        <f>VLOOKUP($A64,'Data Vlaue (Cr)'!$C:$FB,4)</f>
        <v>6498.5</v>
      </c>
      <c r="E64" s="75">
        <f>VLOOKUP($A64,'Data Vlaue (Cr)'!$C:$FB,5)</f>
        <v>6165.5</v>
      </c>
      <c r="F64" s="75">
        <f t="shared" si="0"/>
        <v>24</v>
      </c>
      <c r="G64" s="75">
        <f t="shared" si="1"/>
        <v>5.1242594444871887</v>
      </c>
      <c r="H64" s="75">
        <f>VLOOKUP($A64,'Data Vlaue (Cr)'!$C:$FB,99)</f>
        <v>3925</v>
      </c>
      <c r="I64" s="75">
        <f>VLOOKUP($A64,'Data Vlaue (Cr)'!$C:$FB,100)</f>
        <v>2931</v>
      </c>
      <c r="J64" s="75">
        <f t="shared" si="2"/>
        <v>994</v>
      </c>
      <c r="K64" s="75">
        <f t="shared" si="3"/>
        <v>25.324840764331206</v>
      </c>
      <c r="L64" s="75">
        <f>VLOOKUP($A64,'Data Vlaue (Cr)'!$C:$FB,67)</f>
        <v>14039</v>
      </c>
      <c r="M64" s="75">
        <f>VLOOKUP($A64,'Data Vlaue (Cr)'!$C:$FB,68)</f>
        <v>1947</v>
      </c>
      <c r="N64" s="75">
        <f t="shared" si="4"/>
        <v>12092</v>
      </c>
      <c r="O64" s="75">
        <f t="shared" si="5"/>
        <v>86.131490846926411</v>
      </c>
      <c r="P64" s="75">
        <f>VLOOKUP($A64,'Data Vlaue (Cr)'!$C:$FB,119)</f>
        <v>0.91</v>
      </c>
      <c r="Q64" s="75">
        <f>VLOOKUP($A64,'Data Vlaue (Cr)'!$C:$FB,122)*100</f>
        <v>5.81</v>
      </c>
      <c r="R64" s="75">
        <f>VLOOKUP($A64,'Data Vlaue (Cr)'!$C:$FB,125)</f>
        <v>0.39</v>
      </c>
      <c r="S64" s="75">
        <f>VLOOKUP($A64,'Data Vlaue (Cr)'!$C:$FB,128)*100</f>
        <v>-15.22</v>
      </c>
    </row>
    <row r="65" spans="1:19" x14ac:dyDescent="0.25">
      <c r="A65" s="96" t="str">
        <f>'Data Vlaue (Cr)'!C56</f>
        <v>DIXON</v>
      </c>
      <c r="B65" s="75">
        <f>VLOOKUP($A65,'Data Vlaue (Cr)'!$C:$FB,2)</f>
        <v>50</v>
      </c>
      <c r="C65" s="75">
        <f>VLOOKUP($A65,'Data Vlaue (Cr)'!$C:$FB,8)</f>
        <v>17445</v>
      </c>
      <c r="D65" s="75">
        <f>VLOOKUP($A65,'Data Vlaue (Cr)'!$C:$FB,4)</f>
        <v>17489</v>
      </c>
      <c r="E65" s="75">
        <f>VLOOKUP($A65,'Data Vlaue (Cr)'!$C:$FB,5)</f>
        <v>17180</v>
      </c>
      <c r="F65" s="75">
        <f t="shared" si="0"/>
        <v>44</v>
      </c>
      <c r="G65" s="75">
        <f t="shared" si="1"/>
        <v>1.7668248613414146</v>
      </c>
      <c r="H65" s="75">
        <f>VLOOKUP($A65,'Data Vlaue (Cr)'!$C:$FB,99)</f>
        <v>5377</v>
      </c>
      <c r="I65" s="75">
        <f>VLOOKUP($A65,'Data Vlaue (Cr)'!$C:$FB,100)</f>
        <v>5650</v>
      </c>
      <c r="J65" s="75">
        <f t="shared" si="2"/>
        <v>-273</v>
      </c>
      <c r="K65" s="75">
        <f t="shared" si="3"/>
        <v>-5.0771805839687563</v>
      </c>
      <c r="L65" s="75">
        <f>VLOOKUP($A65,'Data Vlaue (Cr)'!$C:$FB,67)</f>
        <v>5092</v>
      </c>
      <c r="M65" s="75">
        <f>VLOOKUP($A65,'Data Vlaue (Cr)'!$C:$FB,68)</f>
        <v>3086</v>
      </c>
      <c r="N65" s="75">
        <f t="shared" si="4"/>
        <v>2006</v>
      </c>
      <c r="O65" s="75">
        <f t="shared" si="5"/>
        <v>39.395129615082482</v>
      </c>
      <c r="P65" s="75">
        <f>VLOOKUP($A65,'Data Vlaue (Cr)'!$C:$FB,119)</f>
        <v>0.96</v>
      </c>
      <c r="Q65" s="75">
        <f>VLOOKUP($A65,'Data Vlaue (Cr)'!$C:$FB,122)*100</f>
        <v>17.07</v>
      </c>
      <c r="R65" s="75">
        <f>VLOOKUP($A65,'Data Vlaue (Cr)'!$C:$FB,125)</f>
        <v>0.53</v>
      </c>
      <c r="S65" s="75">
        <f>VLOOKUP($A65,'Data Vlaue (Cr)'!$C:$FB,128)*100</f>
        <v>-17.190000000000001</v>
      </c>
    </row>
    <row r="66" spans="1:19" x14ac:dyDescent="0.25">
      <c r="A66" s="96" t="str">
        <f>'Data Vlaue (Cr)'!C57</f>
        <v>DLF</v>
      </c>
      <c r="B66" s="75">
        <f>VLOOKUP($A66,'Data Vlaue (Cr)'!$C:$FB,2)</f>
        <v>825</v>
      </c>
      <c r="C66" s="75">
        <f>VLOOKUP($A66,'Data Vlaue (Cr)'!$C:$FB,8)</f>
        <v>740.2</v>
      </c>
      <c r="D66" s="75">
        <f>VLOOKUP($A66,'Data Vlaue (Cr)'!$C:$FB,4)</f>
        <v>742.6</v>
      </c>
      <c r="E66" s="75">
        <f>VLOOKUP($A66,'Data Vlaue (Cr)'!$C:$FB,5)</f>
        <v>733.1</v>
      </c>
      <c r="F66" s="75">
        <f t="shared" si="0"/>
        <v>2.3999999999999773</v>
      </c>
      <c r="G66" s="75">
        <f t="shared" si="1"/>
        <v>1.279288984648532</v>
      </c>
      <c r="H66" s="75">
        <f>VLOOKUP($A66,'Data Vlaue (Cr)'!$C:$FB,99)</f>
        <v>5104</v>
      </c>
      <c r="I66" s="75">
        <f>VLOOKUP($A66,'Data Vlaue (Cr)'!$C:$FB,100)</f>
        <v>5172</v>
      </c>
      <c r="J66" s="75">
        <f t="shared" si="2"/>
        <v>-68</v>
      </c>
      <c r="K66" s="75">
        <f t="shared" si="3"/>
        <v>-1.3322884012539185</v>
      </c>
      <c r="L66" s="75">
        <f>VLOOKUP($A66,'Data Vlaue (Cr)'!$C:$FB,67)</f>
        <v>3271</v>
      </c>
      <c r="M66" s="75">
        <f>VLOOKUP($A66,'Data Vlaue (Cr)'!$C:$FB,68)</f>
        <v>1419</v>
      </c>
      <c r="N66" s="75">
        <f t="shared" si="4"/>
        <v>1852</v>
      </c>
      <c r="O66" s="75">
        <f t="shared" si="5"/>
        <v>56.618771018037293</v>
      </c>
      <c r="P66" s="75">
        <f>VLOOKUP($A66,'Data Vlaue (Cr)'!$C:$FB,119)</f>
        <v>0.65</v>
      </c>
      <c r="Q66" s="75">
        <f>VLOOKUP($A66,'Data Vlaue (Cr)'!$C:$FB,122)*100</f>
        <v>1.5599999999999998</v>
      </c>
      <c r="R66" s="75">
        <f>VLOOKUP($A66,'Data Vlaue (Cr)'!$C:$FB,125)</f>
        <v>0.4</v>
      </c>
      <c r="S66" s="75">
        <f>VLOOKUP($A66,'Data Vlaue (Cr)'!$C:$FB,128)*100</f>
        <v>21.21</v>
      </c>
    </row>
    <row r="67" spans="1:19" x14ac:dyDescent="0.25">
      <c r="A67" s="96" t="str">
        <f>'Data Vlaue (Cr)'!C58</f>
        <v>DMART</v>
      </c>
      <c r="B67" s="75">
        <f>VLOOKUP($A67,'Data Vlaue (Cr)'!$C:$FB,2)</f>
        <v>150</v>
      </c>
      <c r="C67" s="75">
        <f>VLOOKUP($A67,'Data Vlaue (Cr)'!$C:$FB,8)</f>
        <v>4320.3999999999996</v>
      </c>
      <c r="D67" s="75">
        <f>VLOOKUP($A67,'Data Vlaue (Cr)'!$C:$FB,4)</f>
        <v>4337.7</v>
      </c>
      <c r="E67" s="75">
        <f>VLOOKUP($A67,'Data Vlaue (Cr)'!$C:$FB,5)</f>
        <v>4316.8999999999996</v>
      </c>
      <c r="F67" s="75">
        <f t="shared" si="0"/>
        <v>17.300000000000182</v>
      </c>
      <c r="G67" s="75">
        <f t="shared" si="1"/>
        <v>0.47951679461466173</v>
      </c>
      <c r="H67" s="75">
        <f>VLOOKUP($A67,'Data Vlaue (Cr)'!$C:$FB,99)</f>
        <v>4608</v>
      </c>
      <c r="I67" s="75">
        <f>VLOOKUP($A67,'Data Vlaue (Cr)'!$C:$FB,100)</f>
        <v>4011</v>
      </c>
      <c r="J67" s="75">
        <f t="shared" si="2"/>
        <v>597</v>
      </c>
      <c r="K67" s="75">
        <f t="shared" si="3"/>
        <v>12.955729166666666</v>
      </c>
      <c r="L67" s="75">
        <f>VLOOKUP($A67,'Data Vlaue (Cr)'!$C:$FB,67)</f>
        <v>4804</v>
      </c>
      <c r="M67" s="75">
        <f>VLOOKUP($A67,'Data Vlaue (Cr)'!$C:$FB,68)</f>
        <v>1148</v>
      </c>
      <c r="N67" s="75">
        <f t="shared" si="4"/>
        <v>3656</v>
      </c>
      <c r="O67" s="75">
        <f t="shared" si="5"/>
        <v>76.103247293921726</v>
      </c>
      <c r="P67" s="75">
        <f>VLOOKUP($A67,'Data Vlaue (Cr)'!$C:$FB,119)</f>
        <v>0.56999999999999995</v>
      </c>
      <c r="Q67" s="75">
        <f>VLOOKUP($A67,'Data Vlaue (Cr)'!$C:$FB,122)*100</f>
        <v>1.79</v>
      </c>
      <c r="R67" s="75">
        <f>VLOOKUP($A67,'Data Vlaue (Cr)'!$C:$FB,125)</f>
        <v>0.44</v>
      </c>
      <c r="S67" s="75">
        <f>VLOOKUP($A67,'Data Vlaue (Cr)'!$C:$FB,128)*100</f>
        <v>15.790000000000001</v>
      </c>
    </row>
    <row r="68" spans="1:19" x14ac:dyDescent="0.25">
      <c r="A68" s="96" t="str">
        <f>'Data Vlaue (Cr)'!C59</f>
        <v>DRREDDY</v>
      </c>
      <c r="B68" s="75">
        <f>VLOOKUP($A68,'Data Vlaue (Cr)'!$C:$FB,2)</f>
        <v>625</v>
      </c>
      <c r="C68" s="75">
        <f>VLOOKUP($A68,'Data Vlaue (Cr)'!$C:$FB,8)</f>
        <v>1264.4000000000001</v>
      </c>
      <c r="D68" s="75">
        <f>VLOOKUP($A68,'Data Vlaue (Cr)'!$C:$FB,4)</f>
        <v>1270.9000000000001</v>
      </c>
      <c r="E68" s="75">
        <f>VLOOKUP($A68,'Data Vlaue (Cr)'!$C:$FB,5)</f>
        <v>1252.9000000000001</v>
      </c>
      <c r="F68" s="75">
        <f t="shared" si="0"/>
        <v>6.5</v>
      </c>
      <c r="G68" s="75">
        <f t="shared" si="1"/>
        <v>1.4163191439137617</v>
      </c>
      <c r="H68" s="75">
        <f>VLOOKUP($A68,'Data Vlaue (Cr)'!$C:$FB,99)</f>
        <v>2671</v>
      </c>
      <c r="I68" s="75">
        <f>VLOOKUP($A68,'Data Vlaue (Cr)'!$C:$FB,100)</f>
        <v>2683</v>
      </c>
      <c r="J68" s="75">
        <f t="shared" si="2"/>
        <v>-12</v>
      </c>
      <c r="K68" s="75">
        <f t="shared" si="3"/>
        <v>-0.44926993635342566</v>
      </c>
      <c r="L68" s="75">
        <f>VLOOKUP($A68,'Data Vlaue (Cr)'!$C:$FB,67)</f>
        <v>1634</v>
      </c>
      <c r="M68" s="75">
        <f>VLOOKUP($A68,'Data Vlaue (Cr)'!$C:$FB,68)</f>
        <v>2631</v>
      </c>
      <c r="N68" s="75">
        <f t="shared" si="4"/>
        <v>-997</v>
      </c>
      <c r="O68" s="75">
        <f t="shared" si="5"/>
        <v>-61.015911872705018</v>
      </c>
      <c r="P68" s="75">
        <f>VLOOKUP($A68,'Data Vlaue (Cr)'!$C:$FB,119)</f>
        <v>0.56000000000000005</v>
      </c>
      <c r="Q68" s="75">
        <f>VLOOKUP($A68,'Data Vlaue (Cr)'!$C:$FB,122)*100</f>
        <v>1.82</v>
      </c>
      <c r="R68" s="75">
        <f>VLOOKUP($A68,'Data Vlaue (Cr)'!$C:$FB,125)</f>
        <v>0.36</v>
      </c>
      <c r="S68" s="75">
        <f>VLOOKUP($A68,'Data Vlaue (Cr)'!$C:$FB,128)*100</f>
        <v>28.57</v>
      </c>
    </row>
    <row r="69" spans="1:19" x14ac:dyDescent="0.25">
      <c r="A69" s="96" t="str">
        <f>'Data Vlaue (Cr)'!C60</f>
        <v>EICHERMOT</v>
      </c>
      <c r="B69" s="75">
        <f>VLOOKUP($A69,'Data Vlaue (Cr)'!$C:$FB,2)</f>
        <v>175</v>
      </c>
      <c r="C69" s="75">
        <f>VLOOKUP($A69,'Data Vlaue (Cr)'!$C:$FB,8)</f>
        <v>6965</v>
      </c>
      <c r="D69" s="75">
        <f>VLOOKUP($A69,'Data Vlaue (Cr)'!$C:$FB,4)</f>
        <v>6984</v>
      </c>
      <c r="E69" s="75">
        <f>VLOOKUP($A69,'Data Vlaue (Cr)'!$C:$FB,5)</f>
        <v>6914.5</v>
      </c>
      <c r="F69" s="75">
        <f t="shared" si="0"/>
        <v>19</v>
      </c>
      <c r="G69" s="75">
        <f t="shared" si="1"/>
        <v>0.99513172966781205</v>
      </c>
      <c r="H69" s="75">
        <f>VLOOKUP($A69,'Data Vlaue (Cr)'!$C:$FB,99)</f>
        <v>4737</v>
      </c>
      <c r="I69" s="75">
        <f>VLOOKUP($A69,'Data Vlaue (Cr)'!$C:$FB,100)</f>
        <v>4710</v>
      </c>
      <c r="J69" s="75">
        <f t="shared" si="2"/>
        <v>27</v>
      </c>
      <c r="K69" s="75">
        <f t="shared" si="3"/>
        <v>0.56998100063331225</v>
      </c>
      <c r="L69" s="75">
        <f>VLOOKUP($A69,'Data Vlaue (Cr)'!$C:$FB,67)</f>
        <v>2575</v>
      </c>
      <c r="M69" s="75">
        <f>VLOOKUP($A69,'Data Vlaue (Cr)'!$C:$FB,68)</f>
        <v>3424</v>
      </c>
      <c r="N69" s="75">
        <f t="shared" si="4"/>
        <v>-849</v>
      </c>
      <c r="O69" s="75">
        <f t="shared" si="5"/>
        <v>-32.970873786407765</v>
      </c>
      <c r="P69" s="75">
        <f>VLOOKUP($A69,'Data Vlaue (Cr)'!$C:$FB,119)</f>
        <v>0.78</v>
      </c>
      <c r="Q69" s="75">
        <f>VLOOKUP($A69,'Data Vlaue (Cr)'!$C:$FB,122)*100</f>
        <v>4</v>
      </c>
      <c r="R69" s="75">
        <f>VLOOKUP($A69,'Data Vlaue (Cr)'!$C:$FB,125)</f>
        <v>0.56999999999999995</v>
      </c>
      <c r="S69" s="75">
        <f>VLOOKUP($A69,'Data Vlaue (Cr)'!$C:$FB,128)*100</f>
        <v>-25.97</v>
      </c>
    </row>
    <row r="70" spans="1:19" x14ac:dyDescent="0.25">
      <c r="A70" s="96" t="str">
        <f>'Data Vlaue (Cr)'!C61</f>
        <v>ETERNAL</v>
      </c>
      <c r="B70" s="75">
        <f>VLOOKUP($A70,'Data Vlaue (Cr)'!$C:$FB,2)</f>
        <v>2425</v>
      </c>
      <c r="C70" s="75">
        <f>VLOOKUP($A70,'Data Vlaue (Cr)'!$C:$FB,8)</f>
        <v>348.3</v>
      </c>
      <c r="D70" s="75">
        <f>VLOOKUP($A70,'Data Vlaue (Cr)'!$C:$FB,4)</f>
        <v>349.4</v>
      </c>
      <c r="E70" s="75">
        <f>VLOOKUP($A70,'Data Vlaue (Cr)'!$C:$FB,5)</f>
        <v>346.55</v>
      </c>
      <c r="F70" s="75">
        <f t="shared" si="0"/>
        <v>1.0999999999999659</v>
      </c>
      <c r="G70" s="75">
        <f t="shared" si="1"/>
        <v>0.81568402976530219</v>
      </c>
      <c r="H70" s="75">
        <f>VLOOKUP($A70,'Data Vlaue (Cr)'!$C:$FB,99)</f>
        <v>11616</v>
      </c>
      <c r="I70" s="75">
        <f>VLOOKUP($A70,'Data Vlaue (Cr)'!$C:$FB,100)</f>
        <v>11675</v>
      </c>
      <c r="J70" s="75">
        <f t="shared" si="2"/>
        <v>-59</v>
      </c>
      <c r="K70" s="75">
        <f t="shared" si="3"/>
        <v>-0.50792011019283745</v>
      </c>
      <c r="L70" s="75">
        <f>VLOOKUP($A70,'Data Vlaue (Cr)'!$C:$FB,67)</f>
        <v>3958</v>
      </c>
      <c r="M70" s="75">
        <f>VLOOKUP($A70,'Data Vlaue (Cr)'!$C:$FB,68)</f>
        <v>6281</v>
      </c>
      <c r="N70" s="75">
        <f t="shared" si="4"/>
        <v>-2323</v>
      </c>
      <c r="O70" s="75">
        <f t="shared" si="5"/>
        <v>-58.691258211217786</v>
      </c>
      <c r="P70" s="75">
        <f>VLOOKUP($A70,'Data Vlaue (Cr)'!$C:$FB,119)</f>
        <v>0.74</v>
      </c>
      <c r="Q70" s="75">
        <f>VLOOKUP($A70,'Data Vlaue (Cr)'!$C:$FB,122)*100</f>
        <v>5.71</v>
      </c>
      <c r="R70" s="75">
        <f>VLOOKUP($A70,'Data Vlaue (Cr)'!$C:$FB,125)</f>
        <v>0.69</v>
      </c>
      <c r="S70" s="75">
        <f>VLOOKUP($A70,'Data Vlaue (Cr)'!$C:$FB,128)*100</f>
        <v>18.970000000000002</v>
      </c>
    </row>
    <row r="71" spans="1:19" x14ac:dyDescent="0.25">
      <c r="A71" s="96" t="str">
        <f>'Data Vlaue (Cr)'!C62</f>
        <v>EXIDEIND</v>
      </c>
      <c r="B71" s="75">
        <f>VLOOKUP($A71,'Data Vlaue (Cr)'!$C:$FB,2)</f>
        <v>1800</v>
      </c>
      <c r="C71" s="75">
        <f>VLOOKUP($A71,'Data Vlaue (Cr)'!$C:$FB,8)</f>
        <v>400.65</v>
      </c>
      <c r="D71" s="75">
        <f>VLOOKUP($A71,'Data Vlaue (Cr)'!$C:$FB,4)</f>
        <v>402.85</v>
      </c>
      <c r="E71" s="75">
        <f>VLOOKUP($A71,'Data Vlaue (Cr)'!$C:$FB,5)</f>
        <v>398.65</v>
      </c>
      <c r="F71" s="75">
        <f t="shared" si="0"/>
        <v>2.2000000000000455</v>
      </c>
      <c r="G71" s="75">
        <f t="shared" si="1"/>
        <v>1.0425716768027913</v>
      </c>
      <c r="H71" s="75">
        <f>VLOOKUP($A71,'Data Vlaue (Cr)'!$C:$FB,99)</f>
        <v>2003</v>
      </c>
      <c r="I71" s="75">
        <f>VLOOKUP($A71,'Data Vlaue (Cr)'!$C:$FB,100)</f>
        <v>1956</v>
      </c>
      <c r="J71" s="75">
        <f t="shared" si="2"/>
        <v>47</v>
      </c>
      <c r="K71" s="75">
        <f t="shared" si="3"/>
        <v>2.3464802795806294</v>
      </c>
      <c r="L71" s="75">
        <f>VLOOKUP($A71,'Data Vlaue (Cr)'!$C:$FB,67)</f>
        <v>1205</v>
      </c>
      <c r="M71" s="75">
        <f>VLOOKUP($A71,'Data Vlaue (Cr)'!$C:$FB,68)</f>
        <v>1254</v>
      </c>
      <c r="N71" s="75">
        <f t="shared" si="4"/>
        <v>-49</v>
      </c>
      <c r="O71" s="75">
        <f t="shared" si="5"/>
        <v>-4.0663900414937757</v>
      </c>
      <c r="P71" s="75">
        <f>VLOOKUP($A71,'Data Vlaue (Cr)'!$C:$FB,119)</f>
        <v>0.84</v>
      </c>
      <c r="Q71" s="75">
        <f>VLOOKUP($A71,'Data Vlaue (Cr)'!$C:$FB,122)*100</f>
        <v>10.530000000000001</v>
      </c>
      <c r="R71" s="75">
        <f>VLOOKUP($A71,'Data Vlaue (Cr)'!$C:$FB,125)</f>
        <v>0.9</v>
      </c>
      <c r="S71" s="75">
        <f>VLOOKUP($A71,'Data Vlaue (Cr)'!$C:$FB,128)*100</f>
        <v>1.1199999999999999</v>
      </c>
    </row>
    <row r="72" spans="1:19" x14ac:dyDescent="0.25">
      <c r="A72" s="96" t="str">
        <f>'Data Vlaue (Cr)'!C63</f>
        <v>FEDERALBNK</v>
      </c>
      <c r="B72" s="75">
        <f>VLOOKUP($A72,'Data Vlaue (Cr)'!$C:$FB,2)</f>
        <v>5000</v>
      </c>
      <c r="C72" s="75">
        <f>VLOOKUP($A72,'Data Vlaue (Cr)'!$C:$FB,8)</f>
        <v>208.3</v>
      </c>
      <c r="D72" s="75">
        <f>VLOOKUP($A72,'Data Vlaue (Cr)'!$C:$FB,4)</f>
        <v>209.3</v>
      </c>
      <c r="E72" s="75">
        <f>VLOOKUP($A72,'Data Vlaue (Cr)'!$C:$FB,5)</f>
        <v>207.92</v>
      </c>
      <c r="F72" s="75">
        <f t="shared" si="0"/>
        <v>1</v>
      </c>
      <c r="G72" s="75">
        <f t="shared" si="1"/>
        <v>0.65934065934067065</v>
      </c>
      <c r="H72" s="75">
        <f>VLOOKUP($A72,'Data Vlaue (Cr)'!$C:$FB,99)</f>
        <v>3593</v>
      </c>
      <c r="I72" s="75">
        <f>VLOOKUP($A72,'Data Vlaue (Cr)'!$C:$FB,100)</f>
        <v>3539</v>
      </c>
      <c r="J72" s="75">
        <f t="shared" si="2"/>
        <v>54</v>
      </c>
      <c r="K72" s="75">
        <f t="shared" si="3"/>
        <v>1.5029223490119676</v>
      </c>
      <c r="L72" s="75">
        <f>VLOOKUP($A72,'Data Vlaue (Cr)'!$C:$FB,67)</f>
        <v>4061</v>
      </c>
      <c r="M72" s="75">
        <f>VLOOKUP($A72,'Data Vlaue (Cr)'!$C:$FB,68)</f>
        <v>5051</v>
      </c>
      <c r="N72" s="75">
        <f t="shared" si="4"/>
        <v>-990</v>
      </c>
      <c r="O72" s="75">
        <f t="shared" si="5"/>
        <v>-24.378231962570794</v>
      </c>
      <c r="P72" s="75">
        <f>VLOOKUP($A72,'Data Vlaue (Cr)'!$C:$FB,119)</f>
        <v>0.83</v>
      </c>
      <c r="Q72" s="75">
        <f>VLOOKUP($A72,'Data Vlaue (Cr)'!$C:$FB,122)*100</f>
        <v>2.4699999999999998</v>
      </c>
      <c r="R72" s="75">
        <f>VLOOKUP($A72,'Data Vlaue (Cr)'!$C:$FB,125)</f>
        <v>0.64</v>
      </c>
      <c r="S72" s="75">
        <f>VLOOKUP($A72,'Data Vlaue (Cr)'!$C:$FB,128)*100</f>
        <v>42.22</v>
      </c>
    </row>
    <row r="73" spans="1:19" x14ac:dyDescent="0.25">
      <c r="A73" s="96" t="str">
        <f>'Data Vlaue (Cr)'!C64</f>
        <v>FINNIFTY</v>
      </c>
      <c r="B73" s="75">
        <f>VLOOKUP($A73,'Data Vlaue (Cr)'!$C:$FB,2)</f>
        <v>65</v>
      </c>
      <c r="C73" s="75">
        <f>VLOOKUP($A73,'Data Vlaue (Cr)'!$C:$FB,8)</f>
        <v>26842.25</v>
      </c>
      <c r="D73" s="75">
        <f>VLOOKUP($A73,'Data Vlaue (Cr)'!$C:$FB,4)</f>
        <v>26965.599999999999</v>
      </c>
      <c r="E73" s="75">
        <f>VLOOKUP($A73,'Data Vlaue (Cr)'!$C:$FB,5)</f>
        <v>26833.5</v>
      </c>
      <c r="F73" s="75">
        <f t="shared" si="0"/>
        <v>123.34999999999854</v>
      </c>
      <c r="G73" s="75">
        <f t="shared" si="1"/>
        <v>0.48988340700744121</v>
      </c>
      <c r="H73" s="75">
        <f>VLOOKUP($A73,'Data Vlaue (Cr)'!$C:$FB,99)</f>
        <v>5296</v>
      </c>
      <c r="I73" s="75">
        <f>VLOOKUP($A73,'Data Vlaue (Cr)'!$C:$FB,100)</f>
        <v>4972</v>
      </c>
      <c r="J73" s="75">
        <f t="shared" si="2"/>
        <v>324</v>
      </c>
      <c r="K73" s="75">
        <f t="shared" si="3"/>
        <v>6.1178247734138971</v>
      </c>
      <c r="L73" s="75">
        <f>VLOOKUP($A73,'Data Vlaue (Cr)'!$C:$FB,67)</f>
        <v>10537</v>
      </c>
      <c r="M73" s="75">
        <f>VLOOKUP($A73,'Data Vlaue (Cr)'!$C:$FB,68)</f>
        <v>7519</v>
      </c>
      <c r="N73" s="75">
        <f t="shared" si="4"/>
        <v>3018</v>
      </c>
      <c r="O73" s="75">
        <f t="shared" si="5"/>
        <v>28.641928442630732</v>
      </c>
      <c r="P73" s="75">
        <f>VLOOKUP($A73,'Data Vlaue (Cr)'!$C:$FB,119)</f>
        <v>0.67</v>
      </c>
      <c r="Q73" s="75">
        <f>VLOOKUP($A73,'Data Vlaue (Cr)'!$C:$FB,122)*100</f>
        <v>11.67</v>
      </c>
      <c r="R73" s="75">
        <f>VLOOKUP($A73,'Data Vlaue (Cr)'!$C:$FB,125)</f>
        <v>0.52</v>
      </c>
      <c r="S73" s="75">
        <f>VLOOKUP($A73,'Data Vlaue (Cr)'!$C:$FB,128)*100</f>
        <v>-17.46</v>
      </c>
    </row>
    <row r="74" spans="1:19" x14ac:dyDescent="0.25">
      <c r="A74" s="96" t="str">
        <f>'Data Vlaue (Cr)'!C65</f>
        <v>FORTIS</v>
      </c>
      <c r="B74" s="75">
        <f>VLOOKUP($A74,'Data Vlaue (Cr)'!$C:$FB,2)</f>
        <v>775</v>
      </c>
      <c r="C74" s="75">
        <f>VLOOKUP($A74,'Data Vlaue (Cr)'!$C:$FB,8)</f>
        <v>1060.3</v>
      </c>
      <c r="D74" s="75">
        <f>VLOOKUP($A74,'Data Vlaue (Cr)'!$C:$FB,4)</f>
        <v>1066.7</v>
      </c>
      <c r="E74" s="75">
        <f>VLOOKUP($A74,'Data Vlaue (Cr)'!$C:$FB,5)</f>
        <v>1071.8499999999999</v>
      </c>
      <c r="F74" s="75">
        <f t="shared" si="0"/>
        <v>6.4000000000000909</v>
      </c>
      <c r="G74" s="75">
        <f t="shared" si="1"/>
        <v>-0.48279741258084408</v>
      </c>
      <c r="H74" s="75">
        <f>VLOOKUP($A74,'Data Vlaue (Cr)'!$C:$FB,99)</f>
        <v>1618</v>
      </c>
      <c r="I74" s="75">
        <f>VLOOKUP($A74,'Data Vlaue (Cr)'!$C:$FB,100)</f>
        <v>1638</v>
      </c>
      <c r="J74" s="75">
        <f t="shared" si="2"/>
        <v>-20</v>
      </c>
      <c r="K74" s="75">
        <f t="shared" si="3"/>
        <v>-1.2360939431396787</v>
      </c>
      <c r="L74" s="75">
        <f>VLOOKUP($A74,'Data Vlaue (Cr)'!$C:$FB,67)</f>
        <v>1014</v>
      </c>
      <c r="M74" s="75">
        <f>VLOOKUP($A74,'Data Vlaue (Cr)'!$C:$FB,68)</f>
        <v>1476</v>
      </c>
      <c r="N74" s="75">
        <f t="shared" si="4"/>
        <v>-462</v>
      </c>
      <c r="O74" s="75">
        <f t="shared" si="5"/>
        <v>-45.562130177514796</v>
      </c>
      <c r="P74" s="75">
        <f>VLOOKUP($A74,'Data Vlaue (Cr)'!$C:$FB,119)</f>
        <v>0.85</v>
      </c>
      <c r="Q74" s="75">
        <f>VLOOKUP($A74,'Data Vlaue (Cr)'!$C:$FB,122)*100</f>
        <v>0</v>
      </c>
      <c r="R74" s="75">
        <f>VLOOKUP($A74,'Data Vlaue (Cr)'!$C:$FB,125)</f>
        <v>0.69</v>
      </c>
      <c r="S74" s="75">
        <f>VLOOKUP($A74,'Data Vlaue (Cr)'!$C:$FB,128)*100</f>
        <v>43.75</v>
      </c>
    </row>
    <row r="75" spans="1:19" x14ac:dyDescent="0.25">
      <c r="A75" s="96" t="str">
        <f>'Data Vlaue (Cr)'!C66</f>
        <v>GAIL</v>
      </c>
      <c r="B75" s="75">
        <f>VLOOKUP($A75,'Data Vlaue (Cr)'!$C:$FB,2)</f>
        <v>3150</v>
      </c>
      <c r="C75" s="75">
        <f>VLOOKUP($A75,'Data Vlaue (Cr)'!$C:$FB,8)</f>
        <v>179.21</v>
      </c>
      <c r="D75" s="75">
        <f>VLOOKUP($A75,'Data Vlaue (Cr)'!$C:$FB,4)</f>
        <v>179.58</v>
      </c>
      <c r="E75" s="75">
        <f>VLOOKUP($A75,'Data Vlaue (Cr)'!$C:$FB,5)</f>
        <v>178.99</v>
      </c>
      <c r="F75" s="75">
        <f t="shared" si="0"/>
        <v>0.37000000000000455</v>
      </c>
      <c r="G75" s="75">
        <f>(D75-E75)/D75*100</f>
        <v>0.3285443813342262</v>
      </c>
      <c r="H75" s="75">
        <f>VLOOKUP($A75,'Data Vlaue (Cr)'!$C:$FB,99)</f>
        <v>2938</v>
      </c>
      <c r="I75" s="75">
        <f>VLOOKUP($A75,'Data Vlaue (Cr)'!$C:$FB,100)</f>
        <v>2996</v>
      </c>
      <c r="J75" s="75">
        <f t="shared" si="2"/>
        <v>-58</v>
      </c>
      <c r="K75" s="75">
        <f t="shared" si="3"/>
        <v>-1.9741320626276377</v>
      </c>
      <c r="L75" s="75">
        <f>VLOOKUP($A75,'Data Vlaue (Cr)'!$C:$FB,67)</f>
        <v>1083</v>
      </c>
      <c r="M75" s="75">
        <f>VLOOKUP($A75,'Data Vlaue (Cr)'!$C:$FB,68)</f>
        <v>644</v>
      </c>
      <c r="N75" s="75">
        <f t="shared" si="4"/>
        <v>439</v>
      </c>
      <c r="O75" s="75">
        <f t="shared" si="5"/>
        <v>40.535549399815331</v>
      </c>
      <c r="P75" s="75">
        <f>VLOOKUP($A75,'Data Vlaue (Cr)'!$C:$FB,119)</f>
        <v>0.67</v>
      </c>
      <c r="Q75" s="75">
        <f>VLOOKUP($A75,'Data Vlaue (Cr)'!$C:$FB,122)*100</f>
        <v>3.08</v>
      </c>
      <c r="R75" s="75">
        <f>VLOOKUP($A75,'Data Vlaue (Cr)'!$C:$FB,125)</f>
        <v>0.42</v>
      </c>
      <c r="S75" s="75">
        <f>VLOOKUP($A75,'Data Vlaue (Cr)'!$C:$FB,128)*100</f>
        <v>13.51</v>
      </c>
    </row>
    <row r="76" spans="1:19" x14ac:dyDescent="0.25">
      <c r="A76" s="96" t="str">
        <f>'Data Vlaue (Cr)'!C67</f>
        <v>GLENMARK</v>
      </c>
      <c r="B76" s="75">
        <f>VLOOKUP($A76,'Data Vlaue (Cr)'!$C:$FB,2)</f>
        <v>375</v>
      </c>
      <c r="C76" s="75">
        <f>VLOOKUP($A76,'Data Vlaue (Cr)'!$C:$FB,8)</f>
        <v>1939.3</v>
      </c>
      <c r="D76" s="75">
        <f>VLOOKUP($A76,'Data Vlaue (Cr)'!$C:$FB,4)</f>
        <v>1949.7</v>
      </c>
      <c r="E76" s="75">
        <f>VLOOKUP($A76,'Data Vlaue (Cr)'!$C:$FB,5)</f>
        <v>1946.4</v>
      </c>
      <c r="F76" s="75">
        <f t="shared" ref="F76:F139" si="6">D76-C76</f>
        <v>10.400000000000091</v>
      </c>
      <c r="G76" s="75">
        <f t="shared" ref="G76:G139" si="7">(D76-E76)/D76*100</f>
        <v>0.16925680873980378</v>
      </c>
      <c r="H76" s="75">
        <f>VLOOKUP($A76,'Data Vlaue (Cr)'!$C:$FB,99)</f>
        <v>2047</v>
      </c>
      <c r="I76" s="75">
        <f>VLOOKUP($A76,'Data Vlaue (Cr)'!$C:$FB,100)</f>
        <v>2003</v>
      </c>
      <c r="J76" s="75">
        <f t="shared" ref="J76:J139" si="8">H76-I76</f>
        <v>44</v>
      </c>
      <c r="K76" s="75">
        <f t="shared" ref="K76:K139" si="9">J76/H76*100</f>
        <v>2.1494870542256961</v>
      </c>
      <c r="L76" s="75">
        <f>VLOOKUP($A76,'Data Vlaue (Cr)'!$C:$FB,67)</f>
        <v>817</v>
      </c>
      <c r="M76" s="75">
        <f>VLOOKUP($A76,'Data Vlaue (Cr)'!$C:$FB,68)</f>
        <v>568</v>
      </c>
      <c r="N76" s="75">
        <f t="shared" ref="N76:N139" si="10">L76-M76</f>
        <v>249</v>
      </c>
      <c r="O76" s="75">
        <f t="shared" ref="O76:O139" si="11">N76/L76*100</f>
        <v>30.477356181150551</v>
      </c>
      <c r="P76" s="75">
        <f>VLOOKUP($A76,'Data Vlaue (Cr)'!$C:$FB,119)</f>
        <v>0.61</v>
      </c>
      <c r="Q76" s="75">
        <f>VLOOKUP($A76,'Data Vlaue (Cr)'!$C:$FB,122)*100</f>
        <v>-1.6099999999999999</v>
      </c>
      <c r="R76" s="75">
        <f>VLOOKUP($A76,'Data Vlaue (Cr)'!$C:$FB,125)</f>
        <v>0.34</v>
      </c>
      <c r="S76" s="75">
        <f>VLOOKUP($A76,'Data Vlaue (Cr)'!$C:$FB,128)*100</f>
        <v>25.929999999999996</v>
      </c>
    </row>
    <row r="77" spans="1:19" x14ac:dyDescent="0.25">
      <c r="A77" s="96" t="str">
        <f>'Data Vlaue (Cr)'!C68</f>
        <v>GMRAIRPORT</v>
      </c>
      <c r="B77" s="75">
        <f>VLOOKUP($A77,'Data Vlaue (Cr)'!$C:$FB,2)</f>
        <v>6975</v>
      </c>
      <c r="C77" s="75">
        <f>VLOOKUP($A77,'Data Vlaue (Cr)'!$C:$FB,8)</f>
        <v>90.35</v>
      </c>
      <c r="D77" s="75">
        <f>VLOOKUP($A77,'Data Vlaue (Cr)'!$C:$FB,4)</f>
        <v>90.68</v>
      </c>
      <c r="E77" s="75">
        <f>VLOOKUP($A77,'Data Vlaue (Cr)'!$C:$FB,5)</f>
        <v>91.15</v>
      </c>
      <c r="F77" s="75">
        <f t="shared" si="6"/>
        <v>0.33000000000001251</v>
      </c>
      <c r="G77" s="75">
        <f t="shared" si="7"/>
        <v>-0.51830613145125581</v>
      </c>
      <c r="H77" s="75">
        <f>VLOOKUP($A77,'Data Vlaue (Cr)'!$C:$FB,99)</f>
        <v>2984</v>
      </c>
      <c r="I77" s="75">
        <f>VLOOKUP($A77,'Data Vlaue (Cr)'!$C:$FB,100)</f>
        <v>2977</v>
      </c>
      <c r="J77" s="75">
        <f t="shared" si="8"/>
        <v>7</v>
      </c>
      <c r="K77" s="75">
        <f t="shared" si="9"/>
        <v>0.23458445040214476</v>
      </c>
      <c r="L77" s="75">
        <f>VLOOKUP($A77,'Data Vlaue (Cr)'!$C:$FB,67)</f>
        <v>632</v>
      </c>
      <c r="M77" s="75">
        <f>VLOOKUP($A77,'Data Vlaue (Cr)'!$C:$FB,68)</f>
        <v>1599</v>
      </c>
      <c r="N77" s="75">
        <f t="shared" si="10"/>
        <v>-967</v>
      </c>
      <c r="O77" s="75">
        <f t="shared" si="11"/>
        <v>-153.00632911392404</v>
      </c>
      <c r="P77" s="75">
        <f>VLOOKUP($A77,'Data Vlaue (Cr)'!$C:$FB,119)</f>
        <v>0.51</v>
      </c>
      <c r="Q77" s="75">
        <f>VLOOKUP($A77,'Data Vlaue (Cr)'!$C:$FB,122)*100</f>
        <v>0</v>
      </c>
      <c r="R77" s="75">
        <f>VLOOKUP($A77,'Data Vlaue (Cr)'!$C:$FB,125)</f>
        <v>0.33</v>
      </c>
      <c r="S77" s="75">
        <f>VLOOKUP($A77,'Data Vlaue (Cr)'!$C:$FB,128)*100</f>
        <v>-21.43</v>
      </c>
    </row>
    <row r="78" spans="1:19" x14ac:dyDescent="0.25">
      <c r="A78" s="96" t="str">
        <f>'Data Vlaue (Cr)'!C69</f>
        <v>GODREJCP</v>
      </c>
      <c r="B78" s="75">
        <f>VLOOKUP($A78,'Data Vlaue (Cr)'!$C:$FB,2)</f>
        <v>500</v>
      </c>
      <c r="C78" s="75">
        <f>VLOOKUP($A78,'Data Vlaue (Cr)'!$C:$FB,8)</f>
        <v>1129.8</v>
      </c>
      <c r="D78" s="75">
        <f>VLOOKUP($A78,'Data Vlaue (Cr)'!$C:$FB,4)</f>
        <v>1134.8</v>
      </c>
      <c r="E78" s="75">
        <f>VLOOKUP($A78,'Data Vlaue (Cr)'!$C:$FB,5)</f>
        <v>1131.3</v>
      </c>
      <c r="F78" s="75">
        <f t="shared" si="6"/>
        <v>5</v>
      </c>
      <c r="G78" s="75">
        <f t="shared" si="7"/>
        <v>0.30842439196334159</v>
      </c>
      <c r="H78" s="75">
        <f>VLOOKUP($A78,'Data Vlaue (Cr)'!$C:$FB,99)</f>
        <v>1985</v>
      </c>
      <c r="I78" s="75">
        <f>VLOOKUP($A78,'Data Vlaue (Cr)'!$C:$FB,100)</f>
        <v>1930</v>
      </c>
      <c r="J78" s="75">
        <f t="shared" si="8"/>
        <v>55</v>
      </c>
      <c r="K78" s="75">
        <f t="shared" si="9"/>
        <v>2.770780856423174</v>
      </c>
      <c r="L78" s="75">
        <f>VLOOKUP($A78,'Data Vlaue (Cr)'!$C:$FB,67)</f>
        <v>464</v>
      </c>
      <c r="M78" s="75">
        <f>VLOOKUP($A78,'Data Vlaue (Cr)'!$C:$FB,68)</f>
        <v>503</v>
      </c>
      <c r="N78" s="75">
        <f t="shared" si="10"/>
        <v>-39</v>
      </c>
      <c r="O78" s="75">
        <f t="shared" si="11"/>
        <v>-8.4051724137931032</v>
      </c>
      <c r="P78" s="75">
        <f>VLOOKUP($A78,'Data Vlaue (Cr)'!$C:$FB,119)</f>
        <v>0.51</v>
      </c>
      <c r="Q78" s="75">
        <f>VLOOKUP($A78,'Data Vlaue (Cr)'!$C:$FB,122)*100</f>
        <v>-7.2700000000000005</v>
      </c>
      <c r="R78" s="75">
        <f>VLOOKUP($A78,'Data Vlaue (Cr)'!$C:$FB,125)</f>
        <v>0.22</v>
      </c>
      <c r="S78" s="75">
        <f>VLOOKUP($A78,'Data Vlaue (Cr)'!$C:$FB,128)*100</f>
        <v>-31.25</v>
      </c>
    </row>
    <row r="79" spans="1:19" x14ac:dyDescent="0.25">
      <c r="A79" s="96" t="str">
        <f>'Data Vlaue (Cr)'!C70</f>
        <v>GODREJPROP</v>
      </c>
      <c r="B79" s="75">
        <f>VLOOKUP($A79,'Data Vlaue (Cr)'!$C:$FB,2)</f>
        <v>275</v>
      </c>
      <c r="C79" s="75">
        <f>VLOOKUP($A79,'Data Vlaue (Cr)'!$C:$FB,8)</f>
        <v>2091.9</v>
      </c>
      <c r="D79" s="75">
        <f>VLOOKUP($A79,'Data Vlaue (Cr)'!$C:$FB,4)</f>
        <v>2100.1999999999998</v>
      </c>
      <c r="E79" s="75">
        <f>VLOOKUP($A79,'Data Vlaue (Cr)'!$C:$FB,5)</f>
        <v>2043</v>
      </c>
      <c r="F79" s="75">
        <f t="shared" si="6"/>
        <v>8.2999999999997272</v>
      </c>
      <c r="G79" s="75">
        <f t="shared" si="7"/>
        <v>2.723550138082079</v>
      </c>
      <c r="H79" s="75">
        <f>VLOOKUP($A79,'Data Vlaue (Cr)'!$C:$FB,99)</f>
        <v>3010</v>
      </c>
      <c r="I79" s="75">
        <f>VLOOKUP($A79,'Data Vlaue (Cr)'!$C:$FB,100)</f>
        <v>3053</v>
      </c>
      <c r="J79" s="75">
        <f t="shared" si="8"/>
        <v>-43</v>
      </c>
      <c r="K79" s="75">
        <f t="shared" si="9"/>
        <v>-1.4285714285714286</v>
      </c>
      <c r="L79" s="75">
        <f>VLOOKUP($A79,'Data Vlaue (Cr)'!$C:$FB,67)</f>
        <v>2589</v>
      </c>
      <c r="M79" s="75">
        <f>VLOOKUP($A79,'Data Vlaue (Cr)'!$C:$FB,68)</f>
        <v>1189</v>
      </c>
      <c r="N79" s="75">
        <f t="shared" si="10"/>
        <v>1400</v>
      </c>
      <c r="O79" s="75">
        <f t="shared" si="11"/>
        <v>54.074932406334497</v>
      </c>
      <c r="P79" s="75">
        <f>VLOOKUP($A79,'Data Vlaue (Cr)'!$C:$FB,119)</f>
        <v>0.66</v>
      </c>
      <c r="Q79" s="75">
        <f>VLOOKUP($A79,'Data Vlaue (Cr)'!$C:$FB,122)*100</f>
        <v>6.45</v>
      </c>
      <c r="R79" s="75">
        <f>VLOOKUP($A79,'Data Vlaue (Cr)'!$C:$FB,125)</f>
        <v>0.33</v>
      </c>
      <c r="S79" s="75">
        <f>VLOOKUP($A79,'Data Vlaue (Cr)'!$C:$FB,128)*100</f>
        <v>-19.509999999999998</v>
      </c>
    </row>
    <row r="80" spans="1:19" x14ac:dyDescent="0.25">
      <c r="A80" s="96" t="str">
        <f>'Data Vlaue (Cr)'!C71</f>
        <v>GRASIM</v>
      </c>
      <c r="B80" s="75">
        <f>VLOOKUP($A80,'Data Vlaue (Cr)'!$C:$FB,2)</f>
        <v>250</v>
      </c>
      <c r="C80" s="75">
        <f>VLOOKUP($A80,'Data Vlaue (Cr)'!$C:$FB,8)</f>
        <v>2811</v>
      </c>
      <c r="D80" s="75">
        <f>VLOOKUP($A80,'Data Vlaue (Cr)'!$C:$FB,4)</f>
        <v>2826.5</v>
      </c>
      <c r="E80" s="75">
        <f>VLOOKUP($A80,'Data Vlaue (Cr)'!$C:$FB,5)</f>
        <v>2824.7</v>
      </c>
      <c r="F80" s="75">
        <f t="shared" si="6"/>
        <v>15.5</v>
      </c>
      <c r="G80" s="75">
        <f t="shared" si="7"/>
        <v>6.3683000176903648E-2</v>
      </c>
      <c r="H80" s="75">
        <f>VLOOKUP($A80,'Data Vlaue (Cr)'!$C:$FB,99)</f>
        <v>4852</v>
      </c>
      <c r="I80" s="75">
        <f>VLOOKUP($A80,'Data Vlaue (Cr)'!$C:$FB,100)</f>
        <v>4819</v>
      </c>
      <c r="J80" s="75">
        <f t="shared" si="8"/>
        <v>33</v>
      </c>
      <c r="K80" s="75">
        <f t="shared" si="9"/>
        <v>0.68013190436933224</v>
      </c>
      <c r="L80" s="75">
        <f>VLOOKUP($A80,'Data Vlaue (Cr)'!$C:$FB,67)</f>
        <v>810</v>
      </c>
      <c r="M80" s="75">
        <f>VLOOKUP($A80,'Data Vlaue (Cr)'!$C:$FB,68)</f>
        <v>843</v>
      </c>
      <c r="N80" s="75">
        <f t="shared" si="10"/>
        <v>-33</v>
      </c>
      <c r="O80" s="75">
        <f t="shared" si="11"/>
        <v>-4.0740740740740744</v>
      </c>
      <c r="P80" s="75">
        <f>VLOOKUP($A80,'Data Vlaue (Cr)'!$C:$FB,119)</f>
        <v>0.6</v>
      </c>
      <c r="Q80" s="75">
        <f>VLOOKUP($A80,'Data Vlaue (Cr)'!$C:$FB,122)*100</f>
        <v>1.69</v>
      </c>
      <c r="R80" s="75">
        <f>VLOOKUP($A80,'Data Vlaue (Cr)'!$C:$FB,125)</f>
        <v>0.37</v>
      </c>
      <c r="S80" s="75">
        <f>VLOOKUP($A80,'Data Vlaue (Cr)'!$C:$FB,128)*100</f>
        <v>-2.63</v>
      </c>
    </row>
    <row r="81" spans="1:19" x14ac:dyDescent="0.25">
      <c r="A81" s="96" t="str">
        <f>'Data Vlaue (Cr)'!C72</f>
        <v>HAL</v>
      </c>
      <c r="B81" s="75">
        <f>VLOOKUP($A81,'Data Vlaue (Cr)'!$C:$FB,2)</f>
        <v>150</v>
      </c>
      <c r="C81" s="75">
        <f>VLOOKUP($A81,'Data Vlaue (Cr)'!$C:$FB,8)</f>
        <v>4832.8999999999996</v>
      </c>
      <c r="D81" s="75">
        <f>VLOOKUP($A81,'Data Vlaue (Cr)'!$C:$FB,4)</f>
        <v>4859.3999999999996</v>
      </c>
      <c r="E81" s="75">
        <f>VLOOKUP($A81,'Data Vlaue (Cr)'!$C:$FB,5)</f>
        <v>4873.7</v>
      </c>
      <c r="F81" s="75">
        <f t="shared" si="6"/>
        <v>26.5</v>
      </c>
      <c r="G81" s="75">
        <f t="shared" si="7"/>
        <v>-0.29427501337614076</v>
      </c>
      <c r="H81" s="75">
        <f>VLOOKUP($A81,'Data Vlaue (Cr)'!$C:$FB,99)</f>
        <v>7697</v>
      </c>
      <c r="I81" s="75">
        <f>VLOOKUP($A81,'Data Vlaue (Cr)'!$C:$FB,100)</f>
        <v>7502</v>
      </c>
      <c r="J81" s="75">
        <f t="shared" si="8"/>
        <v>195</v>
      </c>
      <c r="K81" s="75">
        <f t="shared" si="9"/>
        <v>2.5334545926984537</v>
      </c>
      <c r="L81" s="75">
        <f>VLOOKUP($A81,'Data Vlaue (Cr)'!$C:$FB,67)</f>
        <v>4413</v>
      </c>
      <c r="M81" s="75">
        <f>VLOOKUP($A81,'Data Vlaue (Cr)'!$C:$FB,68)</f>
        <v>5457</v>
      </c>
      <c r="N81" s="75">
        <f t="shared" si="10"/>
        <v>-1044</v>
      </c>
      <c r="O81" s="75">
        <f t="shared" si="11"/>
        <v>-23.657375934738273</v>
      </c>
      <c r="P81" s="75">
        <f>VLOOKUP($A81,'Data Vlaue (Cr)'!$C:$FB,119)</f>
        <v>0.61</v>
      </c>
      <c r="Q81" s="75">
        <f>VLOOKUP($A81,'Data Vlaue (Cr)'!$C:$FB,122)*100</f>
        <v>-8.9599999999999991</v>
      </c>
      <c r="R81" s="75">
        <f>VLOOKUP($A81,'Data Vlaue (Cr)'!$C:$FB,125)</f>
        <v>0.38</v>
      </c>
      <c r="S81" s="75">
        <f>VLOOKUP($A81,'Data Vlaue (Cr)'!$C:$FB,128)*100</f>
        <v>8.57</v>
      </c>
    </row>
    <row r="82" spans="1:19" x14ac:dyDescent="0.25">
      <c r="A82" s="96" t="str">
        <f>'Data Vlaue (Cr)'!C73</f>
        <v>HAVELLS</v>
      </c>
      <c r="B82" s="75">
        <f>VLOOKUP($A82,'Data Vlaue (Cr)'!$C:$FB,2)</f>
        <v>500</v>
      </c>
      <c r="C82" s="75">
        <f>VLOOKUP($A82,'Data Vlaue (Cr)'!$C:$FB,8)</f>
        <v>1495.9</v>
      </c>
      <c r="D82" s="75">
        <f>VLOOKUP($A82,'Data Vlaue (Cr)'!$C:$FB,4)</f>
        <v>1504.1</v>
      </c>
      <c r="E82" s="75">
        <f>VLOOKUP($A82,'Data Vlaue (Cr)'!$C:$FB,5)</f>
        <v>1492.3</v>
      </c>
      <c r="F82" s="75">
        <f t="shared" si="6"/>
        <v>8.1999999999998181</v>
      </c>
      <c r="G82" s="75">
        <f t="shared" si="7"/>
        <v>0.78452230569775649</v>
      </c>
      <c r="H82" s="75">
        <f>VLOOKUP($A82,'Data Vlaue (Cr)'!$C:$FB,99)</f>
        <v>2208</v>
      </c>
      <c r="I82" s="75">
        <f>VLOOKUP($A82,'Data Vlaue (Cr)'!$C:$FB,100)</f>
        <v>2238</v>
      </c>
      <c r="J82" s="75">
        <f t="shared" si="8"/>
        <v>-30</v>
      </c>
      <c r="K82" s="75">
        <f t="shared" si="9"/>
        <v>-1.3586956521739131</v>
      </c>
      <c r="L82" s="75">
        <f>VLOOKUP($A82,'Data Vlaue (Cr)'!$C:$FB,67)</f>
        <v>1655</v>
      </c>
      <c r="M82" s="75">
        <f>VLOOKUP($A82,'Data Vlaue (Cr)'!$C:$FB,68)</f>
        <v>959</v>
      </c>
      <c r="N82" s="75">
        <f t="shared" si="10"/>
        <v>696</v>
      </c>
      <c r="O82" s="75">
        <f t="shared" si="11"/>
        <v>42.05438066465257</v>
      </c>
      <c r="P82" s="75">
        <f>VLOOKUP($A82,'Data Vlaue (Cr)'!$C:$FB,119)</f>
        <v>0.61</v>
      </c>
      <c r="Q82" s="75">
        <f>VLOOKUP($A82,'Data Vlaue (Cr)'!$C:$FB,122)*100</f>
        <v>7.02</v>
      </c>
      <c r="R82" s="75">
        <f>VLOOKUP($A82,'Data Vlaue (Cr)'!$C:$FB,125)</f>
        <v>0.38</v>
      </c>
      <c r="S82" s="75">
        <f>VLOOKUP($A82,'Data Vlaue (Cr)'!$C:$FB,128)*100</f>
        <v>-28.299999999999997</v>
      </c>
    </row>
    <row r="83" spans="1:19" x14ac:dyDescent="0.25">
      <c r="A83" s="96" t="str">
        <f>'Data Vlaue (Cr)'!C74</f>
        <v>HCLTECH</v>
      </c>
      <c r="B83" s="75">
        <f>VLOOKUP($A83,'Data Vlaue (Cr)'!$C:$FB,2)</f>
        <v>350</v>
      </c>
      <c r="C83" s="75">
        <f>VLOOKUP($A83,'Data Vlaue (Cr)'!$C:$FB,8)</f>
        <v>1495.5</v>
      </c>
      <c r="D83" s="75">
        <f>VLOOKUP($A83,'Data Vlaue (Cr)'!$C:$FB,4)</f>
        <v>1487.8</v>
      </c>
      <c r="E83" s="75">
        <f>VLOOKUP($A83,'Data Vlaue (Cr)'!$C:$FB,5)</f>
        <v>1479.2</v>
      </c>
      <c r="F83" s="75">
        <f t="shared" si="6"/>
        <v>-7.7000000000000455</v>
      </c>
      <c r="G83" s="75">
        <f t="shared" si="7"/>
        <v>0.57803468208091879</v>
      </c>
      <c r="H83" s="75">
        <f>VLOOKUP($A83,'Data Vlaue (Cr)'!$C:$FB,99)</f>
        <v>4685</v>
      </c>
      <c r="I83" s="75">
        <f>VLOOKUP($A83,'Data Vlaue (Cr)'!$C:$FB,100)</f>
        <v>4649</v>
      </c>
      <c r="J83" s="75">
        <f t="shared" si="8"/>
        <v>36</v>
      </c>
      <c r="K83" s="75">
        <f t="shared" si="9"/>
        <v>0.76840981856990398</v>
      </c>
      <c r="L83" s="75">
        <f>VLOOKUP($A83,'Data Vlaue (Cr)'!$C:$FB,67)</f>
        <v>4148</v>
      </c>
      <c r="M83" s="75">
        <f>VLOOKUP($A83,'Data Vlaue (Cr)'!$C:$FB,68)</f>
        <v>5777</v>
      </c>
      <c r="N83" s="75">
        <f t="shared" si="10"/>
        <v>-1629</v>
      </c>
      <c r="O83" s="75">
        <f t="shared" si="11"/>
        <v>-39.271938283510124</v>
      </c>
      <c r="P83" s="75">
        <f>VLOOKUP($A83,'Data Vlaue (Cr)'!$C:$FB,119)</f>
        <v>0.82</v>
      </c>
      <c r="Q83" s="75">
        <f>VLOOKUP($A83,'Data Vlaue (Cr)'!$C:$FB,122)*100</f>
        <v>-1.2</v>
      </c>
      <c r="R83" s="75">
        <f>VLOOKUP($A83,'Data Vlaue (Cr)'!$C:$FB,125)</f>
        <v>0.62</v>
      </c>
      <c r="S83" s="75">
        <f>VLOOKUP($A83,'Data Vlaue (Cr)'!$C:$FB,128)*100</f>
        <v>6.9</v>
      </c>
    </row>
    <row r="84" spans="1:19" x14ac:dyDescent="0.25">
      <c r="A84" s="96" t="str">
        <f>'Data Vlaue (Cr)'!C75</f>
        <v>HDFCAMC</v>
      </c>
      <c r="B84" s="75">
        <f>VLOOKUP($A84,'Data Vlaue (Cr)'!$C:$FB,2)</f>
        <v>150</v>
      </c>
      <c r="C84" s="75">
        <f>VLOOKUP($A84,'Data Vlaue (Cr)'!$C:$FB,8)</f>
        <v>5520</v>
      </c>
      <c r="D84" s="75">
        <f>VLOOKUP($A84,'Data Vlaue (Cr)'!$C:$FB,4)</f>
        <v>5549.5</v>
      </c>
      <c r="E84" s="75">
        <f>VLOOKUP($A84,'Data Vlaue (Cr)'!$C:$FB,5)</f>
        <v>5497.5</v>
      </c>
      <c r="F84" s="75">
        <f t="shared" si="6"/>
        <v>29.5</v>
      </c>
      <c r="G84" s="75">
        <f t="shared" si="7"/>
        <v>0.93702135327506986</v>
      </c>
      <c r="H84" s="75">
        <f>VLOOKUP($A84,'Data Vlaue (Cr)'!$C:$FB,99)</f>
        <v>1987</v>
      </c>
      <c r="I84" s="75">
        <f>VLOOKUP($A84,'Data Vlaue (Cr)'!$C:$FB,100)</f>
        <v>1960</v>
      </c>
      <c r="J84" s="75">
        <f t="shared" si="8"/>
        <v>27</v>
      </c>
      <c r="K84" s="75">
        <f t="shared" si="9"/>
        <v>1.3588324106693508</v>
      </c>
      <c r="L84" s="75">
        <f>VLOOKUP($A84,'Data Vlaue (Cr)'!$C:$FB,67)</f>
        <v>1141</v>
      </c>
      <c r="M84" s="75">
        <f>VLOOKUP($A84,'Data Vlaue (Cr)'!$C:$FB,68)</f>
        <v>1071</v>
      </c>
      <c r="N84" s="75">
        <f t="shared" si="10"/>
        <v>70</v>
      </c>
      <c r="O84" s="75">
        <f t="shared" si="11"/>
        <v>6.1349693251533743</v>
      </c>
      <c r="P84" s="75">
        <f>VLOOKUP($A84,'Data Vlaue (Cr)'!$C:$FB,119)</f>
        <v>0.76</v>
      </c>
      <c r="Q84" s="75">
        <f>VLOOKUP($A84,'Data Vlaue (Cr)'!$C:$FB,122)*100</f>
        <v>1.3299999999999998</v>
      </c>
      <c r="R84" s="75">
        <f>VLOOKUP($A84,'Data Vlaue (Cr)'!$C:$FB,125)</f>
        <v>0.34</v>
      </c>
      <c r="S84" s="75">
        <f>VLOOKUP($A84,'Data Vlaue (Cr)'!$C:$FB,128)*100</f>
        <v>-27.66</v>
      </c>
    </row>
    <row r="85" spans="1:19" x14ac:dyDescent="0.25">
      <c r="A85" s="96" t="str">
        <f>'Data Vlaue (Cr)'!C76</f>
        <v>HDFCBANK</v>
      </c>
      <c r="B85" s="75">
        <f>VLOOKUP($A85,'Data Vlaue (Cr)'!$C:$FB,2)</f>
        <v>1100</v>
      </c>
      <c r="C85" s="75">
        <f>VLOOKUP($A85,'Data Vlaue (Cr)'!$C:$FB,8)</f>
        <v>980.9</v>
      </c>
      <c r="D85" s="75">
        <f>VLOOKUP($A85,'Data Vlaue (Cr)'!$C:$FB,4)</f>
        <v>985.9</v>
      </c>
      <c r="E85" s="75">
        <f>VLOOKUP($A85,'Data Vlaue (Cr)'!$C:$FB,5)</f>
        <v>979.6</v>
      </c>
      <c r="F85" s="75">
        <f t="shared" si="6"/>
        <v>5</v>
      </c>
      <c r="G85" s="75">
        <f t="shared" si="7"/>
        <v>0.63901004158636321</v>
      </c>
      <c r="H85" s="75">
        <f>VLOOKUP($A85,'Data Vlaue (Cr)'!$C:$FB,99)</f>
        <v>25291</v>
      </c>
      <c r="I85" s="75">
        <f>VLOOKUP($A85,'Data Vlaue (Cr)'!$C:$FB,100)</f>
        <v>25321</v>
      </c>
      <c r="J85" s="75">
        <f t="shared" si="8"/>
        <v>-30</v>
      </c>
      <c r="K85" s="75">
        <f t="shared" si="9"/>
        <v>-0.11861927167767189</v>
      </c>
      <c r="L85" s="75">
        <f>VLOOKUP($A85,'Data Vlaue (Cr)'!$C:$FB,67)</f>
        <v>8515</v>
      </c>
      <c r="M85" s="75">
        <f>VLOOKUP($A85,'Data Vlaue (Cr)'!$C:$FB,68)</f>
        <v>7352</v>
      </c>
      <c r="N85" s="75">
        <f t="shared" si="10"/>
        <v>1163</v>
      </c>
      <c r="O85" s="75">
        <f t="shared" si="11"/>
        <v>13.658250146799766</v>
      </c>
      <c r="P85" s="75">
        <f>VLOOKUP($A85,'Data Vlaue (Cr)'!$C:$FB,119)</f>
        <v>0.77</v>
      </c>
      <c r="Q85" s="75">
        <f>VLOOKUP($A85,'Data Vlaue (Cr)'!$C:$FB,122)*100</f>
        <v>0</v>
      </c>
      <c r="R85" s="75">
        <f>VLOOKUP($A85,'Data Vlaue (Cr)'!$C:$FB,125)</f>
        <v>0.52</v>
      </c>
      <c r="S85" s="75">
        <f>VLOOKUP($A85,'Data Vlaue (Cr)'!$C:$FB,128)*100</f>
        <v>-22.39</v>
      </c>
    </row>
    <row r="86" spans="1:19" x14ac:dyDescent="0.25">
      <c r="A86" s="96" t="str">
        <f>'Data Vlaue (Cr)'!C77</f>
        <v>HDFCLIFE</v>
      </c>
      <c r="B86" s="75">
        <f>VLOOKUP($A86,'Data Vlaue (Cr)'!$C:$FB,2)</f>
        <v>1100</v>
      </c>
      <c r="C86" s="75">
        <f>VLOOKUP($A86,'Data Vlaue (Cr)'!$C:$FB,8)</f>
        <v>747.3</v>
      </c>
      <c r="D86" s="75">
        <f>VLOOKUP($A86,'Data Vlaue (Cr)'!$C:$FB,4)</f>
        <v>750.2</v>
      </c>
      <c r="E86" s="75">
        <f>VLOOKUP($A86,'Data Vlaue (Cr)'!$C:$FB,5)</f>
        <v>758.25</v>
      </c>
      <c r="F86" s="75">
        <f t="shared" si="6"/>
        <v>2.9000000000000909</v>
      </c>
      <c r="G86" s="75">
        <f t="shared" si="7"/>
        <v>-1.0730471874166827</v>
      </c>
      <c r="H86" s="75">
        <f>VLOOKUP($A86,'Data Vlaue (Cr)'!$C:$FB,99)</f>
        <v>3442</v>
      </c>
      <c r="I86" s="75">
        <f>VLOOKUP($A86,'Data Vlaue (Cr)'!$C:$FB,100)</f>
        <v>3294</v>
      </c>
      <c r="J86" s="75">
        <f t="shared" si="8"/>
        <v>148</v>
      </c>
      <c r="K86" s="75">
        <f t="shared" si="9"/>
        <v>4.2998256827425916</v>
      </c>
      <c r="L86" s="75">
        <f>VLOOKUP($A86,'Data Vlaue (Cr)'!$C:$FB,67)</f>
        <v>1119</v>
      </c>
      <c r="M86" s="75">
        <f>VLOOKUP($A86,'Data Vlaue (Cr)'!$C:$FB,68)</f>
        <v>1556</v>
      </c>
      <c r="N86" s="75">
        <f t="shared" si="10"/>
        <v>-437</v>
      </c>
      <c r="O86" s="75">
        <f t="shared" si="11"/>
        <v>-39.052725647899912</v>
      </c>
      <c r="P86" s="75">
        <f>VLOOKUP($A86,'Data Vlaue (Cr)'!$C:$FB,119)</f>
        <v>0.55000000000000004</v>
      </c>
      <c r="Q86" s="75">
        <f>VLOOKUP($A86,'Data Vlaue (Cr)'!$C:$FB,122)*100</f>
        <v>-9.84</v>
      </c>
      <c r="R86" s="75">
        <f>VLOOKUP($A86,'Data Vlaue (Cr)'!$C:$FB,125)</f>
        <v>0.47</v>
      </c>
      <c r="S86" s="75">
        <f>VLOOKUP($A86,'Data Vlaue (Cr)'!$C:$FB,128)*100</f>
        <v>-9.6199999999999992</v>
      </c>
    </row>
    <row r="87" spans="1:19" x14ac:dyDescent="0.25">
      <c r="A87" s="96" t="str">
        <f>'Data Vlaue (Cr)'!C78</f>
        <v>HEROMOTOCO</v>
      </c>
      <c r="B87" s="75">
        <f>VLOOKUP($A87,'Data Vlaue (Cr)'!$C:$FB,2)</f>
        <v>150</v>
      </c>
      <c r="C87" s="75">
        <f>VLOOKUP($A87,'Data Vlaue (Cr)'!$C:$FB,8)</f>
        <v>5500</v>
      </c>
      <c r="D87" s="75">
        <f>VLOOKUP($A87,'Data Vlaue (Cr)'!$C:$FB,4)</f>
        <v>5529</v>
      </c>
      <c r="E87" s="75">
        <f>VLOOKUP($A87,'Data Vlaue (Cr)'!$C:$FB,5)</f>
        <v>5543.5</v>
      </c>
      <c r="F87" s="75">
        <f t="shared" si="6"/>
        <v>29</v>
      </c>
      <c r="G87" s="75">
        <f t="shared" si="7"/>
        <v>-0.26225357207451622</v>
      </c>
      <c r="H87" s="75">
        <f>VLOOKUP($A87,'Data Vlaue (Cr)'!$C:$FB,99)</f>
        <v>4999</v>
      </c>
      <c r="I87" s="75">
        <f>VLOOKUP($A87,'Data Vlaue (Cr)'!$C:$FB,100)</f>
        <v>4732</v>
      </c>
      <c r="J87" s="75">
        <f t="shared" si="8"/>
        <v>267</v>
      </c>
      <c r="K87" s="75">
        <f t="shared" si="9"/>
        <v>5.3410682136427283</v>
      </c>
      <c r="L87" s="75">
        <f>VLOOKUP($A87,'Data Vlaue (Cr)'!$C:$FB,67)</f>
        <v>4447</v>
      </c>
      <c r="M87" s="75">
        <f>VLOOKUP($A87,'Data Vlaue (Cr)'!$C:$FB,68)</f>
        <v>3081</v>
      </c>
      <c r="N87" s="75">
        <f t="shared" si="10"/>
        <v>1366</v>
      </c>
      <c r="O87" s="75">
        <f t="shared" si="11"/>
        <v>30.717337530919721</v>
      </c>
      <c r="P87" s="75">
        <f>VLOOKUP($A87,'Data Vlaue (Cr)'!$C:$FB,119)</f>
        <v>0.62</v>
      </c>
      <c r="Q87" s="75">
        <f>VLOOKUP($A87,'Data Vlaue (Cr)'!$C:$FB,122)*100</f>
        <v>-11.43</v>
      </c>
      <c r="R87" s="75">
        <f>VLOOKUP($A87,'Data Vlaue (Cr)'!$C:$FB,125)</f>
        <v>0.31</v>
      </c>
      <c r="S87" s="75">
        <f>VLOOKUP($A87,'Data Vlaue (Cr)'!$C:$FB,128)*100</f>
        <v>-36.730000000000004</v>
      </c>
    </row>
    <row r="88" spans="1:19" x14ac:dyDescent="0.25">
      <c r="A88" s="96" t="str">
        <f>'Data Vlaue (Cr)'!C79</f>
        <v>HFCL</v>
      </c>
      <c r="B88" s="75">
        <f>VLOOKUP($A88,'Data Vlaue (Cr)'!$C:$FB,2)</f>
        <v>6450</v>
      </c>
      <c r="C88" s="75">
        <f>VLOOKUP($A88,'Data Vlaue (Cr)'!$C:$FB,8)</f>
        <v>76.040000000000006</v>
      </c>
      <c r="D88" s="75">
        <f>VLOOKUP($A88,'Data Vlaue (Cr)'!$C:$FB,4)</f>
        <v>76.44</v>
      </c>
      <c r="E88" s="75">
        <f>VLOOKUP($A88,'Data Vlaue (Cr)'!$C:$FB,5)</f>
        <v>74.42</v>
      </c>
      <c r="F88" s="75">
        <f t="shared" si="6"/>
        <v>0.39999999999999147</v>
      </c>
      <c r="G88" s="75">
        <f t="shared" si="7"/>
        <v>2.6425954997383516</v>
      </c>
      <c r="H88" s="75">
        <f>VLOOKUP($A88,'Data Vlaue (Cr)'!$C:$FB,99)</f>
        <v>1388</v>
      </c>
      <c r="I88" s="75">
        <f>VLOOKUP($A88,'Data Vlaue (Cr)'!$C:$FB,100)</f>
        <v>1363</v>
      </c>
      <c r="J88" s="75">
        <f t="shared" si="8"/>
        <v>25</v>
      </c>
      <c r="K88" s="75">
        <f t="shared" si="9"/>
        <v>1.8011527377521614</v>
      </c>
      <c r="L88" s="75">
        <f>VLOOKUP($A88,'Data Vlaue (Cr)'!$C:$FB,67)</f>
        <v>905</v>
      </c>
      <c r="M88" s="75">
        <f>VLOOKUP($A88,'Data Vlaue (Cr)'!$C:$FB,68)</f>
        <v>516</v>
      </c>
      <c r="N88" s="75">
        <f t="shared" si="10"/>
        <v>389</v>
      </c>
      <c r="O88" s="75">
        <f t="shared" si="11"/>
        <v>42.983425414364639</v>
      </c>
      <c r="P88" s="75">
        <f>VLOOKUP($A88,'Data Vlaue (Cr)'!$C:$FB,119)</f>
        <v>0.56999999999999995</v>
      </c>
      <c r="Q88" s="75">
        <f>VLOOKUP($A88,'Data Vlaue (Cr)'!$C:$FB,122)*100</f>
        <v>5.56</v>
      </c>
      <c r="R88" s="75">
        <f>VLOOKUP($A88,'Data Vlaue (Cr)'!$C:$FB,125)</f>
        <v>0.31</v>
      </c>
      <c r="S88" s="75">
        <f>VLOOKUP($A88,'Data Vlaue (Cr)'!$C:$FB,128)*100</f>
        <v>-20.51</v>
      </c>
    </row>
    <row r="89" spans="1:19" x14ac:dyDescent="0.25">
      <c r="A89" s="96" t="str">
        <f>'Data Vlaue (Cr)'!C80</f>
        <v>HINDALCO</v>
      </c>
      <c r="B89" s="75">
        <f>VLOOKUP($A89,'Data Vlaue (Cr)'!$C:$FB,2)</f>
        <v>1400</v>
      </c>
      <c r="C89" s="75">
        <f>VLOOKUP($A89,'Data Vlaue (Cr)'!$C:$FB,8)</f>
        <v>773.95</v>
      </c>
      <c r="D89" s="75">
        <f>VLOOKUP($A89,'Data Vlaue (Cr)'!$C:$FB,4)</f>
        <v>777.1</v>
      </c>
      <c r="E89" s="75">
        <f>VLOOKUP($A89,'Data Vlaue (Cr)'!$C:$FB,5)</f>
        <v>778.25</v>
      </c>
      <c r="F89" s="75">
        <f t="shared" si="6"/>
        <v>3.1499999999999773</v>
      </c>
      <c r="G89" s="75">
        <f t="shared" si="7"/>
        <v>-0.14798610217474936</v>
      </c>
      <c r="H89" s="75">
        <f>VLOOKUP($A89,'Data Vlaue (Cr)'!$C:$FB,99)</f>
        <v>7494</v>
      </c>
      <c r="I89" s="75">
        <f>VLOOKUP($A89,'Data Vlaue (Cr)'!$C:$FB,100)</f>
        <v>7455</v>
      </c>
      <c r="J89" s="75">
        <f t="shared" si="8"/>
        <v>39</v>
      </c>
      <c r="K89" s="75">
        <f t="shared" si="9"/>
        <v>0.52041633306645319</v>
      </c>
      <c r="L89" s="75">
        <f>VLOOKUP($A89,'Data Vlaue (Cr)'!$C:$FB,67)</f>
        <v>3717</v>
      </c>
      <c r="M89" s="75">
        <f>VLOOKUP($A89,'Data Vlaue (Cr)'!$C:$FB,68)</f>
        <v>3644</v>
      </c>
      <c r="N89" s="75">
        <f t="shared" si="10"/>
        <v>73</v>
      </c>
      <c r="O89" s="75">
        <f t="shared" si="11"/>
        <v>1.9639494215765403</v>
      </c>
      <c r="P89" s="75">
        <f>VLOOKUP($A89,'Data Vlaue (Cr)'!$C:$FB,119)</f>
        <v>0.72</v>
      </c>
      <c r="Q89" s="75">
        <f>VLOOKUP($A89,'Data Vlaue (Cr)'!$C:$FB,122)*100</f>
        <v>0</v>
      </c>
      <c r="R89" s="75">
        <f>VLOOKUP($A89,'Data Vlaue (Cr)'!$C:$FB,125)</f>
        <v>0.52</v>
      </c>
      <c r="S89" s="75">
        <f>VLOOKUP($A89,'Data Vlaue (Cr)'!$C:$FB,128)*100</f>
        <v>33.33</v>
      </c>
    </row>
    <row r="90" spans="1:19" x14ac:dyDescent="0.25">
      <c r="A90" s="96" t="str">
        <f>'Data Vlaue (Cr)'!C81</f>
        <v>HINDPETRO</v>
      </c>
      <c r="B90" s="75">
        <f>VLOOKUP($A90,'Data Vlaue (Cr)'!$C:$FB,2)</f>
        <v>2025</v>
      </c>
      <c r="C90" s="75">
        <f>VLOOKUP($A90,'Data Vlaue (Cr)'!$C:$FB,8)</f>
        <v>452.5</v>
      </c>
      <c r="D90" s="75">
        <f>VLOOKUP($A90,'Data Vlaue (Cr)'!$C:$FB,4)</f>
        <v>454.9</v>
      </c>
      <c r="E90" s="75">
        <f>VLOOKUP($A90,'Data Vlaue (Cr)'!$C:$FB,5)</f>
        <v>459.65</v>
      </c>
      <c r="F90" s="75">
        <f t="shared" si="6"/>
        <v>2.3999999999999773</v>
      </c>
      <c r="G90" s="75">
        <f t="shared" si="7"/>
        <v>-1.0441855352824798</v>
      </c>
      <c r="H90" s="75">
        <f>VLOOKUP($A90,'Data Vlaue (Cr)'!$C:$FB,99)</f>
        <v>3970</v>
      </c>
      <c r="I90" s="75">
        <f>VLOOKUP($A90,'Data Vlaue (Cr)'!$C:$FB,100)</f>
        <v>3835</v>
      </c>
      <c r="J90" s="75">
        <f t="shared" si="8"/>
        <v>135</v>
      </c>
      <c r="K90" s="75">
        <f t="shared" si="9"/>
        <v>3.4005037783375318</v>
      </c>
      <c r="L90" s="75">
        <f>VLOOKUP($A90,'Data Vlaue (Cr)'!$C:$FB,67)</f>
        <v>1279</v>
      </c>
      <c r="M90" s="75">
        <f>VLOOKUP($A90,'Data Vlaue (Cr)'!$C:$FB,68)</f>
        <v>2180</v>
      </c>
      <c r="N90" s="75">
        <f t="shared" si="10"/>
        <v>-901</v>
      </c>
      <c r="O90" s="75">
        <f t="shared" si="11"/>
        <v>-70.445660672400308</v>
      </c>
      <c r="P90" s="75">
        <f>VLOOKUP($A90,'Data Vlaue (Cr)'!$C:$FB,119)</f>
        <v>0.46</v>
      </c>
      <c r="Q90" s="75">
        <f>VLOOKUP($A90,'Data Vlaue (Cr)'!$C:$FB,122)*100</f>
        <v>-6.12</v>
      </c>
      <c r="R90" s="75">
        <f>VLOOKUP($A90,'Data Vlaue (Cr)'!$C:$FB,125)</f>
        <v>0.57999999999999996</v>
      </c>
      <c r="S90" s="75">
        <f>VLOOKUP($A90,'Data Vlaue (Cr)'!$C:$FB,128)*100</f>
        <v>23.400000000000002</v>
      </c>
    </row>
    <row r="91" spans="1:19" x14ac:dyDescent="0.25">
      <c r="A91" s="96" t="str">
        <f>'Data Vlaue (Cr)'!C82</f>
        <v>HINDUNILVR</v>
      </c>
      <c r="B91" s="75">
        <f>VLOOKUP($A91,'Data Vlaue (Cr)'!$C:$FB,2)</f>
        <v>300</v>
      </c>
      <c r="C91" s="75">
        <f>VLOOKUP($A91,'Data Vlaue (Cr)'!$C:$FB,8)</f>
        <v>2528.9</v>
      </c>
      <c r="D91" s="75">
        <f>VLOOKUP($A91,'Data Vlaue (Cr)'!$C:$FB,4)</f>
        <v>2534.6999999999998</v>
      </c>
      <c r="E91" s="75">
        <f>VLOOKUP($A91,'Data Vlaue (Cr)'!$C:$FB,5)</f>
        <v>2524.3000000000002</v>
      </c>
      <c r="F91" s="75">
        <f t="shared" si="6"/>
        <v>5.7999999999997272</v>
      </c>
      <c r="G91" s="75">
        <f t="shared" si="7"/>
        <v>0.41030496705723113</v>
      </c>
      <c r="H91" s="75">
        <f>VLOOKUP($A91,'Data Vlaue (Cr)'!$C:$FB,99)</f>
        <v>5500</v>
      </c>
      <c r="I91" s="75">
        <f>VLOOKUP($A91,'Data Vlaue (Cr)'!$C:$FB,100)</f>
        <v>5406</v>
      </c>
      <c r="J91" s="75">
        <f t="shared" si="8"/>
        <v>94</v>
      </c>
      <c r="K91" s="75">
        <f t="shared" si="9"/>
        <v>1.709090909090909</v>
      </c>
      <c r="L91" s="75">
        <f>VLOOKUP($A91,'Data Vlaue (Cr)'!$C:$FB,67)</f>
        <v>1960</v>
      </c>
      <c r="M91" s="75">
        <f>VLOOKUP($A91,'Data Vlaue (Cr)'!$C:$FB,68)</f>
        <v>1472</v>
      </c>
      <c r="N91" s="75">
        <f t="shared" si="10"/>
        <v>488</v>
      </c>
      <c r="O91" s="75">
        <f t="shared" si="11"/>
        <v>24.897959183673468</v>
      </c>
      <c r="P91" s="75">
        <f>VLOOKUP($A91,'Data Vlaue (Cr)'!$C:$FB,119)</f>
        <v>0.56000000000000005</v>
      </c>
      <c r="Q91" s="75">
        <f>VLOOKUP($A91,'Data Vlaue (Cr)'!$C:$FB,122)*100</f>
        <v>-5.08</v>
      </c>
      <c r="R91" s="75">
        <f>VLOOKUP($A91,'Data Vlaue (Cr)'!$C:$FB,125)</f>
        <v>0.54</v>
      </c>
      <c r="S91" s="75">
        <f>VLOOKUP($A91,'Data Vlaue (Cr)'!$C:$FB,128)*100</f>
        <v>17.39</v>
      </c>
    </row>
    <row r="92" spans="1:19" x14ac:dyDescent="0.25">
      <c r="A92" s="96" t="str">
        <f>'Data Vlaue (Cr)'!C83</f>
        <v>HINDZINC</v>
      </c>
      <c r="B92" s="75">
        <f>VLOOKUP($A92,'Data Vlaue (Cr)'!$C:$FB,2)</f>
        <v>1225</v>
      </c>
      <c r="C92" s="75">
        <f>VLOOKUP($A92,'Data Vlaue (Cr)'!$C:$FB,8)</f>
        <v>498.3</v>
      </c>
      <c r="D92" s="75">
        <f>VLOOKUP($A92,'Data Vlaue (Cr)'!$C:$FB,4)</f>
        <v>500.2</v>
      </c>
      <c r="E92" s="75">
        <f>VLOOKUP($A92,'Data Vlaue (Cr)'!$C:$FB,5)</f>
        <v>515</v>
      </c>
      <c r="F92" s="75">
        <f t="shared" si="6"/>
        <v>1.8999999999999773</v>
      </c>
      <c r="G92" s="75">
        <f t="shared" si="7"/>
        <v>-2.9588164734106379</v>
      </c>
      <c r="H92" s="75">
        <f>VLOOKUP($A92,'Data Vlaue (Cr)'!$C:$FB,99)</f>
        <v>3361</v>
      </c>
      <c r="I92" s="75">
        <f>VLOOKUP($A92,'Data Vlaue (Cr)'!$C:$FB,100)</f>
        <v>2924</v>
      </c>
      <c r="J92" s="75">
        <f t="shared" si="8"/>
        <v>437</v>
      </c>
      <c r="K92" s="75">
        <f t="shared" si="9"/>
        <v>13.00208271347813</v>
      </c>
      <c r="L92" s="75">
        <f>VLOOKUP($A92,'Data Vlaue (Cr)'!$C:$FB,67)</f>
        <v>5462</v>
      </c>
      <c r="M92" s="75">
        <f>VLOOKUP($A92,'Data Vlaue (Cr)'!$C:$FB,68)</f>
        <v>6931</v>
      </c>
      <c r="N92" s="75">
        <f t="shared" si="10"/>
        <v>-1469</v>
      </c>
      <c r="O92" s="75">
        <f t="shared" si="11"/>
        <v>-26.89491028927133</v>
      </c>
      <c r="P92" s="75">
        <f>VLOOKUP($A92,'Data Vlaue (Cr)'!$C:$FB,119)</f>
        <v>0.59</v>
      </c>
      <c r="Q92" s="75">
        <f>VLOOKUP($A92,'Data Vlaue (Cr)'!$C:$FB,122)*100</f>
        <v>-20.27</v>
      </c>
      <c r="R92" s="75">
        <f>VLOOKUP($A92,'Data Vlaue (Cr)'!$C:$FB,125)</f>
        <v>0.44</v>
      </c>
      <c r="S92" s="75">
        <f>VLOOKUP($A92,'Data Vlaue (Cr)'!$C:$FB,128)*100</f>
        <v>41.94</v>
      </c>
    </row>
    <row r="93" spans="1:19" x14ac:dyDescent="0.25">
      <c r="A93" s="96" t="str">
        <f>'Data Vlaue (Cr)'!C84</f>
        <v>HUDCO</v>
      </c>
      <c r="B93" s="75">
        <f>VLOOKUP($A93,'Data Vlaue (Cr)'!$C:$FB,2)</f>
        <v>2775</v>
      </c>
      <c r="C93" s="75">
        <f>VLOOKUP($A93,'Data Vlaue (Cr)'!$C:$FB,8)</f>
        <v>232.92</v>
      </c>
      <c r="D93" s="75">
        <f>VLOOKUP($A93,'Data Vlaue (Cr)'!$C:$FB,4)</f>
        <v>234.19</v>
      </c>
      <c r="E93" s="75">
        <f>VLOOKUP($A93,'Data Vlaue (Cr)'!$C:$FB,5)</f>
        <v>230.92</v>
      </c>
      <c r="F93" s="75">
        <f t="shared" si="6"/>
        <v>1.2700000000000102</v>
      </c>
      <c r="G93" s="75">
        <f t="shared" si="7"/>
        <v>1.3963021478286906</v>
      </c>
      <c r="H93" s="75">
        <f>VLOOKUP($A93,'Data Vlaue (Cr)'!$C:$FB,99)</f>
        <v>1179</v>
      </c>
      <c r="I93" s="75">
        <f>VLOOKUP($A93,'Data Vlaue (Cr)'!$C:$FB,100)</f>
        <v>1173</v>
      </c>
      <c r="J93" s="75">
        <f t="shared" si="8"/>
        <v>6</v>
      </c>
      <c r="K93" s="75">
        <f t="shared" si="9"/>
        <v>0.5089058524173028</v>
      </c>
      <c r="L93" s="75">
        <f>VLOOKUP($A93,'Data Vlaue (Cr)'!$C:$FB,67)</f>
        <v>968</v>
      </c>
      <c r="M93" s="75">
        <f>VLOOKUP($A93,'Data Vlaue (Cr)'!$C:$FB,68)</f>
        <v>529</v>
      </c>
      <c r="N93" s="75">
        <f t="shared" si="10"/>
        <v>439</v>
      </c>
      <c r="O93" s="75">
        <f t="shared" si="11"/>
        <v>45.351239669421489</v>
      </c>
      <c r="P93" s="75">
        <f>VLOOKUP($A93,'Data Vlaue (Cr)'!$C:$FB,119)</f>
        <v>0.59</v>
      </c>
      <c r="Q93" s="75">
        <f>VLOOKUP($A93,'Data Vlaue (Cr)'!$C:$FB,122)*100</f>
        <v>0</v>
      </c>
      <c r="R93" s="75">
        <f>VLOOKUP($A93,'Data Vlaue (Cr)'!$C:$FB,125)</f>
        <v>0.47</v>
      </c>
      <c r="S93" s="75">
        <f>VLOOKUP($A93,'Data Vlaue (Cr)'!$C:$FB,128)*100</f>
        <v>27.029999999999998</v>
      </c>
    </row>
    <row r="94" spans="1:19" x14ac:dyDescent="0.25">
      <c r="A94" s="96" t="str">
        <f>'Data Vlaue (Cr)'!C85</f>
        <v>ICICIBANK</v>
      </c>
      <c r="B94" s="75">
        <f>VLOOKUP($A94,'Data Vlaue (Cr)'!$C:$FB,2)</f>
        <v>700</v>
      </c>
      <c r="C94" s="75">
        <f>VLOOKUP($A94,'Data Vlaue (Cr)'!$C:$FB,8)</f>
        <v>1380.3</v>
      </c>
      <c r="D94" s="75">
        <f>VLOOKUP($A94,'Data Vlaue (Cr)'!$C:$FB,4)</f>
        <v>1387.9</v>
      </c>
      <c r="E94" s="75">
        <f>VLOOKUP($A94,'Data Vlaue (Cr)'!$C:$FB,5)</f>
        <v>1380.2</v>
      </c>
      <c r="F94" s="75">
        <f t="shared" si="6"/>
        <v>7.6000000000001364</v>
      </c>
      <c r="G94" s="75">
        <f t="shared" si="7"/>
        <v>0.55479501405000686</v>
      </c>
      <c r="H94" s="75">
        <f>VLOOKUP($A94,'Data Vlaue (Cr)'!$C:$FB,99)</f>
        <v>21339</v>
      </c>
      <c r="I94" s="75">
        <f>VLOOKUP($A94,'Data Vlaue (Cr)'!$C:$FB,100)</f>
        <v>20982</v>
      </c>
      <c r="J94" s="75">
        <f t="shared" si="8"/>
        <v>357</v>
      </c>
      <c r="K94" s="75">
        <f t="shared" si="9"/>
        <v>1.6729931112048364</v>
      </c>
      <c r="L94" s="75">
        <f>VLOOKUP($A94,'Data Vlaue (Cr)'!$C:$FB,67)</f>
        <v>7441</v>
      </c>
      <c r="M94" s="75">
        <f>VLOOKUP($A94,'Data Vlaue (Cr)'!$C:$FB,68)</f>
        <v>6241</v>
      </c>
      <c r="N94" s="75">
        <f t="shared" si="10"/>
        <v>1200</v>
      </c>
      <c r="O94" s="75">
        <f t="shared" si="11"/>
        <v>16.126864668727322</v>
      </c>
      <c r="P94" s="75">
        <f>VLOOKUP($A94,'Data Vlaue (Cr)'!$C:$FB,119)</f>
        <v>0.73</v>
      </c>
      <c r="Q94" s="75">
        <f>VLOOKUP($A94,'Data Vlaue (Cr)'!$C:$FB,122)*100</f>
        <v>0</v>
      </c>
      <c r="R94" s="75">
        <f>VLOOKUP($A94,'Data Vlaue (Cr)'!$C:$FB,125)</f>
        <v>0.5</v>
      </c>
      <c r="S94" s="75">
        <f>VLOOKUP($A94,'Data Vlaue (Cr)'!$C:$FB,128)*100</f>
        <v>-10.71</v>
      </c>
    </row>
    <row r="95" spans="1:19" x14ac:dyDescent="0.25">
      <c r="A95" s="96" t="str">
        <f>'Data Vlaue (Cr)'!C86</f>
        <v>ICICIGI</v>
      </c>
      <c r="B95" s="75">
        <f>VLOOKUP($A95,'Data Vlaue (Cr)'!$C:$FB,2)</f>
        <v>325</v>
      </c>
      <c r="C95" s="75">
        <f>VLOOKUP($A95,'Data Vlaue (Cr)'!$C:$FB,8)</f>
        <v>1862.8</v>
      </c>
      <c r="D95" s="75">
        <f>VLOOKUP($A95,'Data Vlaue (Cr)'!$C:$FB,4)</f>
        <v>1866.3</v>
      </c>
      <c r="E95" s="75">
        <f>VLOOKUP($A95,'Data Vlaue (Cr)'!$C:$FB,5)</f>
        <v>1883.9</v>
      </c>
      <c r="F95" s="75">
        <f t="shared" si="6"/>
        <v>3.5</v>
      </c>
      <c r="G95" s="75">
        <f t="shared" si="7"/>
        <v>-0.94304238332530343</v>
      </c>
      <c r="H95" s="75">
        <f>VLOOKUP($A95,'Data Vlaue (Cr)'!$C:$FB,99)</f>
        <v>1384</v>
      </c>
      <c r="I95" s="75">
        <f>VLOOKUP($A95,'Data Vlaue (Cr)'!$C:$FB,100)</f>
        <v>1337</v>
      </c>
      <c r="J95" s="75">
        <f t="shared" si="8"/>
        <v>47</v>
      </c>
      <c r="K95" s="75">
        <f t="shared" si="9"/>
        <v>3.395953757225433</v>
      </c>
      <c r="L95" s="75">
        <f>VLOOKUP($A95,'Data Vlaue (Cr)'!$C:$FB,67)</f>
        <v>335</v>
      </c>
      <c r="M95" s="75">
        <f>VLOOKUP($A95,'Data Vlaue (Cr)'!$C:$FB,68)</f>
        <v>431</v>
      </c>
      <c r="N95" s="75">
        <f t="shared" si="10"/>
        <v>-96</v>
      </c>
      <c r="O95" s="75">
        <f t="shared" si="11"/>
        <v>-28.656716417910449</v>
      </c>
      <c r="P95" s="75">
        <f>VLOOKUP($A95,'Data Vlaue (Cr)'!$C:$FB,119)</f>
        <v>0.64</v>
      </c>
      <c r="Q95" s="75">
        <f>VLOOKUP($A95,'Data Vlaue (Cr)'!$C:$FB,122)*100</f>
        <v>-5.88</v>
      </c>
      <c r="R95" s="75">
        <f>VLOOKUP($A95,'Data Vlaue (Cr)'!$C:$FB,125)</f>
        <v>0.56999999999999995</v>
      </c>
      <c r="S95" s="75">
        <f>VLOOKUP($A95,'Data Vlaue (Cr)'!$C:$FB,128)*100</f>
        <v>23.91</v>
      </c>
    </row>
    <row r="96" spans="1:19" x14ac:dyDescent="0.25">
      <c r="A96" s="96" t="str">
        <f>'Data Vlaue (Cr)'!C87</f>
        <v>ICICIPRULI</v>
      </c>
      <c r="B96" s="75">
        <f>VLOOKUP($A96,'Data Vlaue (Cr)'!$C:$FB,2)</f>
        <v>925</v>
      </c>
      <c r="C96" s="75">
        <f>VLOOKUP($A96,'Data Vlaue (Cr)'!$C:$FB,8)</f>
        <v>597.70000000000005</v>
      </c>
      <c r="D96" s="75">
        <f>VLOOKUP($A96,'Data Vlaue (Cr)'!$C:$FB,4)</f>
        <v>601.1</v>
      </c>
      <c r="E96" s="75">
        <f>VLOOKUP($A96,'Data Vlaue (Cr)'!$C:$FB,5)</f>
        <v>596.75</v>
      </c>
      <c r="F96" s="75">
        <f t="shared" si="6"/>
        <v>3.3999999999999773</v>
      </c>
      <c r="G96" s="75">
        <f t="shared" si="7"/>
        <v>0.72367326567959123</v>
      </c>
      <c r="H96" s="75">
        <f>VLOOKUP($A96,'Data Vlaue (Cr)'!$C:$FB,99)</f>
        <v>1014</v>
      </c>
      <c r="I96" s="75">
        <f>VLOOKUP($A96,'Data Vlaue (Cr)'!$C:$FB,100)</f>
        <v>1008</v>
      </c>
      <c r="J96" s="75">
        <f t="shared" si="8"/>
        <v>6</v>
      </c>
      <c r="K96" s="75">
        <f t="shared" si="9"/>
        <v>0.59171597633136097</v>
      </c>
      <c r="L96" s="75">
        <f>VLOOKUP($A96,'Data Vlaue (Cr)'!$C:$FB,67)</f>
        <v>367</v>
      </c>
      <c r="M96" s="75">
        <f>VLOOKUP($A96,'Data Vlaue (Cr)'!$C:$FB,68)</f>
        <v>178</v>
      </c>
      <c r="N96" s="75">
        <f t="shared" si="10"/>
        <v>189</v>
      </c>
      <c r="O96" s="75">
        <f t="shared" si="11"/>
        <v>51.498637602179841</v>
      </c>
      <c r="P96" s="75">
        <f>VLOOKUP($A96,'Data Vlaue (Cr)'!$C:$FB,119)</f>
        <v>0.61</v>
      </c>
      <c r="Q96" s="75">
        <f>VLOOKUP($A96,'Data Vlaue (Cr)'!$C:$FB,122)*100</f>
        <v>-11.59</v>
      </c>
      <c r="R96" s="75">
        <f>VLOOKUP($A96,'Data Vlaue (Cr)'!$C:$FB,125)</f>
        <v>0.37</v>
      </c>
      <c r="S96" s="75">
        <f>VLOOKUP($A96,'Data Vlaue (Cr)'!$C:$FB,128)*100</f>
        <v>12.120000000000001</v>
      </c>
    </row>
    <row r="97" spans="1:19" x14ac:dyDescent="0.25">
      <c r="A97" s="96" t="str">
        <f>'Data Vlaue (Cr)'!C88</f>
        <v>IDEA</v>
      </c>
      <c r="B97" s="75">
        <f>VLOOKUP($A97,'Data Vlaue (Cr)'!$C:$FB,2)</f>
        <v>71475</v>
      </c>
      <c r="C97" s="75">
        <f>VLOOKUP($A97,'Data Vlaue (Cr)'!$C:$FB,8)</f>
        <v>9.0399999999999991</v>
      </c>
      <c r="D97" s="75">
        <f>VLOOKUP($A97,'Data Vlaue (Cr)'!$C:$FB,4)</f>
        <v>9.08</v>
      </c>
      <c r="E97" s="75">
        <f>VLOOKUP($A97,'Data Vlaue (Cr)'!$C:$FB,5)</f>
        <v>9.06</v>
      </c>
      <c r="F97" s="75">
        <f t="shared" si="6"/>
        <v>4.0000000000000924E-2</v>
      </c>
      <c r="G97" s="75">
        <f t="shared" si="7"/>
        <v>0.22026431718061204</v>
      </c>
      <c r="H97" s="75">
        <f>VLOOKUP($A97,'Data Vlaue (Cr)'!$C:$FB,99)</f>
        <v>8856</v>
      </c>
      <c r="I97" s="75">
        <f>VLOOKUP($A97,'Data Vlaue (Cr)'!$C:$FB,100)</f>
        <v>8812</v>
      </c>
      <c r="J97" s="75">
        <f t="shared" si="8"/>
        <v>44</v>
      </c>
      <c r="K97" s="75">
        <f t="shared" si="9"/>
        <v>0.49683830171635046</v>
      </c>
      <c r="L97" s="75">
        <f>VLOOKUP($A97,'Data Vlaue (Cr)'!$C:$FB,67)</f>
        <v>2336</v>
      </c>
      <c r="M97" s="75">
        <f>VLOOKUP($A97,'Data Vlaue (Cr)'!$C:$FB,68)</f>
        <v>2144</v>
      </c>
      <c r="N97" s="75">
        <f t="shared" si="10"/>
        <v>192</v>
      </c>
      <c r="O97" s="75">
        <f t="shared" si="11"/>
        <v>8.2191780821917799</v>
      </c>
      <c r="P97" s="75">
        <f>VLOOKUP($A97,'Data Vlaue (Cr)'!$C:$FB,119)</f>
        <v>0.55000000000000004</v>
      </c>
      <c r="Q97" s="75">
        <f>VLOOKUP($A97,'Data Vlaue (Cr)'!$C:$FB,122)*100</f>
        <v>-3.51</v>
      </c>
      <c r="R97" s="75">
        <f>VLOOKUP($A97,'Data Vlaue (Cr)'!$C:$FB,125)</f>
        <v>0.32</v>
      </c>
      <c r="S97" s="75">
        <f>VLOOKUP($A97,'Data Vlaue (Cr)'!$C:$FB,128)*100</f>
        <v>-3.0300000000000002</v>
      </c>
    </row>
    <row r="98" spans="1:19" x14ac:dyDescent="0.25">
      <c r="A98" s="96" t="str">
        <f>'Data Vlaue (Cr)'!C89</f>
        <v>IDFCFIRSTB</v>
      </c>
      <c r="B98" s="75">
        <f>VLOOKUP($A98,'Data Vlaue (Cr)'!$C:$FB,2)</f>
        <v>9275</v>
      </c>
      <c r="C98" s="75">
        <f>VLOOKUP($A98,'Data Vlaue (Cr)'!$C:$FB,8)</f>
        <v>74.430000000000007</v>
      </c>
      <c r="D98" s="75">
        <f>VLOOKUP($A98,'Data Vlaue (Cr)'!$C:$FB,4)</f>
        <v>74.62</v>
      </c>
      <c r="E98" s="75">
        <f>VLOOKUP($A98,'Data Vlaue (Cr)'!$C:$FB,5)</f>
        <v>73.709999999999994</v>
      </c>
      <c r="F98" s="75">
        <f t="shared" si="6"/>
        <v>0.18999999999999773</v>
      </c>
      <c r="G98" s="75">
        <f t="shared" si="7"/>
        <v>1.2195121951219656</v>
      </c>
      <c r="H98" s="75">
        <f>VLOOKUP($A98,'Data Vlaue (Cr)'!$C:$FB,99)</f>
        <v>4743</v>
      </c>
      <c r="I98" s="75">
        <f>VLOOKUP($A98,'Data Vlaue (Cr)'!$C:$FB,100)</f>
        <v>4622</v>
      </c>
      <c r="J98" s="75">
        <f t="shared" si="8"/>
        <v>121</v>
      </c>
      <c r="K98" s="75">
        <f t="shared" si="9"/>
        <v>2.5511279780729494</v>
      </c>
      <c r="L98" s="75">
        <f>VLOOKUP($A98,'Data Vlaue (Cr)'!$C:$FB,67)</f>
        <v>3293</v>
      </c>
      <c r="M98" s="75">
        <f>VLOOKUP($A98,'Data Vlaue (Cr)'!$C:$FB,68)</f>
        <v>2176</v>
      </c>
      <c r="N98" s="75">
        <f t="shared" si="10"/>
        <v>1117</v>
      </c>
      <c r="O98" s="75">
        <f t="shared" si="11"/>
        <v>33.920437291223813</v>
      </c>
      <c r="P98" s="75">
        <f>VLOOKUP($A98,'Data Vlaue (Cr)'!$C:$FB,119)</f>
        <v>0.7</v>
      </c>
      <c r="Q98" s="75">
        <f>VLOOKUP($A98,'Data Vlaue (Cr)'!$C:$FB,122)*100</f>
        <v>-10.26</v>
      </c>
      <c r="R98" s="75">
        <f>VLOOKUP($A98,'Data Vlaue (Cr)'!$C:$FB,125)</f>
        <v>0.37</v>
      </c>
      <c r="S98" s="75">
        <f>VLOOKUP($A98,'Data Vlaue (Cr)'!$C:$FB,128)*100</f>
        <v>-50</v>
      </c>
    </row>
    <row r="99" spans="1:19" x14ac:dyDescent="0.25">
      <c r="A99" s="96" t="str">
        <f>'Data Vlaue (Cr)'!C90</f>
        <v>IEX</v>
      </c>
      <c r="B99" s="75">
        <f>VLOOKUP($A99,'Data Vlaue (Cr)'!$C:$FB,2)</f>
        <v>3750</v>
      </c>
      <c r="C99" s="75">
        <f>VLOOKUP($A99,'Data Vlaue (Cr)'!$C:$FB,8)</f>
        <v>139.87</v>
      </c>
      <c r="D99" s="75">
        <f>VLOOKUP($A99,'Data Vlaue (Cr)'!$C:$FB,4)</f>
        <v>140.27000000000001</v>
      </c>
      <c r="E99" s="75">
        <f>VLOOKUP($A99,'Data Vlaue (Cr)'!$C:$FB,5)</f>
        <v>140.97</v>
      </c>
      <c r="F99" s="75">
        <f t="shared" si="6"/>
        <v>0.40000000000000568</v>
      </c>
      <c r="G99" s="75">
        <f t="shared" si="7"/>
        <v>-0.49903757039993485</v>
      </c>
      <c r="H99" s="75">
        <f>VLOOKUP($A99,'Data Vlaue (Cr)'!$C:$FB,99)</f>
        <v>1470</v>
      </c>
      <c r="I99" s="75">
        <f>VLOOKUP($A99,'Data Vlaue (Cr)'!$C:$FB,100)</f>
        <v>1429</v>
      </c>
      <c r="J99" s="75">
        <f t="shared" si="8"/>
        <v>41</v>
      </c>
      <c r="K99" s="75">
        <f t="shared" si="9"/>
        <v>2.7891156462585034</v>
      </c>
      <c r="L99" s="75">
        <f>VLOOKUP($A99,'Data Vlaue (Cr)'!$C:$FB,67)</f>
        <v>350</v>
      </c>
      <c r="M99" s="75">
        <f>VLOOKUP($A99,'Data Vlaue (Cr)'!$C:$FB,68)</f>
        <v>285</v>
      </c>
      <c r="N99" s="75">
        <f t="shared" si="10"/>
        <v>65</v>
      </c>
      <c r="O99" s="75">
        <f t="shared" si="11"/>
        <v>18.571428571428573</v>
      </c>
      <c r="P99" s="75">
        <f>VLOOKUP($A99,'Data Vlaue (Cr)'!$C:$FB,119)</f>
        <v>0.7</v>
      </c>
      <c r="Q99" s="75">
        <f>VLOOKUP($A99,'Data Vlaue (Cr)'!$C:$FB,122)*100</f>
        <v>-1.41</v>
      </c>
      <c r="R99" s="75">
        <f>VLOOKUP($A99,'Data Vlaue (Cr)'!$C:$FB,125)</f>
        <v>0.43</v>
      </c>
      <c r="S99" s="75">
        <f>VLOOKUP($A99,'Data Vlaue (Cr)'!$C:$FB,128)*100</f>
        <v>-14.000000000000002</v>
      </c>
    </row>
    <row r="100" spans="1:19" x14ac:dyDescent="0.25">
      <c r="A100" s="96" t="str">
        <f>'Data Vlaue (Cr)'!C91</f>
        <v>IGL</v>
      </c>
      <c r="B100" s="75">
        <f>VLOOKUP($A100,'Data Vlaue (Cr)'!$C:$FB,2)</f>
        <v>2750</v>
      </c>
      <c r="C100" s="75">
        <f>VLOOKUP($A100,'Data Vlaue (Cr)'!$C:$FB,8)</f>
        <v>216.18</v>
      </c>
      <c r="D100" s="75">
        <f>VLOOKUP($A100,'Data Vlaue (Cr)'!$C:$FB,4)</f>
        <v>216.94</v>
      </c>
      <c r="E100" s="75">
        <f>VLOOKUP($A100,'Data Vlaue (Cr)'!$C:$FB,5)</f>
        <v>219.13</v>
      </c>
      <c r="F100" s="75">
        <f t="shared" si="6"/>
        <v>0.75999999999999091</v>
      </c>
      <c r="G100" s="75">
        <f t="shared" si="7"/>
        <v>-1.0094957131003954</v>
      </c>
      <c r="H100" s="75">
        <f>VLOOKUP($A100,'Data Vlaue (Cr)'!$C:$FB,99)</f>
        <v>1010</v>
      </c>
      <c r="I100" s="75">
        <f>VLOOKUP($A100,'Data Vlaue (Cr)'!$C:$FB,100)</f>
        <v>1030</v>
      </c>
      <c r="J100" s="75">
        <f t="shared" si="8"/>
        <v>-20</v>
      </c>
      <c r="K100" s="75">
        <f t="shared" si="9"/>
        <v>-1.9801980198019802</v>
      </c>
      <c r="L100" s="75">
        <f>VLOOKUP($A100,'Data Vlaue (Cr)'!$C:$FB,67)</f>
        <v>467</v>
      </c>
      <c r="M100" s="75">
        <f>VLOOKUP($A100,'Data Vlaue (Cr)'!$C:$FB,68)</f>
        <v>806</v>
      </c>
      <c r="N100" s="75">
        <f t="shared" si="10"/>
        <v>-339</v>
      </c>
      <c r="O100" s="75">
        <f t="shared" si="11"/>
        <v>-72.591006423982876</v>
      </c>
      <c r="P100" s="75">
        <f>VLOOKUP($A100,'Data Vlaue (Cr)'!$C:$FB,119)</f>
        <v>0.61</v>
      </c>
      <c r="Q100" s="75">
        <f>VLOOKUP($A100,'Data Vlaue (Cr)'!$C:$FB,122)*100</f>
        <v>1.67</v>
      </c>
      <c r="R100" s="75">
        <f>VLOOKUP($A100,'Data Vlaue (Cr)'!$C:$FB,125)</f>
        <v>0.43</v>
      </c>
      <c r="S100" s="75">
        <f>VLOOKUP($A100,'Data Vlaue (Cr)'!$C:$FB,128)*100</f>
        <v>10.26</v>
      </c>
    </row>
    <row r="101" spans="1:19" x14ac:dyDescent="0.25">
      <c r="A101" s="96" t="str">
        <f>'Data Vlaue (Cr)'!C92</f>
        <v>IIFL</v>
      </c>
      <c r="B101" s="75">
        <f>VLOOKUP($A101,'Data Vlaue (Cr)'!$C:$FB,2)</f>
        <v>1650</v>
      </c>
      <c r="C101" s="75">
        <f>VLOOKUP($A101,'Data Vlaue (Cr)'!$C:$FB,8)</f>
        <v>490</v>
      </c>
      <c r="D101" s="75">
        <f>VLOOKUP($A101,'Data Vlaue (Cr)'!$C:$FB,4)</f>
        <v>492.55</v>
      </c>
      <c r="E101" s="75">
        <f>VLOOKUP($A101,'Data Vlaue (Cr)'!$C:$FB,5)</f>
        <v>498.2</v>
      </c>
      <c r="F101" s="75">
        <f t="shared" si="6"/>
        <v>2.5500000000000114</v>
      </c>
      <c r="G101" s="75">
        <f t="shared" si="7"/>
        <v>-1.1470916658207242</v>
      </c>
      <c r="H101" s="75">
        <f>VLOOKUP($A101,'Data Vlaue (Cr)'!$C:$FB,99)</f>
        <v>1116</v>
      </c>
      <c r="I101" s="75">
        <f>VLOOKUP($A101,'Data Vlaue (Cr)'!$C:$FB,100)</f>
        <v>1124</v>
      </c>
      <c r="J101" s="75">
        <f t="shared" si="8"/>
        <v>-8</v>
      </c>
      <c r="K101" s="75">
        <f t="shared" si="9"/>
        <v>-0.71684587813620071</v>
      </c>
      <c r="L101" s="75">
        <f>VLOOKUP($A101,'Data Vlaue (Cr)'!$C:$FB,67)</f>
        <v>450</v>
      </c>
      <c r="M101" s="75">
        <f>VLOOKUP($A101,'Data Vlaue (Cr)'!$C:$FB,68)</f>
        <v>1164</v>
      </c>
      <c r="N101" s="75">
        <f t="shared" si="10"/>
        <v>-714</v>
      </c>
      <c r="O101" s="75">
        <f t="shared" si="11"/>
        <v>-158.66666666666666</v>
      </c>
      <c r="P101" s="75">
        <f>VLOOKUP($A101,'Data Vlaue (Cr)'!$C:$FB,119)</f>
        <v>0.69</v>
      </c>
      <c r="Q101" s="75">
        <f>VLOOKUP($A101,'Data Vlaue (Cr)'!$C:$FB,122)*100</f>
        <v>1.47</v>
      </c>
      <c r="R101" s="75">
        <f>VLOOKUP($A101,'Data Vlaue (Cr)'!$C:$FB,125)</f>
        <v>0.6</v>
      </c>
      <c r="S101" s="75">
        <f>VLOOKUP($A101,'Data Vlaue (Cr)'!$C:$FB,128)*100</f>
        <v>81.820000000000007</v>
      </c>
    </row>
    <row r="102" spans="1:19" x14ac:dyDescent="0.25">
      <c r="A102" s="96" t="str">
        <f>'Data Vlaue (Cr)'!C93</f>
        <v>INDHOTEL</v>
      </c>
      <c r="B102" s="75">
        <f>VLOOKUP($A102,'Data Vlaue (Cr)'!$C:$FB,2)</f>
        <v>1000</v>
      </c>
      <c r="C102" s="75">
        <f>VLOOKUP($A102,'Data Vlaue (Cr)'!$C:$FB,8)</f>
        <v>735.55</v>
      </c>
      <c r="D102" s="75">
        <f>VLOOKUP($A102,'Data Vlaue (Cr)'!$C:$FB,4)</f>
        <v>738.75</v>
      </c>
      <c r="E102" s="75">
        <f>VLOOKUP($A102,'Data Vlaue (Cr)'!$C:$FB,5)</f>
        <v>734.65</v>
      </c>
      <c r="F102" s="75">
        <f t="shared" si="6"/>
        <v>3.2000000000000455</v>
      </c>
      <c r="G102" s="75">
        <f t="shared" si="7"/>
        <v>0.55499153976311644</v>
      </c>
      <c r="H102" s="75">
        <f>VLOOKUP($A102,'Data Vlaue (Cr)'!$C:$FB,99)</f>
        <v>3525</v>
      </c>
      <c r="I102" s="75">
        <f>VLOOKUP($A102,'Data Vlaue (Cr)'!$C:$FB,100)</f>
        <v>3547</v>
      </c>
      <c r="J102" s="75">
        <f t="shared" si="8"/>
        <v>-22</v>
      </c>
      <c r="K102" s="75">
        <f t="shared" si="9"/>
        <v>-0.62411347517730498</v>
      </c>
      <c r="L102" s="75">
        <f>VLOOKUP($A102,'Data Vlaue (Cr)'!$C:$FB,67)</f>
        <v>1541</v>
      </c>
      <c r="M102" s="75">
        <f>VLOOKUP($A102,'Data Vlaue (Cr)'!$C:$FB,68)</f>
        <v>929</v>
      </c>
      <c r="N102" s="75">
        <f t="shared" si="10"/>
        <v>612</v>
      </c>
      <c r="O102" s="75">
        <f t="shared" si="11"/>
        <v>39.71447112264763</v>
      </c>
      <c r="P102" s="75">
        <f>VLOOKUP($A102,'Data Vlaue (Cr)'!$C:$FB,119)</f>
        <v>0.52</v>
      </c>
      <c r="Q102" s="75">
        <f>VLOOKUP($A102,'Data Vlaue (Cr)'!$C:$FB,122)*100</f>
        <v>-3.6999999999999997</v>
      </c>
      <c r="R102" s="75">
        <f>VLOOKUP($A102,'Data Vlaue (Cr)'!$C:$FB,125)</f>
        <v>0.28999999999999998</v>
      </c>
      <c r="S102" s="75">
        <f>VLOOKUP($A102,'Data Vlaue (Cr)'!$C:$FB,128)*100</f>
        <v>61.11</v>
      </c>
    </row>
    <row r="103" spans="1:19" x14ac:dyDescent="0.25">
      <c r="A103" s="96" t="str">
        <f>'Data Vlaue (Cr)'!C94</f>
        <v>INDIANB</v>
      </c>
      <c r="B103" s="75">
        <f>VLOOKUP($A103,'Data Vlaue (Cr)'!$C:$FB,2)</f>
        <v>1000</v>
      </c>
      <c r="C103" s="75">
        <f>VLOOKUP($A103,'Data Vlaue (Cr)'!$C:$FB,8)</f>
        <v>776.25</v>
      </c>
      <c r="D103" s="75">
        <f>VLOOKUP($A103,'Data Vlaue (Cr)'!$C:$FB,4)</f>
        <v>776.1</v>
      </c>
      <c r="E103" s="75">
        <f>VLOOKUP($A103,'Data Vlaue (Cr)'!$C:$FB,5)</f>
        <v>769.4</v>
      </c>
      <c r="F103" s="75">
        <f t="shared" si="6"/>
        <v>-0.14999999999997726</v>
      </c>
      <c r="G103" s="75">
        <f t="shared" si="7"/>
        <v>0.86329081303956268</v>
      </c>
      <c r="H103" s="75">
        <f>VLOOKUP($A103,'Data Vlaue (Cr)'!$C:$FB,99)</f>
        <v>1025</v>
      </c>
      <c r="I103" s="75">
        <f>VLOOKUP($A103,'Data Vlaue (Cr)'!$C:$FB,100)</f>
        <v>999</v>
      </c>
      <c r="J103" s="75">
        <f t="shared" si="8"/>
        <v>26</v>
      </c>
      <c r="K103" s="75">
        <f t="shared" si="9"/>
        <v>2.5365853658536586</v>
      </c>
      <c r="L103" s="75">
        <f>VLOOKUP($A103,'Data Vlaue (Cr)'!$C:$FB,67)</f>
        <v>759</v>
      </c>
      <c r="M103" s="75">
        <f>VLOOKUP($A103,'Data Vlaue (Cr)'!$C:$FB,68)</f>
        <v>356</v>
      </c>
      <c r="N103" s="75">
        <f t="shared" si="10"/>
        <v>403</v>
      </c>
      <c r="O103" s="75">
        <f t="shared" si="11"/>
        <v>53.096179183135703</v>
      </c>
      <c r="P103" s="75">
        <f>VLOOKUP($A103,'Data Vlaue (Cr)'!$C:$FB,119)</f>
        <v>0.97</v>
      </c>
      <c r="Q103" s="75">
        <f>VLOOKUP($A103,'Data Vlaue (Cr)'!$C:$FB,122)*100</f>
        <v>2.11</v>
      </c>
      <c r="R103" s="75">
        <f>VLOOKUP($A103,'Data Vlaue (Cr)'!$C:$FB,125)</f>
        <v>0.53</v>
      </c>
      <c r="S103" s="75">
        <f>VLOOKUP($A103,'Data Vlaue (Cr)'!$C:$FB,128)*100</f>
        <v>-32.049999999999997</v>
      </c>
    </row>
    <row r="104" spans="1:19" x14ac:dyDescent="0.25">
      <c r="A104" s="96" t="str">
        <f>'Data Vlaue (Cr)'!C95</f>
        <v>INDIAVIX</v>
      </c>
      <c r="B104" s="75">
        <f>VLOOKUP($A104,'Data Vlaue (Cr)'!$C:$FB,2)</f>
        <v>1</v>
      </c>
      <c r="C104" s="75">
        <f>VLOOKUP($A104,'Data Vlaue (Cr)'!$C:$FB,8)</f>
        <v>10.1</v>
      </c>
      <c r="D104" s="75">
        <f>VLOOKUP($A104,'Data Vlaue (Cr)'!$C:$FB,4)</f>
        <v>10.1</v>
      </c>
      <c r="E104" s="75">
        <f>VLOOKUP($A104,'Data Vlaue (Cr)'!$C:$FB,5)</f>
        <v>10.119999999999999</v>
      </c>
      <c r="F104" s="75">
        <f t="shared" si="6"/>
        <v>0</v>
      </c>
      <c r="G104" s="75">
        <f t="shared" si="7"/>
        <v>-0.19801980198019381</v>
      </c>
      <c r="H104" s="75">
        <f>VLOOKUP($A104,'Data Vlaue (Cr)'!$C:$FB,99)</f>
        <v>0</v>
      </c>
      <c r="I104" s="75">
        <f>VLOOKUP($A104,'Data Vlaue (Cr)'!$C:$FB,100)</f>
        <v>0</v>
      </c>
      <c r="J104" s="75">
        <f t="shared" si="8"/>
        <v>0</v>
      </c>
      <c r="K104" s="75" t="e">
        <f t="shared" si="9"/>
        <v>#DIV/0!</v>
      </c>
      <c r="L104" s="75">
        <f>VLOOKUP($A104,'Data Vlaue (Cr)'!$C:$FB,67)</f>
        <v>0</v>
      </c>
      <c r="M104" s="75">
        <f>VLOOKUP($A104,'Data Vlaue (Cr)'!$C:$FB,68)</f>
        <v>0</v>
      </c>
      <c r="N104" s="75">
        <f t="shared" si="10"/>
        <v>0</v>
      </c>
      <c r="O104" s="75" t="e">
        <f t="shared" si="11"/>
        <v>#DIV/0!</v>
      </c>
      <c r="P104" s="75">
        <f>VLOOKUP($A104,'Data Vlaue (Cr)'!$C:$FB,119)</f>
        <v>0</v>
      </c>
      <c r="Q104" s="75">
        <f>VLOOKUP($A104,'Data Vlaue (Cr)'!$C:$FB,122)*100</f>
        <v>0</v>
      </c>
      <c r="R104" s="75">
        <f>VLOOKUP($A104,'Data Vlaue (Cr)'!$C:$FB,125)</f>
        <v>0</v>
      </c>
      <c r="S104" s="75">
        <f>VLOOKUP($A104,'Data Vlaue (Cr)'!$C:$FB,128)*100</f>
        <v>0</v>
      </c>
    </row>
    <row r="105" spans="1:19" x14ac:dyDescent="0.25">
      <c r="A105" s="96" t="str">
        <f>'Data Vlaue (Cr)'!C96</f>
        <v>INDIGO</v>
      </c>
      <c r="B105" s="75">
        <f>VLOOKUP($A105,'Data Vlaue (Cr)'!$C:$FB,2)</f>
        <v>150</v>
      </c>
      <c r="C105" s="75">
        <f>VLOOKUP($A105,'Data Vlaue (Cr)'!$C:$FB,8)</f>
        <v>5735</v>
      </c>
      <c r="D105" s="75">
        <f>VLOOKUP($A105,'Data Vlaue (Cr)'!$C:$FB,4)</f>
        <v>5764</v>
      </c>
      <c r="E105" s="75">
        <f>VLOOKUP($A105,'Data Vlaue (Cr)'!$C:$FB,5)</f>
        <v>5752.5</v>
      </c>
      <c r="F105" s="75">
        <f t="shared" si="6"/>
        <v>29</v>
      </c>
      <c r="G105" s="75">
        <f t="shared" si="7"/>
        <v>0.19951422623178347</v>
      </c>
      <c r="H105" s="75">
        <f>VLOOKUP($A105,'Data Vlaue (Cr)'!$C:$FB,99)</f>
        <v>6507</v>
      </c>
      <c r="I105" s="75">
        <f>VLOOKUP($A105,'Data Vlaue (Cr)'!$C:$FB,100)</f>
        <v>6517</v>
      </c>
      <c r="J105" s="75">
        <f t="shared" si="8"/>
        <v>-10</v>
      </c>
      <c r="K105" s="75">
        <f t="shared" si="9"/>
        <v>-0.15368065160596281</v>
      </c>
      <c r="L105" s="75">
        <f>VLOOKUP($A105,'Data Vlaue (Cr)'!$C:$FB,67)</f>
        <v>2538</v>
      </c>
      <c r="M105" s="75">
        <f>VLOOKUP($A105,'Data Vlaue (Cr)'!$C:$FB,68)</f>
        <v>3535</v>
      </c>
      <c r="N105" s="75">
        <f t="shared" si="10"/>
        <v>-997</v>
      </c>
      <c r="O105" s="75">
        <f t="shared" si="11"/>
        <v>-39.282899921197796</v>
      </c>
      <c r="P105" s="75">
        <f>VLOOKUP($A105,'Data Vlaue (Cr)'!$C:$FB,119)</f>
        <v>0.72</v>
      </c>
      <c r="Q105" s="75">
        <f>VLOOKUP($A105,'Data Vlaue (Cr)'!$C:$FB,122)*100</f>
        <v>0</v>
      </c>
      <c r="R105" s="75">
        <f>VLOOKUP($A105,'Data Vlaue (Cr)'!$C:$FB,125)</f>
        <v>0.39</v>
      </c>
      <c r="S105" s="75">
        <f>VLOOKUP($A105,'Data Vlaue (Cr)'!$C:$FB,128)*100</f>
        <v>-11.360000000000001</v>
      </c>
    </row>
    <row r="106" spans="1:19" x14ac:dyDescent="0.25">
      <c r="A106" s="96" t="str">
        <f>'Data Vlaue (Cr)'!C97</f>
        <v>INDUSINDBK</v>
      </c>
      <c r="B106" s="75">
        <f>VLOOKUP($A106,'Data Vlaue (Cr)'!$C:$FB,2)</f>
        <v>700</v>
      </c>
      <c r="C106" s="75">
        <f>VLOOKUP($A106,'Data Vlaue (Cr)'!$C:$FB,8)</f>
        <v>763.35</v>
      </c>
      <c r="D106" s="75">
        <f>VLOOKUP($A106,'Data Vlaue (Cr)'!$C:$FB,4)</f>
        <v>767.65</v>
      </c>
      <c r="E106" s="75">
        <f>VLOOKUP($A106,'Data Vlaue (Cr)'!$C:$FB,5)</f>
        <v>753.5</v>
      </c>
      <c r="F106" s="75">
        <f t="shared" si="6"/>
        <v>4.2999999999999545</v>
      </c>
      <c r="G106" s="75">
        <f t="shared" si="7"/>
        <v>1.8432879567511207</v>
      </c>
      <c r="H106" s="75">
        <f>VLOOKUP($A106,'Data Vlaue (Cr)'!$C:$FB,99)</f>
        <v>5883</v>
      </c>
      <c r="I106" s="75">
        <f>VLOOKUP($A106,'Data Vlaue (Cr)'!$C:$FB,100)</f>
        <v>5870</v>
      </c>
      <c r="J106" s="75">
        <f t="shared" si="8"/>
        <v>13</v>
      </c>
      <c r="K106" s="75">
        <f t="shared" si="9"/>
        <v>0.2209756926738059</v>
      </c>
      <c r="L106" s="75">
        <f>VLOOKUP($A106,'Data Vlaue (Cr)'!$C:$FB,67)</f>
        <v>3469</v>
      </c>
      <c r="M106" s="75">
        <f>VLOOKUP($A106,'Data Vlaue (Cr)'!$C:$FB,68)</f>
        <v>1886</v>
      </c>
      <c r="N106" s="75">
        <f t="shared" si="10"/>
        <v>1583</v>
      </c>
      <c r="O106" s="75">
        <f t="shared" si="11"/>
        <v>45.63274718939175</v>
      </c>
      <c r="P106" s="75">
        <f>VLOOKUP($A106,'Data Vlaue (Cr)'!$C:$FB,119)</f>
        <v>1.02</v>
      </c>
      <c r="Q106" s="75">
        <f>VLOOKUP($A106,'Data Vlaue (Cr)'!$C:$FB,122)*100</f>
        <v>-0.97</v>
      </c>
      <c r="R106" s="75">
        <f>VLOOKUP($A106,'Data Vlaue (Cr)'!$C:$FB,125)</f>
        <v>0.43</v>
      </c>
      <c r="S106" s="75">
        <f>VLOOKUP($A106,'Data Vlaue (Cr)'!$C:$FB,128)*100</f>
        <v>-25.86</v>
      </c>
    </row>
    <row r="107" spans="1:19" x14ac:dyDescent="0.25">
      <c r="A107" s="96" t="str">
        <f>'Data Vlaue (Cr)'!C98</f>
        <v>INDUSTOWER</v>
      </c>
      <c r="B107" s="75">
        <f>VLOOKUP($A107,'Data Vlaue (Cr)'!$C:$FB,2)</f>
        <v>1700</v>
      </c>
      <c r="C107" s="75">
        <f>VLOOKUP($A107,'Data Vlaue (Cr)'!$C:$FB,8)</f>
        <v>353.7</v>
      </c>
      <c r="D107" s="75">
        <f>VLOOKUP($A107,'Data Vlaue (Cr)'!$C:$FB,4)</f>
        <v>355.65</v>
      </c>
      <c r="E107" s="75">
        <f>VLOOKUP($A107,'Data Vlaue (Cr)'!$C:$FB,5)</f>
        <v>357.2</v>
      </c>
      <c r="F107" s="75">
        <f t="shared" si="6"/>
        <v>1.9499999999999886</v>
      </c>
      <c r="G107" s="75">
        <f t="shared" si="7"/>
        <v>-0.4358217348516833</v>
      </c>
      <c r="H107" s="75">
        <f>VLOOKUP($A107,'Data Vlaue (Cr)'!$C:$FB,99)</f>
        <v>4455</v>
      </c>
      <c r="I107" s="75">
        <f>VLOOKUP($A107,'Data Vlaue (Cr)'!$C:$FB,100)</f>
        <v>4249</v>
      </c>
      <c r="J107" s="75">
        <f t="shared" si="8"/>
        <v>206</v>
      </c>
      <c r="K107" s="75">
        <f t="shared" si="9"/>
        <v>4.624017957351291</v>
      </c>
      <c r="L107" s="75">
        <f>VLOOKUP($A107,'Data Vlaue (Cr)'!$C:$FB,67)</f>
        <v>1388</v>
      </c>
      <c r="M107" s="75">
        <f>VLOOKUP($A107,'Data Vlaue (Cr)'!$C:$FB,68)</f>
        <v>1006</v>
      </c>
      <c r="N107" s="75">
        <f t="shared" si="10"/>
        <v>382</v>
      </c>
      <c r="O107" s="75">
        <f t="shared" si="11"/>
        <v>27.521613832853024</v>
      </c>
      <c r="P107" s="75">
        <f>VLOOKUP($A107,'Data Vlaue (Cr)'!$C:$FB,119)</f>
        <v>0.57999999999999996</v>
      </c>
      <c r="Q107" s="75">
        <f>VLOOKUP($A107,'Data Vlaue (Cr)'!$C:$FB,122)*100</f>
        <v>-15.939999999999998</v>
      </c>
      <c r="R107" s="75">
        <f>VLOOKUP($A107,'Data Vlaue (Cr)'!$C:$FB,125)</f>
        <v>0.37</v>
      </c>
      <c r="S107" s="75">
        <f>VLOOKUP($A107,'Data Vlaue (Cr)'!$C:$FB,128)*100</f>
        <v>-41.27</v>
      </c>
    </row>
    <row r="108" spans="1:19" x14ac:dyDescent="0.25">
      <c r="A108" s="96" t="str">
        <f>'Data Vlaue (Cr)'!C99</f>
        <v>INFY</v>
      </c>
      <c r="B108" s="75">
        <f>VLOOKUP($A108,'Data Vlaue (Cr)'!$C:$FB,2)</f>
        <v>400</v>
      </c>
      <c r="C108" s="75">
        <f>VLOOKUP($A108,'Data Vlaue (Cr)'!$C:$FB,8)</f>
        <v>1514.9</v>
      </c>
      <c r="D108" s="75">
        <f>VLOOKUP($A108,'Data Vlaue (Cr)'!$C:$FB,4)</f>
        <v>1508.2</v>
      </c>
      <c r="E108" s="75">
        <f>VLOOKUP($A108,'Data Vlaue (Cr)'!$C:$FB,5)</f>
        <v>1506.6</v>
      </c>
      <c r="F108" s="75">
        <f t="shared" si="6"/>
        <v>-6.7000000000000455</v>
      </c>
      <c r="G108" s="75">
        <f t="shared" si="7"/>
        <v>0.106086725898431</v>
      </c>
      <c r="H108" s="75">
        <f>VLOOKUP($A108,'Data Vlaue (Cr)'!$C:$FB,99)</f>
        <v>14260</v>
      </c>
      <c r="I108" s="75">
        <f>VLOOKUP($A108,'Data Vlaue (Cr)'!$C:$FB,100)</f>
        <v>14542</v>
      </c>
      <c r="J108" s="75">
        <f t="shared" si="8"/>
        <v>-282</v>
      </c>
      <c r="K108" s="75">
        <f t="shared" si="9"/>
        <v>-1.9775596072931274</v>
      </c>
      <c r="L108" s="75">
        <f>VLOOKUP($A108,'Data Vlaue (Cr)'!$C:$FB,67)</f>
        <v>8356</v>
      </c>
      <c r="M108" s="75">
        <f>VLOOKUP($A108,'Data Vlaue (Cr)'!$C:$FB,68)</f>
        <v>11760</v>
      </c>
      <c r="N108" s="75">
        <f t="shared" si="10"/>
        <v>-3404</v>
      </c>
      <c r="O108" s="75">
        <f t="shared" si="11"/>
        <v>-40.737194830062229</v>
      </c>
      <c r="P108" s="75">
        <f>VLOOKUP($A108,'Data Vlaue (Cr)'!$C:$FB,119)</f>
        <v>0.85</v>
      </c>
      <c r="Q108" s="75">
        <f>VLOOKUP($A108,'Data Vlaue (Cr)'!$C:$FB,122)*100</f>
        <v>-2.2999999999999998</v>
      </c>
      <c r="R108" s="75">
        <f>VLOOKUP($A108,'Data Vlaue (Cr)'!$C:$FB,125)</f>
        <v>0.66</v>
      </c>
      <c r="S108" s="75">
        <f>VLOOKUP($A108,'Data Vlaue (Cr)'!$C:$FB,128)*100</f>
        <v>10</v>
      </c>
    </row>
    <row r="109" spans="1:19" x14ac:dyDescent="0.25">
      <c r="A109" s="96" t="str">
        <f>'Data Vlaue (Cr)'!C100</f>
        <v>INOXWIND</v>
      </c>
      <c r="B109" s="75">
        <f>VLOOKUP($A109,'Data Vlaue (Cr)'!$C:$FB,2)</f>
        <v>3272</v>
      </c>
      <c r="C109" s="75">
        <f>VLOOKUP($A109,'Data Vlaue (Cr)'!$C:$FB,8)</f>
        <v>150.08000000000001</v>
      </c>
      <c r="D109" s="75">
        <f>VLOOKUP($A109,'Data Vlaue (Cr)'!$C:$FB,4)</f>
        <v>150.93</v>
      </c>
      <c r="E109" s="75">
        <f>VLOOKUP($A109,'Data Vlaue (Cr)'!$C:$FB,5)</f>
        <v>147.86000000000001</v>
      </c>
      <c r="F109" s="75">
        <f t="shared" si="6"/>
        <v>0.84999999999999432</v>
      </c>
      <c r="G109" s="75">
        <f t="shared" si="7"/>
        <v>2.0340555224276109</v>
      </c>
      <c r="H109" s="75">
        <f>VLOOKUP($A109,'Data Vlaue (Cr)'!$C:$FB,99)</f>
        <v>1065</v>
      </c>
      <c r="I109" s="75">
        <f>VLOOKUP($A109,'Data Vlaue (Cr)'!$C:$FB,100)</f>
        <v>1056</v>
      </c>
      <c r="J109" s="75">
        <f t="shared" si="8"/>
        <v>9</v>
      </c>
      <c r="K109" s="75">
        <f t="shared" si="9"/>
        <v>0.84507042253521114</v>
      </c>
      <c r="L109" s="75">
        <f>VLOOKUP($A109,'Data Vlaue (Cr)'!$C:$FB,67)</f>
        <v>1223</v>
      </c>
      <c r="M109" s="75">
        <f>VLOOKUP($A109,'Data Vlaue (Cr)'!$C:$FB,68)</f>
        <v>971</v>
      </c>
      <c r="N109" s="75">
        <f t="shared" si="10"/>
        <v>252</v>
      </c>
      <c r="O109" s="75">
        <f t="shared" si="11"/>
        <v>20.605069501226492</v>
      </c>
      <c r="P109" s="75">
        <f>VLOOKUP($A109,'Data Vlaue (Cr)'!$C:$FB,119)</f>
        <v>0.59</v>
      </c>
      <c r="Q109" s="75">
        <f>VLOOKUP($A109,'Data Vlaue (Cr)'!$C:$FB,122)*100</f>
        <v>0</v>
      </c>
      <c r="R109" s="75">
        <f>VLOOKUP($A109,'Data Vlaue (Cr)'!$C:$FB,125)</f>
        <v>0.32</v>
      </c>
      <c r="S109" s="75">
        <f>VLOOKUP($A109,'Data Vlaue (Cr)'!$C:$FB,128)*100</f>
        <v>-8.57</v>
      </c>
    </row>
    <row r="110" spans="1:19" x14ac:dyDescent="0.25">
      <c r="A110" s="96" t="str">
        <f>'Data Vlaue (Cr)'!C101</f>
        <v>IOC</v>
      </c>
      <c r="B110" s="75">
        <f>VLOOKUP($A110,'Data Vlaue (Cr)'!$C:$FB,2)</f>
        <v>4875</v>
      </c>
      <c r="C110" s="75">
        <f>VLOOKUP($A110,'Data Vlaue (Cr)'!$C:$FB,8)</f>
        <v>154.11000000000001</v>
      </c>
      <c r="D110" s="75">
        <f>VLOOKUP($A110,'Data Vlaue (Cr)'!$C:$FB,4)</f>
        <v>154.69999999999999</v>
      </c>
      <c r="E110" s="75">
        <f>VLOOKUP($A110,'Data Vlaue (Cr)'!$C:$FB,5)</f>
        <v>156.09</v>
      </c>
      <c r="F110" s="75">
        <f t="shared" si="6"/>
        <v>0.58999999999997499</v>
      </c>
      <c r="G110" s="75">
        <f t="shared" si="7"/>
        <v>-0.89851325145443761</v>
      </c>
      <c r="H110" s="75">
        <f>VLOOKUP($A110,'Data Vlaue (Cr)'!$C:$FB,99)</f>
        <v>2590</v>
      </c>
      <c r="I110" s="75">
        <f>VLOOKUP($A110,'Data Vlaue (Cr)'!$C:$FB,100)</f>
        <v>2528</v>
      </c>
      <c r="J110" s="75">
        <f t="shared" si="8"/>
        <v>62</v>
      </c>
      <c r="K110" s="75">
        <f t="shared" si="9"/>
        <v>2.3938223938223939</v>
      </c>
      <c r="L110" s="75">
        <f>VLOOKUP($A110,'Data Vlaue (Cr)'!$C:$FB,67)</f>
        <v>1605</v>
      </c>
      <c r="M110" s="75">
        <f>VLOOKUP($A110,'Data Vlaue (Cr)'!$C:$FB,68)</f>
        <v>2477</v>
      </c>
      <c r="N110" s="75">
        <f t="shared" si="10"/>
        <v>-872</v>
      </c>
      <c r="O110" s="75">
        <f t="shared" si="11"/>
        <v>-54.330218068535828</v>
      </c>
      <c r="P110" s="75">
        <f>VLOOKUP($A110,'Data Vlaue (Cr)'!$C:$FB,119)</f>
        <v>0.71</v>
      </c>
      <c r="Q110" s="75">
        <f>VLOOKUP($A110,'Data Vlaue (Cr)'!$C:$FB,122)*100</f>
        <v>-4.05</v>
      </c>
      <c r="R110" s="75">
        <f>VLOOKUP($A110,'Data Vlaue (Cr)'!$C:$FB,125)</f>
        <v>0.56999999999999995</v>
      </c>
      <c r="S110" s="75">
        <f>VLOOKUP($A110,'Data Vlaue (Cr)'!$C:$FB,128)*100</f>
        <v>1.79</v>
      </c>
    </row>
    <row r="111" spans="1:19" x14ac:dyDescent="0.25">
      <c r="A111" s="96" t="str">
        <f>'Data Vlaue (Cr)'!C102</f>
        <v>IRCTC</v>
      </c>
      <c r="B111" s="75">
        <f>VLOOKUP($A111,'Data Vlaue (Cr)'!$C:$FB,2)</f>
        <v>875</v>
      </c>
      <c r="C111" s="75">
        <f>VLOOKUP($A111,'Data Vlaue (Cr)'!$C:$FB,8)</f>
        <v>715.7</v>
      </c>
      <c r="D111" s="75">
        <f>VLOOKUP($A111,'Data Vlaue (Cr)'!$C:$FB,4)</f>
        <v>717.15</v>
      </c>
      <c r="E111" s="75">
        <f>VLOOKUP($A111,'Data Vlaue (Cr)'!$C:$FB,5)</f>
        <v>713.7</v>
      </c>
      <c r="F111" s="75">
        <f t="shared" si="6"/>
        <v>1.4499999999999318</v>
      </c>
      <c r="G111" s="75">
        <f t="shared" si="7"/>
        <v>0.48107090566826072</v>
      </c>
      <c r="H111" s="75">
        <f>VLOOKUP($A111,'Data Vlaue (Cr)'!$C:$FB,99)</f>
        <v>2045</v>
      </c>
      <c r="I111" s="75">
        <f>VLOOKUP($A111,'Data Vlaue (Cr)'!$C:$FB,100)</f>
        <v>2064</v>
      </c>
      <c r="J111" s="75">
        <f t="shared" si="8"/>
        <v>-19</v>
      </c>
      <c r="K111" s="75">
        <f t="shared" si="9"/>
        <v>-0.92909535452322733</v>
      </c>
      <c r="L111" s="75">
        <f>VLOOKUP($A111,'Data Vlaue (Cr)'!$C:$FB,67)</f>
        <v>568</v>
      </c>
      <c r="M111" s="75">
        <f>VLOOKUP($A111,'Data Vlaue (Cr)'!$C:$FB,68)</f>
        <v>582</v>
      </c>
      <c r="N111" s="75">
        <f t="shared" si="10"/>
        <v>-14</v>
      </c>
      <c r="O111" s="75">
        <f t="shared" si="11"/>
        <v>-2.464788732394366</v>
      </c>
      <c r="P111" s="75">
        <f>VLOOKUP($A111,'Data Vlaue (Cr)'!$C:$FB,119)</f>
        <v>0.56999999999999995</v>
      </c>
      <c r="Q111" s="75">
        <f>VLOOKUP($A111,'Data Vlaue (Cr)'!$C:$FB,122)*100</f>
        <v>1.79</v>
      </c>
      <c r="R111" s="75">
        <f>VLOOKUP($A111,'Data Vlaue (Cr)'!$C:$FB,125)</f>
        <v>0.37</v>
      </c>
      <c r="S111" s="75">
        <f>VLOOKUP($A111,'Data Vlaue (Cr)'!$C:$FB,128)*100</f>
        <v>19.350000000000001</v>
      </c>
    </row>
    <row r="112" spans="1:19" x14ac:dyDescent="0.25">
      <c r="A112" s="96" t="str">
        <f>'Data Vlaue (Cr)'!C103</f>
        <v>IREDA</v>
      </c>
      <c r="B112" s="75">
        <f>VLOOKUP($A112,'Data Vlaue (Cr)'!$C:$FB,2)</f>
        <v>3450</v>
      </c>
      <c r="C112" s="75">
        <f>VLOOKUP($A112,'Data Vlaue (Cr)'!$C:$FB,8)</f>
        <v>150.96</v>
      </c>
      <c r="D112" s="75">
        <f>VLOOKUP($A112,'Data Vlaue (Cr)'!$C:$FB,4)</f>
        <v>151.61000000000001</v>
      </c>
      <c r="E112" s="75">
        <f>VLOOKUP($A112,'Data Vlaue (Cr)'!$C:$FB,5)</f>
        <v>149.58000000000001</v>
      </c>
      <c r="F112" s="75">
        <f t="shared" si="6"/>
        <v>0.65000000000000568</v>
      </c>
      <c r="G112" s="75">
        <f t="shared" si="7"/>
        <v>1.3389618099069989</v>
      </c>
      <c r="H112" s="75">
        <f>VLOOKUP($A112,'Data Vlaue (Cr)'!$C:$FB,99)</f>
        <v>1319</v>
      </c>
      <c r="I112" s="75">
        <f>VLOOKUP($A112,'Data Vlaue (Cr)'!$C:$FB,100)</f>
        <v>1341</v>
      </c>
      <c r="J112" s="75">
        <f t="shared" si="8"/>
        <v>-22</v>
      </c>
      <c r="K112" s="75">
        <f t="shared" si="9"/>
        <v>-1.6679302501895377</v>
      </c>
      <c r="L112" s="75">
        <f>VLOOKUP($A112,'Data Vlaue (Cr)'!$C:$FB,67)</f>
        <v>557</v>
      </c>
      <c r="M112" s="75">
        <f>VLOOKUP($A112,'Data Vlaue (Cr)'!$C:$FB,68)</f>
        <v>572</v>
      </c>
      <c r="N112" s="75">
        <f t="shared" si="10"/>
        <v>-15</v>
      </c>
      <c r="O112" s="75">
        <f t="shared" si="11"/>
        <v>-2.6929982046678633</v>
      </c>
      <c r="P112" s="75">
        <f>VLOOKUP($A112,'Data Vlaue (Cr)'!$C:$FB,119)</f>
        <v>0.46</v>
      </c>
      <c r="Q112" s="75">
        <f>VLOOKUP($A112,'Data Vlaue (Cr)'!$C:$FB,122)*100</f>
        <v>2.2200000000000002</v>
      </c>
      <c r="R112" s="75">
        <f>VLOOKUP($A112,'Data Vlaue (Cr)'!$C:$FB,125)</f>
        <v>0.47</v>
      </c>
      <c r="S112" s="75">
        <f>VLOOKUP($A112,'Data Vlaue (Cr)'!$C:$FB,128)*100</f>
        <v>20.51</v>
      </c>
    </row>
    <row r="113" spans="1:19" x14ac:dyDescent="0.25">
      <c r="A113" s="96" t="str">
        <f>'Data Vlaue (Cr)'!C104</f>
        <v>IRFC</v>
      </c>
      <c r="B113" s="75">
        <f>VLOOKUP($A113,'Data Vlaue (Cr)'!$C:$FB,2)</f>
        <v>4250</v>
      </c>
      <c r="C113" s="75">
        <f>VLOOKUP($A113,'Data Vlaue (Cr)'!$C:$FB,8)</f>
        <v>126.5</v>
      </c>
      <c r="D113" s="75">
        <f>VLOOKUP($A113,'Data Vlaue (Cr)'!$C:$FB,4)</f>
        <v>126.39</v>
      </c>
      <c r="E113" s="75">
        <f>VLOOKUP($A113,'Data Vlaue (Cr)'!$C:$FB,5)</f>
        <v>124.98</v>
      </c>
      <c r="F113" s="75">
        <f t="shared" si="6"/>
        <v>-0.10999999999999943</v>
      </c>
      <c r="G113" s="75">
        <f t="shared" si="7"/>
        <v>1.115594588179442</v>
      </c>
      <c r="H113" s="75">
        <f>VLOOKUP($A113,'Data Vlaue (Cr)'!$C:$FB,99)</f>
        <v>1082</v>
      </c>
      <c r="I113" s="75">
        <f>VLOOKUP($A113,'Data Vlaue (Cr)'!$C:$FB,100)</f>
        <v>1072</v>
      </c>
      <c r="J113" s="75">
        <f t="shared" si="8"/>
        <v>10</v>
      </c>
      <c r="K113" s="75">
        <f t="shared" si="9"/>
        <v>0.92421441774491686</v>
      </c>
      <c r="L113" s="75">
        <f>VLOOKUP($A113,'Data Vlaue (Cr)'!$C:$FB,67)</f>
        <v>481</v>
      </c>
      <c r="M113" s="75">
        <f>VLOOKUP($A113,'Data Vlaue (Cr)'!$C:$FB,68)</f>
        <v>248</v>
      </c>
      <c r="N113" s="75">
        <f t="shared" si="10"/>
        <v>233</v>
      </c>
      <c r="O113" s="75">
        <f t="shared" si="11"/>
        <v>48.440748440748443</v>
      </c>
      <c r="P113" s="75">
        <f>VLOOKUP($A113,'Data Vlaue (Cr)'!$C:$FB,119)</f>
        <v>0.57999999999999996</v>
      </c>
      <c r="Q113" s="75">
        <f>VLOOKUP($A113,'Data Vlaue (Cr)'!$C:$FB,122)*100</f>
        <v>13.73</v>
      </c>
      <c r="R113" s="75">
        <f>VLOOKUP($A113,'Data Vlaue (Cr)'!$C:$FB,125)</f>
        <v>0.39</v>
      </c>
      <c r="S113" s="75">
        <f>VLOOKUP($A113,'Data Vlaue (Cr)'!$C:$FB,128)*100</f>
        <v>-4.88</v>
      </c>
    </row>
    <row r="114" spans="1:19" x14ac:dyDescent="0.25">
      <c r="A114" s="96" t="str">
        <f>'Data Vlaue (Cr)'!C105</f>
        <v>ITC</v>
      </c>
      <c r="B114" s="75">
        <f>VLOOKUP($A114,'Data Vlaue (Cr)'!$C:$FB,2)</f>
        <v>1600</v>
      </c>
      <c r="C114" s="75">
        <f>VLOOKUP($A114,'Data Vlaue (Cr)'!$C:$FB,8)</f>
        <v>402.8</v>
      </c>
      <c r="D114" s="75">
        <f>VLOOKUP($A114,'Data Vlaue (Cr)'!$C:$FB,4)</f>
        <v>405</v>
      </c>
      <c r="E114" s="75">
        <f>VLOOKUP($A114,'Data Vlaue (Cr)'!$C:$FB,5)</f>
        <v>402.2</v>
      </c>
      <c r="F114" s="75">
        <f t="shared" si="6"/>
        <v>2.1999999999999886</v>
      </c>
      <c r="G114" s="75">
        <f t="shared" si="7"/>
        <v>0.69135802469136087</v>
      </c>
      <c r="H114" s="75">
        <f>VLOOKUP($A114,'Data Vlaue (Cr)'!$C:$FB,99)</f>
        <v>8314</v>
      </c>
      <c r="I114" s="75">
        <f>VLOOKUP($A114,'Data Vlaue (Cr)'!$C:$FB,100)</f>
        <v>8232</v>
      </c>
      <c r="J114" s="75">
        <f t="shared" si="8"/>
        <v>82</v>
      </c>
      <c r="K114" s="75">
        <f t="shared" si="9"/>
        <v>0.9862881885975463</v>
      </c>
      <c r="L114" s="75">
        <f>VLOOKUP($A114,'Data Vlaue (Cr)'!$C:$FB,67)</f>
        <v>4150</v>
      </c>
      <c r="M114" s="75">
        <f>VLOOKUP($A114,'Data Vlaue (Cr)'!$C:$FB,68)</f>
        <v>2501</v>
      </c>
      <c r="N114" s="75">
        <f t="shared" si="10"/>
        <v>1649</v>
      </c>
      <c r="O114" s="75">
        <f t="shared" si="11"/>
        <v>39.734939759036145</v>
      </c>
      <c r="P114" s="75">
        <f>VLOOKUP($A114,'Data Vlaue (Cr)'!$C:$FB,119)</f>
        <v>0.67</v>
      </c>
      <c r="Q114" s="75">
        <f>VLOOKUP($A114,'Data Vlaue (Cr)'!$C:$FB,122)*100</f>
        <v>1.52</v>
      </c>
      <c r="R114" s="75">
        <f>VLOOKUP($A114,'Data Vlaue (Cr)'!$C:$FB,125)</f>
        <v>0.57999999999999996</v>
      </c>
      <c r="S114" s="75">
        <f>VLOOKUP($A114,'Data Vlaue (Cr)'!$C:$FB,128)*100</f>
        <v>0</v>
      </c>
    </row>
    <row r="115" spans="1:19" x14ac:dyDescent="0.25">
      <c r="A115" s="96" t="str">
        <f>'Data Vlaue (Cr)'!C106</f>
        <v>JINDALSTEL</v>
      </c>
      <c r="B115" s="75">
        <f>VLOOKUP($A115,'Data Vlaue (Cr)'!$C:$FB,2)</f>
        <v>625</v>
      </c>
      <c r="C115" s="75">
        <f>VLOOKUP($A115,'Data Vlaue (Cr)'!$C:$FB,8)</f>
        <v>1015.2</v>
      </c>
      <c r="D115" s="75">
        <f>VLOOKUP($A115,'Data Vlaue (Cr)'!$C:$FB,4)</f>
        <v>1020.2</v>
      </c>
      <c r="E115" s="75">
        <f>VLOOKUP($A115,'Data Vlaue (Cr)'!$C:$FB,5)</f>
        <v>1042.5</v>
      </c>
      <c r="F115" s="75">
        <f t="shared" si="6"/>
        <v>5</v>
      </c>
      <c r="G115" s="75">
        <f t="shared" si="7"/>
        <v>-2.1858459125661591</v>
      </c>
      <c r="H115" s="75">
        <f>VLOOKUP($A115,'Data Vlaue (Cr)'!$C:$FB,99)</f>
        <v>2635</v>
      </c>
      <c r="I115" s="75">
        <f>VLOOKUP($A115,'Data Vlaue (Cr)'!$C:$FB,100)</f>
        <v>2468</v>
      </c>
      <c r="J115" s="75">
        <f t="shared" si="8"/>
        <v>167</v>
      </c>
      <c r="K115" s="75">
        <f t="shared" si="9"/>
        <v>6.3377609108159403</v>
      </c>
      <c r="L115" s="75">
        <f>VLOOKUP($A115,'Data Vlaue (Cr)'!$C:$FB,67)</f>
        <v>1571</v>
      </c>
      <c r="M115" s="75">
        <f>VLOOKUP($A115,'Data Vlaue (Cr)'!$C:$FB,68)</f>
        <v>1600</v>
      </c>
      <c r="N115" s="75">
        <f t="shared" si="10"/>
        <v>-29</v>
      </c>
      <c r="O115" s="75">
        <f t="shared" si="11"/>
        <v>-1.8459579885423298</v>
      </c>
      <c r="P115" s="75">
        <f>VLOOKUP($A115,'Data Vlaue (Cr)'!$C:$FB,119)</f>
        <v>0.52</v>
      </c>
      <c r="Q115" s="75">
        <f>VLOOKUP($A115,'Data Vlaue (Cr)'!$C:$FB,122)*100</f>
        <v>-11.86</v>
      </c>
      <c r="R115" s="75">
        <f>VLOOKUP($A115,'Data Vlaue (Cr)'!$C:$FB,125)</f>
        <v>0.35</v>
      </c>
      <c r="S115" s="75">
        <f>VLOOKUP($A115,'Data Vlaue (Cr)'!$C:$FB,128)*100</f>
        <v>0</v>
      </c>
    </row>
    <row r="116" spans="1:19" x14ac:dyDescent="0.25">
      <c r="A116" s="96" t="str">
        <f>'Data Vlaue (Cr)'!C107</f>
        <v>JIOFIN</v>
      </c>
      <c r="B116" s="75">
        <f>VLOOKUP($A116,'Data Vlaue (Cr)'!$C:$FB,2)</f>
        <v>2350</v>
      </c>
      <c r="C116" s="75">
        <f>VLOOKUP($A116,'Data Vlaue (Cr)'!$C:$FB,8)</f>
        <v>308.14999999999998</v>
      </c>
      <c r="D116" s="75">
        <f>VLOOKUP($A116,'Data Vlaue (Cr)'!$C:$FB,4)</f>
        <v>309.89999999999998</v>
      </c>
      <c r="E116" s="75">
        <f>VLOOKUP($A116,'Data Vlaue (Cr)'!$C:$FB,5)</f>
        <v>308.95</v>
      </c>
      <c r="F116" s="75">
        <f t="shared" si="6"/>
        <v>1.75</v>
      </c>
      <c r="G116" s="75">
        <f t="shared" si="7"/>
        <v>0.30655050016133872</v>
      </c>
      <c r="H116" s="75">
        <f>VLOOKUP($A116,'Data Vlaue (Cr)'!$C:$FB,99)</f>
        <v>7091</v>
      </c>
      <c r="I116" s="75">
        <f>VLOOKUP($A116,'Data Vlaue (Cr)'!$C:$FB,100)</f>
        <v>6997</v>
      </c>
      <c r="J116" s="75">
        <f t="shared" si="8"/>
        <v>94</v>
      </c>
      <c r="K116" s="75">
        <f t="shared" si="9"/>
        <v>1.325624030461148</v>
      </c>
      <c r="L116" s="75">
        <f>VLOOKUP($A116,'Data Vlaue (Cr)'!$C:$FB,67)</f>
        <v>2058</v>
      </c>
      <c r="M116" s="75">
        <f>VLOOKUP($A116,'Data Vlaue (Cr)'!$C:$FB,68)</f>
        <v>2256</v>
      </c>
      <c r="N116" s="75">
        <f t="shared" si="10"/>
        <v>-198</v>
      </c>
      <c r="O116" s="75">
        <f t="shared" si="11"/>
        <v>-9.6209912536443145</v>
      </c>
      <c r="P116" s="75">
        <f>VLOOKUP($A116,'Data Vlaue (Cr)'!$C:$FB,119)</f>
        <v>0.71</v>
      </c>
      <c r="Q116" s="75">
        <f>VLOOKUP($A116,'Data Vlaue (Cr)'!$C:$FB,122)*100</f>
        <v>1.43</v>
      </c>
      <c r="R116" s="75">
        <f>VLOOKUP($A116,'Data Vlaue (Cr)'!$C:$FB,125)</f>
        <v>0.51</v>
      </c>
      <c r="S116" s="75">
        <f>VLOOKUP($A116,'Data Vlaue (Cr)'!$C:$FB,128)*100</f>
        <v>0</v>
      </c>
    </row>
    <row r="117" spans="1:19" x14ac:dyDescent="0.25">
      <c r="A117" s="96" t="str">
        <f>'Data Vlaue (Cr)'!C108</f>
        <v>JSWENERGY</v>
      </c>
      <c r="B117" s="75">
        <f>VLOOKUP($A117,'Data Vlaue (Cr)'!$C:$FB,2)</f>
        <v>1000</v>
      </c>
      <c r="C117" s="75">
        <f>VLOOKUP($A117,'Data Vlaue (Cr)'!$C:$FB,8)</f>
        <v>546</v>
      </c>
      <c r="D117" s="75">
        <f>VLOOKUP($A117,'Data Vlaue (Cr)'!$C:$FB,4)</f>
        <v>548.75</v>
      </c>
      <c r="E117" s="75">
        <f>VLOOKUP($A117,'Data Vlaue (Cr)'!$C:$FB,5)</f>
        <v>545.20000000000005</v>
      </c>
      <c r="F117" s="75">
        <f t="shared" si="6"/>
        <v>2.75</v>
      </c>
      <c r="G117" s="75">
        <f t="shared" si="7"/>
        <v>0.64692482915716709</v>
      </c>
      <c r="H117" s="75">
        <f>VLOOKUP($A117,'Data Vlaue (Cr)'!$C:$FB,99)</f>
        <v>2747</v>
      </c>
      <c r="I117" s="75">
        <f>VLOOKUP($A117,'Data Vlaue (Cr)'!$C:$FB,100)</f>
        <v>2778</v>
      </c>
      <c r="J117" s="75">
        <f t="shared" si="8"/>
        <v>-31</v>
      </c>
      <c r="K117" s="75">
        <f t="shared" si="9"/>
        <v>-1.1285038223516564</v>
      </c>
      <c r="L117" s="75">
        <f>VLOOKUP($A117,'Data Vlaue (Cr)'!$C:$FB,67)</f>
        <v>528</v>
      </c>
      <c r="M117" s="75">
        <f>VLOOKUP($A117,'Data Vlaue (Cr)'!$C:$FB,68)</f>
        <v>921</v>
      </c>
      <c r="N117" s="75">
        <f t="shared" si="10"/>
        <v>-393</v>
      </c>
      <c r="O117" s="75">
        <f t="shared" si="11"/>
        <v>-74.431818181818173</v>
      </c>
      <c r="P117" s="75">
        <f>VLOOKUP($A117,'Data Vlaue (Cr)'!$C:$FB,119)</f>
        <v>0.49</v>
      </c>
      <c r="Q117" s="75">
        <f>VLOOKUP($A117,'Data Vlaue (Cr)'!$C:$FB,122)*100</f>
        <v>-2</v>
      </c>
      <c r="R117" s="75">
        <f>VLOOKUP($A117,'Data Vlaue (Cr)'!$C:$FB,125)</f>
        <v>0.25</v>
      </c>
      <c r="S117" s="75">
        <f>VLOOKUP($A117,'Data Vlaue (Cr)'!$C:$FB,128)*100</f>
        <v>-16.669999999999998</v>
      </c>
    </row>
    <row r="118" spans="1:19" x14ac:dyDescent="0.25">
      <c r="A118" s="96" t="str">
        <f>'Data Vlaue (Cr)'!C109</f>
        <v>JSWSTEEL</v>
      </c>
      <c r="B118" s="75">
        <f>VLOOKUP($A118,'Data Vlaue (Cr)'!$C:$FB,2)</f>
        <v>675</v>
      </c>
      <c r="C118" s="75">
        <f>VLOOKUP($A118,'Data Vlaue (Cr)'!$C:$FB,8)</f>
        <v>1167.8</v>
      </c>
      <c r="D118" s="75">
        <f>VLOOKUP($A118,'Data Vlaue (Cr)'!$C:$FB,4)</f>
        <v>1171.4000000000001</v>
      </c>
      <c r="E118" s="75">
        <f>VLOOKUP($A118,'Data Vlaue (Cr)'!$C:$FB,5)</f>
        <v>1179.5999999999999</v>
      </c>
      <c r="F118" s="75">
        <f t="shared" si="6"/>
        <v>3.6000000000001364</v>
      </c>
      <c r="G118" s="75">
        <f t="shared" si="7"/>
        <v>-0.70001707358714504</v>
      </c>
      <c r="H118" s="75">
        <f>VLOOKUP($A118,'Data Vlaue (Cr)'!$C:$FB,99)</f>
        <v>6431</v>
      </c>
      <c r="I118" s="75">
        <f>VLOOKUP($A118,'Data Vlaue (Cr)'!$C:$FB,100)</f>
        <v>6456</v>
      </c>
      <c r="J118" s="75">
        <f t="shared" si="8"/>
        <v>-25</v>
      </c>
      <c r="K118" s="75">
        <f t="shared" si="9"/>
        <v>-0.38874203078836883</v>
      </c>
      <c r="L118" s="75">
        <f>VLOOKUP($A118,'Data Vlaue (Cr)'!$C:$FB,67)</f>
        <v>1724</v>
      </c>
      <c r="M118" s="75">
        <f>VLOOKUP($A118,'Data Vlaue (Cr)'!$C:$FB,68)</f>
        <v>3007</v>
      </c>
      <c r="N118" s="75">
        <f t="shared" si="10"/>
        <v>-1283</v>
      </c>
      <c r="O118" s="75">
        <f t="shared" si="11"/>
        <v>-74.419953596287698</v>
      </c>
      <c r="P118" s="75">
        <f>VLOOKUP($A118,'Data Vlaue (Cr)'!$C:$FB,119)</f>
        <v>0.65</v>
      </c>
      <c r="Q118" s="75">
        <f>VLOOKUP($A118,'Data Vlaue (Cr)'!$C:$FB,122)*100</f>
        <v>-8.4500000000000011</v>
      </c>
      <c r="R118" s="75">
        <f>VLOOKUP($A118,'Data Vlaue (Cr)'!$C:$FB,125)</f>
        <v>0.62</v>
      </c>
      <c r="S118" s="75">
        <f>VLOOKUP($A118,'Data Vlaue (Cr)'!$C:$FB,128)*100</f>
        <v>44.190000000000005</v>
      </c>
    </row>
    <row r="119" spans="1:19" x14ac:dyDescent="0.25">
      <c r="A119" s="96" t="str">
        <f>'Data Vlaue (Cr)'!C110</f>
        <v>JUBLFOOD</v>
      </c>
      <c r="B119" s="75">
        <f>VLOOKUP($A119,'Data Vlaue (Cr)'!$C:$FB,2)</f>
        <v>1250</v>
      </c>
      <c r="C119" s="75">
        <f>VLOOKUP($A119,'Data Vlaue (Cr)'!$C:$FB,8)</f>
        <v>602.29999999999995</v>
      </c>
      <c r="D119" s="75">
        <f>VLOOKUP($A119,'Data Vlaue (Cr)'!$C:$FB,4)</f>
        <v>605.70000000000005</v>
      </c>
      <c r="E119" s="75">
        <f>VLOOKUP($A119,'Data Vlaue (Cr)'!$C:$FB,5)</f>
        <v>602.6</v>
      </c>
      <c r="F119" s="75">
        <f t="shared" si="6"/>
        <v>3.4000000000000909</v>
      </c>
      <c r="G119" s="75">
        <f t="shared" si="7"/>
        <v>0.51180452369160023</v>
      </c>
      <c r="H119" s="75">
        <f>VLOOKUP($A119,'Data Vlaue (Cr)'!$C:$FB,99)</f>
        <v>2104</v>
      </c>
      <c r="I119" s="75">
        <f>VLOOKUP($A119,'Data Vlaue (Cr)'!$C:$FB,100)</f>
        <v>2044</v>
      </c>
      <c r="J119" s="75">
        <f t="shared" si="8"/>
        <v>60</v>
      </c>
      <c r="K119" s="75">
        <f t="shared" si="9"/>
        <v>2.8517110266159698</v>
      </c>
      <c r="L119" s="75">
        <f>VLOOKUP($A119,'Data Vlaue (Cr)'!$C:$FB,67)</f>
        <v>626</v>
      </c>
      <c r="M119" s="75">
        <f>VLOOKUP($A119,'Data Vlaue (Cr)'!$C:$FB,68)</f>
        <v>771</v>
      </c>
      <c r="N119" s="75">
        <f t="shared" si="10"/>
        <v>-145</v>
      </c>
      <c r="O119" s="75">
        <f t="shared" si="11"/>
        <v>-23.162939297124602</v>
      </c>
      <c r="P119" s="75">
        <f>VLOOKUP($A119,'Data Vlaue (Cr)'!$C:$FB,119)</f>
        <v>0.55000000000000004</v>
      </c>
      <c r="Q119" s="75">
        <f>VLOOKUP($A119,'Data Vlaue (Cr)'!$C:$FB,122)*100</f>
        <v>-1.79</v>
      </c>
      <c r="R119" s="75">
        <f>VLOOKUP($A119,'Data Vlaue (Cr)'!$C:$FB,125)</f>
        <v>0.27</v>
      </c>
      <c r="S119" s="75">
        <f>VLOOKUP($A119,'Data Vlaue (Cr)'!$C:$FB,128)*100</f>
        <v>-12.9</v>
      </c>
    </row>
    <row r="120" spans="1:19" x14ac:dyDescent="0.25">
      <c r="A120" s="96" t="str">
        <f>'Data Vlaue (Cr)'!C111</f>
        <v>KALYANKJIL</v>
      </c>
      <c r="B120" s="75">
        <f>VLOOKUP($A120,'Data Vlaue (Cr)'!$C:$FB,2)</f>
        <v>1175</v>
      </c>
      <c r="C120" s="75">
        <f>VLOOKUP($A120,'Data Vlaue (Cr)'!$C:$FB,8)</f>
        <v>484.85</v>
      </c>
      <c r="D120" s="75">
        <f>VLOOKUP($A120,'Data Vlaue (Cr)'!$C:$FB,4)</f>
        <v>487.65</v>
      </c>
      <c r="E120" s="75">
        <f>VLOOKUP($A120,'Data Vlaue (Cr)'!$C:$FB,5)</f>
        <v>484.95</v>
      </c>
      <c r="F120" s="75">
        <f t="shared" si="6"/>
        <v>2.7999999999999545</v>
      </c>
      <c r="G120" s="75">
        <f t="shared" si="7"/>
        <v>0.55367579206397799</v>
      </c>
      <c r="H120" s="75">
        <f>VLOOKUP($A120,'Data Vlaue (Cr)'!$C:$FB,99)</f>
        <v>2613</v>
      </c>
      <c r="I120" s="75">
        <f>VLOOKUP($A120,'Data Vlaue (Cr)'!$C:$FB,100)</f>
        <v>2596</v>
      </c>
      <c r="J120" s="75">
        <f t="shared" si="8"/>
        <v>17</v>
      </c>
      <c r="K120" s="75">
        <f t="shared" si="9"/>
        <v>0.65059318790662068</v>
      </c>
      <c r="L120" s="75">
        <f>VLOOKUP($A120,'Data Vlaue (Cr)'!$C:$FB,67)</f>
        <v>611</v>
      </c>
      <c r="M120" s="75">
        <f>VLOOKUP($A120,'Data Vlaue (Cr)'!$C:$FB,68)</f>
        <v>676</v>
      </c>
      <c r="N120" s="75">
        <f t="shared" si="10"/>
        <v>-65</v>
      </c>
      <c r="O120" s="75">
        <f t="shared" si="11"/>
        <v>-10.638297872340425</v>
      </c>
      <c r="P120" s="75">
        <f>VLOOKUP($A120,'Data Vlaue (Cr)'!$C:$FB,119)</f>
        <v>0.53</v>
      </c>
      <c r="Q120" s="75">
        <f>VLOOKUP($A120,'Data Vlaue (Cr)'!$C:$FB,122)*100</f>
        <v>-1.8499999999999999</v>
      </c>
      <c r="R120" s="75">
        <f>VLOOKUP($A120,'Data Vlaue (Cr)'!$C:$FB,125)</f>
        <v>0.39</v>
      </c>
      <c r="S120" s="75">
        <f>VLOOKUP($A120,'Data Vlaue (Cr)'!$C:$FB,128)*100</f>
        <v>11.43</v>
      </c>
    </row>
    <row r="121" spans="1:19" x14ac:dyDescent="0.25">
      <c r="A121" s="96" t="str">
        <f>'Data Vlaue (Cr)'!C112</f>
        <v>KAYNES</v>
      </c>
      <c r="B121" s="75">
        <f>VLOOKUP($A121,'Data Vlaue (Cr)'!$C:$FB,2)</f>
        <v>100</v>
      </c>
      <c r="C121" s="75">
        <f>VLOOKUP($A121,'Data Vlaue (Cr)'!$C:$FB,8)</f>
        <v>7102</v>
      </c>
      <c r="D121" s="75">
        <f>VLOOKUP($A121,'Data Vlaue (Cr)'!$C:$FB,4)</f>
        <v>7140.5</v>
      </c>
      <c r="E121" s="75">
        <f>VLOOKUP($A121,'Data Vlaue (Cr)'!$C:$FB,5)</f>
        <v>7143.5</v>
      </c>
      <c r="F121" s="75">
        <f t="shared" si="6"/>
        <v>38.5</v>
      </c>
      <c r="G121" s="75">
        <f t="shared" si="7"/>
        <v>-4.2013864575309853E-2</v>
      </c>
      <c r="H121" s="75">
        <f>VLOOKUP($A121,'Data Vlaue (Cr)'!$C:$FB,99)</f>
        <v>2665</v>
      </c>
      <c r="I121" s="75">
        <f>VLOOKUP($A121,'Data Vlaue (Cr)'!$C:$FB,100)</f>
        <v>2603</v>
      </c>
      <c r="J121" s="75">
        <f t="shared" si="8"/>
        <v>62</v>
      </c>
      <c r="K121" s="75">
        <f t="shared" si="9"/>
        <v>2.3264540337711073</v>
      </c>
      <c r="L121" s="75">
        <f>VLOOKUP($A121,'Data Vlaue (Cr)'!$C:$FB,67)</f>
        <v>2086</v>
      </c>
      <c r="M121" s="75">
        <f>VLOOKUP($A121,'Data Vlaue (Cr)'!$C:$FB,68)</f>
        <v>4296</v>
      </c>
      <c r="N121" s="75">
        <f t="shared" si="10"/>
        <v>-2210</v>
      </c>
      <c r="O121" s="75">
        <f t="shared" si="11"/>
        <v>-105.94439117929051</v>
      </c>
      <c r="P121" s="75">
        <f>VLOOKUP($A121,'Data Vlaue (Cr)'!$C:$FB,119)</f>
        <v>0.49</v>
      </c>
      <c r="Q121" s="75">
        <f>VLOOKUP($A121,'Data Vlaue (Cr)'!$C:$FB,122)*100</f>
        <v>2.08</v>
      </c>
      <c r="R121" s="75">
        <f>VLOOKUP($A121,'Data Vlaue (Cr)'!$C:$FB,125)</f>
        <v>0.33</v>
      </c>
      <c r="S121" s="75">
        <f>VLOOKUP($A121,'Data Vlaue (Cr)'!$C:$FB,128)*100</f>
        <v>-26.669999999999998</v>
      </c>
    </row>
    <row r="122" spans="1:19" x14ac:dyDescent="0.25">
      <c r="A122" s="96" t="str">
        <f>'Data Vlaue (Cr)'!C113</f>
        <v>KEI</v>
      </c>
      <c r="B122" s="75">
        <f>VLOOKUP($A122,'Data Vlaue (Cr)'!$C:$FB,2)</f>
        <v>175</v>
      </c>
      <c r="C122" s="75">
        <f>VLOOKUP($A122,'Data Vlaue (Cr)'!$C:$FB,8)</f>
        <v>4278.2</v>
      </c>
      <c r="D122" s="75">
        <f>VLOOKUP($A122,'Data Vlaue (Cr)'!$C:$FB,4)</f>
        <v>4294.6000000000004</v>
      </c>
      <c r="E122" s="75">
        <f>VLOOKUP($A122,'Data Vlaue (Cr)'!$C:$FB,5)</f>
        <v>4262.3999999999996</v>
      </c>
      <c r="F122" s="75">
        <f t="shared" si="6"/>
        <v>16.400000000000546</v>
      </c>
      <c r="G122" s="75">
        <f t="shared" si="7"/>
        <v>0.74977879197132968</v>
      </c>
      <c r="H122" s="75">
        <f>VLOOKUP($A122,'Data Vlaue (Cr)'!$C:$FB,99)</f>
        <v>908</v>
      </c>
      <c r="I122" s="75">
        <f>VLOOKUP($A122,'Data Vlaue (Cr)'!$C:$FB,100)</f>
        <v>916</v>
      </c>
      <c r="J122" s="75">
        <f t="shared" si="8"/>
        <v>-8</v>
      </c>
      <c r="K122" s="75">
        <f t="shared" si="9"/>
        <v>-0.88105726872246704</v>
      </c>
      <c r="L122" s="75">
        <f>VLOOKUP($A122,'Data Vlaue (Cr)'!$C:$FB,67)</f>
        <v>660</v>
      </c>
      <c r="M122" s="75">
        <f>VLOOKUP($A122,'Data Vlaue (Cr)'!$C:$FB,68)</f>
        <v>673</v>
      </c>
      <c r="N122" s="75">
        <f t="shared" si="10"/>
        <v>-13</v>
      </c>
      <c r="O122" s="75">
        <f t="shared" si="11"/>
        <v>-1.9696969696969695</v>
      </c>
      <c r="P122" s="75">
        <f>VLOOKUP($A122,'Data Vlaue (Cr)'!$C:$FB,119)</f>
        <v>0.81</v>
      </c>
      <c r="Q122" s="75">
        <f>VLOOKUP($A122,'Data Vlaue (Cr)'!$C:$FB,122)*100</f>
        <v>8</v>
      </c>
      <c r="R122" s="75">
        <f>VLOOKUP($A122,'Data Vlaue (Cr)'!$C:$FB,125)</f>
        <v>0.68</v>
      </c>
      <c r="S122" s="75">
        <f>VLOOKUP($A122,'Data Vlaue (Cr)'!$C:$FB,128)*100</f>
        <v>41.67</v>
      </c>
    </row>
    <row r="123" spans="1:19" x14ac:dyDescent="0.25">
      <c r="A123" s="96" t="str">
        <f>'Data Vlaue (Cr)'!C114</f>
        <v>KFINTECH</v>
      </c>
      <c r="B123" s="75">
        <f>VLOOKUP($A123,'Data Vlaue (Cr)'!$C:$FB,2)</f>
        <v>450</v>
      </c>
      <c r="C123" s="75">
        <f>VLOOKUP($A123,'Data Vlaue (Cr)'!$C:$FB,8)</f>
        <v>1072.5</v>
      </c>
      <c r="D123" s="75">
        <f>VLOOKUP($A123,'Data Vlaue (Cr)'!$C:$FB,4)</f>
        <v>1078.8</v>
      </c>
      <c r="E123" s="75">
        <f>VLOOKUP($A123,'Data Vlaue (Cr)'!$C:$FB,5)</f>
        <v>1052.4000000000001</v>
      </c>
      <c r="F123" s="75">
        <f t="shared" si="6"/>
        <v>6.2999999999999545</v>
      </c>
      <c r="G123" s="75">
        <f t="shared" si="7"/>
        <v>2.4471635150166726</v>
      </c>
      <c r="H123" s="75">
        <f>VLOOKUP($A123,'Data Vlaue (Cr)'!$C:$FB,99)</f>
        <v>471</v>
      </c>
      <c r="I123" s="75">
        <f>VLOOKUP($A123,'Data Vlaue (Cr)'!$C:$FB,100)</f>
        <v>483</v>
      </c>
      <c r="J123" s="75">
        <f t="shared" si="8"/>
        <v>-12</v>
      </c>
      <c r="K123" s="75">
        <f t="shared" si="9"/>
        <v>-2.547770700636943</v>
      </c>
      <c r="L123" s="75">
        <f>VLOOKUP($A123,'Data Vlaue (Cr)'!$C:$FB,67)</f>
        <v>513</v>
      </c>
      <c r="M123" s="75">
        <f>VLOOKUP($A123,'Data Vlaue (Cr)'!$C:$FB,68)</f>
        <v>186</v>
      </c>
      <c r="N123" s="75">
        <f t="shared" si="10"/>
        <v>327</v>
      </c>
      <c r="O123" s="75">
        <f t="shared" si="11"/>
        <v>63.742690058479532</v>
      </c>
      <c r="P123" s="75">
        <f>VLOOKUP($A123,'Data Vlaue (Cr)'!$C:$FB,119)</f>
        <v>0.75</v>
      </c>
      <c r="Q123" s="75">
        <f>VLOOKUP($A123,'Data Vlaue (Cr)'!$C:$FB,122)*100</f>
        <v>41.510000000000005</v>
      </c>
      <c r="R123" s="75">
        <f>VLOOKUP($A123,'Data Vlaue (Cr)'!$C:$FB,125)</f>
        <v>0.46</v>
      </c>
      <c r="S123" s="75">
        <f>VLOOKUP($A123,'Data Vlaue (Cr)'!$C:$FB,128)*100</f>
        <v>27.779999999999998</v>
      </c>
    </row>
    <row r="124" spans="1:19" x14ac:dyDescent="0.25">
      <c r="A124" s="96" t="str">
        <f>'Data Vlaue (Cr)'!C115</f>
        <v>KOTAKBANK</v>
      </c>
      <c r="B124" s="75">
        <f>VLOOKUP($A124,'Data Vlaue (Cr)'!$C:$FB,2)</f>
        <v>400</v>
      </c>
      <c r="C124" s="75">
        <f>VLOOKUP($A124,'Data Vlaue (Cr)'!$C:$FB,8)</f>
        <v>2150.1</v>
      </c>
      <c r="D124" s="75">
        <f>VLOOKUP($A124,'Data Vlaue (Cr)'!$C:$FB,4)</f>
        <v>2156</v>
      </c>
      <c r="E124" s="75">
        <f>VLOOKUP($A124,'Data Vlaue (Cr)'!$C:$FB,5)</f>
        <v>2151.5</v>
      </c>
      <c r="F124" s="75">
        <f t="shared" si="6"/>
        <v>5.9000000000000909</v>
      </c>
      <c r="G124" s="75">
        <f t="shared" si="7"/>
        <v>0.20871985157699444</v>
      </c>
      <c r="H124" s="75">
        <f>VLOOKUP($A124,'Data Vlaue (Cr)'!$C:$FB,99)</f>
        <v>11026</v>
      </c>
      <c r="I124" s="75">
        <f>VLOOKUP($A124,'Data Vlaue (Cr)'!$C:$FB,100)</f>
        <v>11037</v>
      </c>
      <c r="J124" s="75">
        <f t="shared" si="8"/>
        <v>-11</v>
      </c>
      <c r="K124" s="75">
        <f t="shared" si="9"/>
        <v>-9.9764193723925268E-2</v>
      </c>
      <c r="L124" s="75">
        <f>VLOOKUP($A124,'Data Vlaue (Cr)'!$C:$FB,67)</f>
        <v>3906</v>
      </c>
      <c r="M124" s="75">
        <f>VLOOKUP($A124,'Data Vlaue (Cr)'!$C:$FB,68)</f>
        <v>5776</v>
      </c>
      <c r="N124" s="75">
        <f t="shared" si="10"/>
        <v>-1870</v>
      </c>
      <c r="O124" s="75">
        <f t="shared" si="11"/>
        <v>-47.875064004096259</v>
      </c>
      <c r="P124" s="75">
        <f>VLOOKUP($A124,'Data Vlaue (Cr)'!$C:$FB,119)</f>
        <v>1.06</v>
      </c>
      <c r="Q124" s="75">
        <f>VLOOKUP($A124,'Data Vlaue (Cr)'!$C:$FB,122)*100</f>
        <v>0.95</v>
      </c>
      <c r="R124" s="75">
        <f>VLOOKUP($A124,'Data Vlaue (Cr)'!$C:$FB,125)</f>
        <v>0.63</v>
      </c>
      <c r="S124" s="75">
        <f>VLOOKUP($A124,'Data Vlaue (Cr)'!$C:$FB,128)*100</f>
        <v>10.530000000000001</v>
      </c>
    </row>
    <row r="125" spans="1:19" x14ac:dyDescent="0.25">
      <c r="A125" s="96" t="str">
        <f>'Data Vlaue (Cr)'!C116</f>
        <v>KPITTECH</v>
      </c>
      <c r="B125" s="75">
        <f>VLOOKUP($A125,'Data Vlaue (Cr)'!$C:$FB,2)</f>
        <v>400</v>
      </c>
      <c r="C125" s="75">
        <f>VLOOKUP($A125,'Data Vlaue (Cr)'!$C:$FB,8)</f>
        <v>1154.0999999999999</v>
      </c>
      <c r="D125" s="75">
        <f>VLOOKUP($A125,'Data Vlaue (Cr)'!$C:$FB,4)</f>
        <v>1154.7</v>
      </c>
      <c r="E125" s="75">
        <f>VLOOKUP($A125,'Data Vlaue (Cr)'!$C:$FB,5)</f>
        <v>1158.5999999999999</v>
      </c>
      <c r="F125" s="75">
        <f t="shared" si="6"/>
        <v>0.60000000000013642</v>
      </c>
      <c r="G125" s="75">
        <f t="shared" si="7"/>
        <v>-0.33775006495192372</v>
      </c>
      <c r="H125" s="75">
        <f>VLOOKUP($A125,'Data Vlaue (Cr)'!$C:$FB,99)</f>
        <v>1208</v>
      </c>
      <c r="I125" s="75">
        <f>VLOOKUP($A125,'Data Vlaue (Cr)'!$C:$FB,100)</f>
        <v>1182</v>
      </c>
      <c r="J125" s="75">
        <f t="shared" si="8"/>
        <v>26</v>
      </c>
      <c r="K125" s="75">
        <f t="shared" si="9"/>
        <v>2.1523178807947021</v>
      </c>
      <c r="L125" s="75">
        <f>VLOOKUP($A125,'Data Vlaue (Cr)'!$C:$FB,67)</f>
        <v>608</v>
      </c>
      <c r="M125" s="75">
        <f>VLOOKUP($A125,'Data Vlaue (Cr)'!$C:$FB,68)</f>
        <v>354</v>
      </c>
      <c r="N125" s="75">
        <f t="shared" si="10"/>
        <v>254</v>
      </c>
      <c r="O125" s="75">
        <f t="shared" si="11"/>
        <v>41.776315789473685</v>
      </c>
      <c r="P125" s="75">
        <f>VLOOKUP($A125,'Data Vlaue (Cr)'!$C:$FB,119)</f>
        <v>0.66</v>
      </c>
      <c r="Q125" s="75">
        <f>VLOOKUP($A125,'Data Vlaue (Cr)'!$C:$FB,122)*100</f>
        <v>3.1300000000000003</v>
      </c>
      <c r="R125" s="75">
        <f>VLOOKUP($A125,'Data Vlaue (Cr)'!$C:$FB,125)</f>
        <v>0.64</v>
      </c>
      <c r="S125" s="75">
        <f>VLOOKUP($A125,'Data Vlaue (Cr)'!$C:$FB,128)*100</f>
        <v>93.94</v>
      </c>
    </row>
    <row r="126" spans="1:19" x14ac:dyDescent="0.25">
      <c r="A126" s="96" t="str">
        <f>'Data Vlaue (Cr)'!C117</f>
        <v>LAURUSLABS</v>
      </c>
      <c r="B126" s="75">
        <f>VLOOKUP($A126,'Data Vlaue (Cr)'!$C:$FB,2)</f>
        <v>1700</v>
      </c>
      <c r="C126" s="75">
        <f>VLOOKUP($A126,'Data Vlaue (Cr)'!$C:$FB,8)</f>
        <v>876.75</v>
      </c>
      <c r="D126" s="75">
        <f>VLOOKUP($A126,'Data Vlaue (Cr)'!$C:$FB,4)</f>
        <v>880.8</v>
      </c>
      <c r="E126" s="75">
        <f>VLOOKUP($A126,'Data Vlaue (Cr)'!$C:$FB,5)</f>
        <v>869.45</v>
      </c>
      <c r="F126" s="75">
        <f t="shared" si="6"/>
        <v>4.0499999999999545</v>
      </c>
      <c r="G126" s="75">
        <f t="shared" si="7"/>
        <v>1.2886012715712885</v>
      </c>
      <c r="H126" s="75">
        <f>VLOOKUP($A126,'Data Vlaue (Cr)'!$C:$FB,99)</f>
        <v>3748</v>
      </c>
      <c r="I126" s="75">
        <f>VLOOKUP($A126,'Data Vlaue (Cr)'!$C:$FB,100)</f>
        <v>3484</v>
      </c>
      <c r="J126" s="75">
        <f t="shared" si="8"/>
        <v>264</v>
      </c>
      <c r="K126" s="75">
        <f t="shared" si="9"/>
        <v>7.043756670224119</v>
      </c>
      <c r="L126" s="75">
        <f>VLOOKUP($A126,'Data Vlaue (Cr)'!$C:$FB,67)</f>
        <v>6096</v>
      </c>
      <c r="M126" s="75">
        <f>VLOOKUP($A126,'Data Vlaue (Cr)'!$C:$FB,68)</f>
        <v>3088</v>
      </c>
      <c r="N126" s="75">
        <f t="shared" si="10"/>
        <v>3008</v>
      </c>
      <c r="O126" s="75">
        <f t="shared" si="11"/>
        <v>49.343832020997375</v>
      </c>
      <c r="P126" s="75">
        <f>VLOOKUP($A126,'Data Vlaue (Cr)'!$C:$FB,119)</f>
        <v>0.56000000000000005</v>
      </c>
      <c r="Q126" s="75">
        <f>VLOOKUP($A126,'Data Vlaue (Cr)'!$C:$FB,122)*100</f>
        <v>1.82</v>
      </c>
      <c r="R126" s="75">
        <f>VLOOKUP($A126,'Data Vlaue (Cr)'!$C:$FB,125)</f>
        <v>0.39</v>
      </c>
      <c r="S126" s="75">
        <f>VLOOKUP($A126,'Data Vlaue (Cr)'!$C:$FB,128)*100</f>
        <v>5.41</v>
      </c>
    </row>
    <row r="127" spans="1:19" x14ac:dyDescent="0.25">
      <c r="A127" s="96" t="str">
        <f>'Data Vlaue (Cr)'!C118</f>
        <v>LICHSGFIN</v>
      </c>
      <c r="B127" s="75">
        <f>VLOOKUP($A127,'Data Vlaue (Cr)'!$C:$FB,2)</f>
        <v>1000</v>
      </c>
      <c r="C127" s="75">
        <f>VLOOKUP($A127,'Data Vlaue (Cr)'!$C:$FB,8)</f>
        <v>568.45000000000005</v>
      </c>
      <c r="D127" s="75">
        <f>VLOOKUP($A127,'Data Vlaue (Cr)'!$C:$FB,4)</f>
        <v>570.35</v>
      </c>
      <c r="E127" s="75">
        <f>VLOOKUP($A127,'Data Vlaue (Cr)'!$C:$FB,5)</f>
        <v>563.95000000000005</v>
      </c>
      <c r="F127" s="75">
        <f t="shared" si="6"/>
        <v>1.8999999999999773</v>
      </c>
      <c r="G127" s="75">
        <f t="shared" si="7"/>
        <v>1.1221179977206939</v>
      </c>
      <c r="H127" s="75">
        <f>VLOOKUP($A127,'Data Vlaue (Cr)'!$C:$FB,99)</f>
        <v>2740</v>
      </c>
      <c r="I127" s="75">
        <f>VLOOKUP($A127,'Data Vlaue (Cr)'!$C:$FB,100)</f>
        <v>2733</v>
      </c>
      <c r="J127" s="75">
        <f t="shared" si="8"/>
        <v>7</v>
      </c>
      <c r="K127" s="75">
        <f t="shared" si="9"/>
        <v>0.25547445255474455</v>
      </c>
      <c r="L127" s="75">
        <f>VLOOKUP($A127,'Data Vlaue (Cr)'!$C:$FB,67)</f>
        <v>629</v>
      </c>
      <c r="M127" s="75">
        <f>VLOOKUP($A127,'Data Vlaue (Cr)'!$C:$FB,68)</f>
        <v>454</v>
      </c>
      <c r="N127" s="75">
        <f t="shared" si="10"/>
        <v>175</v>
      </c>
      <c r="O127" s="75">
        <f t="shared" si="11"/>
        <v>27.821939586645467</v>
      </c>
      <c r="P127" s="75">
        <f>VLOOKUP($A127,'Data Vlaue (Cr)'!$C:$FB,119)</f>
        <v>0.73</v>
      </c>
      <c r="Q127" s="75">
        <f>VLOOKUP($A127,'Data Vlaue (Cr)'!$C:$FB,122)*100</f>
        <v>0</v>
      </c>
      <c r="R127" s="75">
        <f>VLOOKUP($A127,'Data Vlaue (Cr)'!$C:$FB,125)</f>
        <v>0.37</v>
      </c>
      <c r="S127" s="75">
        <f>VLOOKUP($A127,'Data Vlaue (Cr)'!$C:$FB,128)*100</f>
        <v>8.82</v>
      </c>
    </row>
    <row r="128" spans="1:19" x14ac:dyDescent="0.25">
      <c r="A128" s="96" t="str">
        <f>'Data Vlaue (Cr)'!C119</f>
        <v>LICI</v>
      </c>
      <c r="B128" s="75">
        <f>VLOOKUP($A128,'Data Vlaue (Cr)'!$C:$FB,2)</f>
        <v>700</v>
      </c>
      <c r="C128" s="75">
        <f>VLOOKUP($A128,'Data Vlaue (Cr)'!$C:$FB,8)</f>
        <v>897.8</v>
      </c>
      <c r="D128" s="75">
        <f>VLOOKUP($A128,'Data Vlaue (Cr)'!$C:$FB,4)</f>
        <v>902.25</v>
      </c>
      <c r="E128" s="75">
        <f>VLOOKUP($A128,'Data Vlaue (Cr)'!$C:$FB,5)</f>
        <v>900.55</v>
      </c>
      <c r="F128" s="75">
        <f t="shared" si="6"/>
        <v>4.4500000000000455</v>
      </c>
      <c r="G128" s="75">
        <f t="shared" si="7"/>
        <v>0.18841784427819844</v>
      </c>
      <c r="H128" s="75">
        <f>VLOOKUP($A128,'Data Vlaue (Cr)'!$C:$FB,99)</f>
        <v>1321</v>
      </c>
      <c r="I128" s="75">
        <f>VLOOKUP($A128,'Data Vlaue (Cr)'!$C:$FB,100)</f>
        <v>1304</v>
      </c>
      <c r="J128" s="75">
        <f t="shared" si="8"/>
        <v>17</v>
      </c>
      <c r="K128" s="75">
        <f t="shared" si="9"/>
        <v>1.2869038607115821</v>
      </c>
      <c r="L128" s="75">
        <f>VLOOKUP($A128,'Data Vlaue (Cr)'!$C:$FB,67)</f>
        <v>511</v>
      </c>
      <c r="M128" s="75">
        <f>VLOOKUP($A128,'Data Vlaue (Cr)'!$C:$FB,68)</f>
        <v>389</v>
      </c>
      <c r="N128" s="75">
        <f t="shared" si="10"/>
        <v>122</v>
      </c>
      <c r="O128" s="75">
        <f t="shared" si="11"/>
        <v>23.874755381604697</v>
      </c>
      <c r="P128" s="75">
        <f>VLOOKUP($A128,'Data Vlaue (Cr)'!$C:$FB,119)</f>
        <v>0.42</v>
      </c>
      <c r="Q128" s="75">
        <f>VLOOKUP($A128,'Data Vlaue (Cr)'!$C:$FB,122)*100</f>
        <v>-2.33</v>
      </c>
      <c r="R128" s="75">
        <f>VLOOKUP($A128,'Data Vlaue (Cr)'!$C:$FB,125)</f>
        <v>0.31</v>
      </c>
      <c r="S128" s="75">
        <f>VLOOKUP($A128,'Data Vlaue (Cr)'!$C:$FB,128)*100</f>
        <v>14.81</v>
      </c>
    </row>
    <row r="129" spans="1:19" x14ac:dyDescent="0.25">
      <c r="A129" s="96" t="str">
        <f>'Data Vlaue (Cr)'!C120</f>
        <v>LODHA</v>
      </c>
      <c r="B129" s="75">
        <f>VLOOKUP($A129,'Data Vlaue (Cr)'!$C:$FB,2)</f>
        <v>450</v>
      </c>
      <c r="C129" s="75">
        <f>VLOOKUP($A129,'Data Vlaue (Cr)'!$C:$FB,8)</f>
        <v>1155.9000000000001</v>
      </c>
      <c r="D129" s="75">
        <f>VLOOKUP($A129,'Data Vlaue (Cr)'!$C:$FB,4)</f>
        <v>1159.5999999999999</v>
      </c>
      <c r="E129" s="75">
        <f>VLOOKUP($A129,'Data Vlaue (Cr)'!$C:$FB,5)</f>
        <v>1133.9000000000001</v>
      </c>
      <c r="F129" s="75">
        <f t="shared" si="6"/>
        <v>3.6999999999998181</v>
      </c>
      <c r="G129" s="75">
        <f t="shared" si="7"/>
        <v>2.2162814763711469</v>
      </c>
      <c r="H129" s="75">
        <f>VLOOKUP($A129,'Data Vlaue (Cr)'!$C:$FB,99)</f>
        <v>2098</v>
      </c>
      <c r="I129" s="75">
        <f>VLOOKUP($A129,'Data Vlaue (Cr)'!$C:$FB,100)</f>
        <v>2109</v>
      </c>
      <c r="J129" s="75">
        <f t="shared" si="8"/>
        <v>-11</v>
      </c>
      <c r="K129" s="75">
        <f t="shared" si="9"/>
        <v>-0.52430886558627265</v>
      </c>
      <c r="L129" s="75">
        <f>VLOOKUP($A129,'Data Vlaue (Cr)'!$C:$FB,67)</f>
        <v>1091</v>
      </c>
      <c r="M129" s="75">
        <f>VLOOKUP($A129,'Data Vlaue (Cr)'!$C:$FB,68)</f>
        <v>706</v>
      </c>
      <c r="N129" s="75">
        <f t="shared" si="10"/>
        <v>385</v>
      </c>
      <c r="O129" s="75">
        <f t="shared" si="11"/>
        <v>35.288725939505042</v>
      </c>
      <c r="P129" s="75">
        <f>VLOOKUP($A129,'Data Vlaue (Cr)'!$C:$FB,119)</f>
        <v>0.64</v>
      </c>
      <c r="Q129" s="75">
        <f>VLOOKUP($A129,'Data Vlaue (Cr)'!$C:$FB,122)*100</f>
        <v>1.59</v>
      </c>
      <c r="R129" s="75">
        <f>VLOOKUP($A129,'Data Vlaue (Cr)'!$C:$FB,125)</f>
        <v>0.22</v>
      </c>
      <c r="S129" s="75">
        <f>VLOOKUP($A129,'Data Vlaue (Cr)'!$C:$FB,128)*100</f>
        <v>-35.29</v>
      </c>
    </row>
    <row r="130" spans="1:19" x14ac:dyDescent="0.25">
      <c r="A130" s="96" t="str">
        <f>'Data Vlaue (Cr)'!C121</f>
        <v>LT</v>
      </c>
      <c r="B130" s="75">
        <f>VLOOKUP($A130,'Data Vlaue (Cr)'!$C:$FB,2)</f>
        <v>175</v>
      </c>
      <c r="C130" s="75">
        <f>VLOOKUP($A130,'Data Vlaue (Cr)'!$C:$FB,8)</f>
        <v>3784</v>
      </c>
      <c r="D130" s="75">
        <f>VLOOKUP($A130,'Data Vlaue (Cr)'!$C:$FB,4)</f>
        <v>3804.1</v>
      </c>
      <c r="E130" s="75">
        <f>VLOOKUP($A130,'Data Vlaue (Cr)'!$C:$FB,5)</f>
        <v>3781.2</v>
      </c>
      <c r="F130" s="75">
        <f t="shared" si="6"/>
        <v>20.099999999999909</v>
      </c>
      <c r="G130" s="75">
        <f t="shared" si="7"/>
        <v>0.60198207197497677</v>
      </c>
      <c r="H130" s="75">
        <f>VLOOKUP($A130,'Data Vlaue (Cr)'!$C:$FB,99)</f>
        <v>9684</v>
      </c>
      <c r="I130" s="75">
        <f>VLOOKUP($A130,'Data Vlaue (Cr)'!$C:$FB,100)</f>
        <v>9460</v>
      </c>
      <c r="J130" s="75">
        <f t="shared" si="8"/>
        <v>224</v>
      </c>
      <c r="K130" s="75">
        <f t="shared" si="9"/>
        <v>2.3130937629078896</v>
      </c>
      <c r="L130" s="75">
        <f>VLOOKUP($A130,'Data Vlaue (Cr)'!$C:$FB,67)</f>
        <v>5240</v>
      </c>
      <c r="M130" s="75">
        <f>VLOOKUP($A130,'Data Vlaue (Cr)'!$C:$FB,68)</f>
        <v>6670</v>
      </c>
      <c r="N130" s="75">
        <f t="shared" si="10"/>
        <v>-1430</v>
      </c>
      <c r="O130" s="75">
        <f t="shared" si="11"/>
        <v>-27.29007633587786</v>
      </c>
      <c r="P130" s="75">
        <f>VLOOKUP($A130,'Data Vlaue (Cr)'!$C:$FB,119)</f>
        <v>0.5</v>
      </c>
      <c r="Q130" s="75">
        <f>VLOOKUP($A130,'Data Vlaue (Cr)'!$C:$FB,122)*100</f>
        <v>0</v>
      </c>
      <c r="R130" s="75">
        <f>VLOOKUP($A130,'Data Vlaue (Cr)'!$C:$FB,125)</f>
        <v>0.4</v>
      </c>
      <c r="S130" s="75">
        <f>VLOOKUP($A130,'Data Vlaue (Cr)'!$C:$FB,128)*100</f>
        <v>-4.7600000000000007</v>
      </c>
    </row>
    <row r="131" spans="1:19" x14ac:dyDescent="0.25">
      <c r="A131" s="96" t="str">
        <f>'Data Vlaue (Cr)'!C122</f>
        <v>LTF</v>
      </c>
      <c r="B131" s="75">
        <f>VLOOKUP($A131,'Data Vlaue (Cr)'!$C:$FB,2)</f>
        <v>4462</v>
      </c>
      <c r="C131" s="75">
        <f>VLOOKUP($A131,'Data Vlaue (Cr)'!$C:$FB,8)</f>
        <v>256.04000000000002</v>
      </c>
      <c r="D131" s="75">
        <f>VLOOKUP($A131,'Data Vlaue (Cr)'!$C:$FB,4)</f>
        <v>257.07</v>
      </c>
      <c r="E131" s="75">
        <f>VLOOKUP($A131,'Data Vlaue (Cr)'!$C:$FB,5)</f>
        <v>261.25</v>
      </c>
      <c r="F131" s="75">
        <f t="shared" si="6"/>
        <v>1.0299999999999727</v>
      </c>
      <c r="G131" s="75">
        <f t="shared" si="7"/>
        <v>-1.6260162601626043</v>
      </c>
      <c r="H131" s="75">
        <f>VLOOKUP($A131,'Data Vlaue (Cr)'!$C:$FB,99)</f>
        <v>2612</v>
      </c>
      <c r="I131" s="75">
        <f>VLOOKUP($A131,'Data Vlaue (Cr)'!$C:$FB,100)</f>
        <v>2542</v>
      </c>
      <c r="J131" s="75">
        <f t="shared" si="8"/>
        <v>70</v>
      </c>
      <c r="K131" s="75">
        <f t="shared" si="9"/>
        <v>2.679938744257274</v>
      </c>
      <c r="L131" s="75">
        <f>VLOOKUP($A131,'Data Vlaue (Cr)'!$C:$FB,67)</f>
        <v>1751</v>
      </c>
      <c r="M131" s="75">
        <f>VLOOKUP($A131,'Data Vlaue (Cr)'!$C:$FB,68)</f>
        <v>1058</v>
      </c>
      <c r="N131" s="75">
        <f t="shared" si="10"/>
        <v>693</v>
      </c>
      <c r="O131" s="75">
        <f t="shared" si="11"/>
        <v>39.577384351798969</v>
      </c>
      <c r="P131" s="75">
        <f>VLOOKUP($A131,'Data Vlaue (Cr)'!$C:$FB,119)</f>
        <v>0.88</v>
      </c>
      <c r="Q131" s="75">
        <f>VLOOKUP($A131,'Data Vlaue (Cr)'!$C:$FB,122)*100</f>
        <v>-3.3000000000000003</v>
      </c>
      <c r="R131" s="75">
        <f>VLOOKUP($A131,'Data Vlaue (Cr)'!$C:$FB,125)</f>
        <v>0.75</v>
      </c>
      <c r="S131" s="75">
        <f>VLOOKUP($A131,'Data Vlaue (Cr)'!$C:$FB,128)*100</f>
        <v>-6.25</v>
      </c>
    </row>
    <row r="132" spans="1:19" x14ac:dyDescent="0.25">
      <c r="A132" s="96" t="str">
        <f>'Data Vlaue (Cr)'!C123</f>
        <v>LTIM</v>
      </c>
      <c r="B132" s="75">
        <f>VLOOKUP($A132,'Data Vlaue (Cr)'!$C:$FB,2)</f>
        <v>150</v>
      </c>
      <c r="C132" s="75">
        <f>VLOOKUP($A132,'Data Vlaue (Cr)'!$C:$FB,8)</f>
        <v>5471.5</v>
      </c>
      <c r="D132" s="75">
        <f>VLOOKUP($A132,'Data Vlaue (Cr)'!$C:$FB,4)</f>
        <v>5481</v>
      </c>
      <c r="E132" s="75">
        <f>VLOOKUP($A132,'Data Vlaue (Cr)'!$C:$FB,5)</f>
        <v>5443.5</v>
      </c>
      <c r="F132" s="75">
        <f t="shared" si="6"/>
        <v>9.5</v>
      </c>
      <c r="G132" s="75">
        <f t="shared" si="7"/>
        <v>0.6841817186644773</v>
      </c>
      <c r="H132" s="75">
        <f>VLOOKUP($A132,'Data Vlaue (Cr)'!$C:$FB,99)</f>
        <v>2292</v>
      </c>
      <c r="I132" s="75">
        <f>VLOOKUP($A132,'Data Vlaue (Cr)'!$C:$FB,100)</f>
        <v>2226</v>
      </c>
      <c r="J132" s="75">
        <f t="shared" si="8"/>
        <v>66</v>
      </c>
      <c r="K132" s="75">
        <f t="shared" si="9"/>
        <v>2.8795811518324608</v>
      </c>
      <c r="L132" s="75">
        <f>VLOOKUP($A132,'Data Vlaue (Cr)'!$C:$FB,67)</f>
        <v>2144</v>
      </c>
      <c r="M132" s="75">
        <f>VLOOKUP($A132,'Data Vlaue (Cr)'!$C:$FB,68)</f>
        <v>1690</v>
      </c>
      <c r="N132" s="75">
        <f t="shared" si="10"/>
        <v>454</v>
      </c>
      <c r="O132" s="75">
        <f t="shared" si="11"/>
        <v>21.175373134328357</v>
      </c>
      <c r="P132" s="75">
        <f>VLOOKUP($A132,'Data Vlaue (Cr)'!$C:$FB,119)</f>
        <v>0.73</v>
      </c>
      <c r="Q132" s="75">
        <f>VLOOKUP($A132,'Data Vlaue (Cr)'!$C:$FB,122)*100</f>
        <v>1.39</v>
      </c>
      <c r="R132" s="75">
        <f>VLOOKUP($A132,'Data Vlaue (Cr)'!$C:$FB,125)</f>
        <v>0.54</v>
      </c>
      <c r="S132" s="75">
        <f>VLOOKUP($A132,'Data Vlaue (Cr)'!$C:$FB,128)*100</f>
        <v>22.73</v>
      </c>
    </row>
    <row r="133" spans="1:19" x14ac:dyDescent="0.25">
      <c r="A133" s="96" t="str">
        <f>'Data Vlaue (Cr)'!C124</f>
        <v>LUPIN</v>
      </c>
      <c r="B133" s="75">
        <f>VLOOKUP($A133,'Data Vlaue (Cr)'!$C:$FB,2)</f>
        <v>425</v>
      </c>
      <c r="C133" s="75">
        <f>VLOOKUP($A133,'Data Vlaue (Cr)'!$C:$FB,8)</f>
        <v>1959.3</v>
      </c>
      <c r="D133" s="75">
        <f>VLOOKUP($A133,'Data Vlaue (Cr)'!$C:$FB,4)</f>
        <v>1969.9</v>
      </c>
      <c r="E133" s="75">
        <f>VLOOKUP($A133,'Data Vlaue (Cr)'!$C:$FB,5)</f>
        <v>1968.2</v>
      </c>
      <c r="F133" s="75">
        <f t="shared" si="6"/>
        <v>10.600000000000136</v>
      </c>
      <c r="G133" s="75">
        <f t="shared" si="7"/>
        <v>8.6298796893245613E-2</v>
      </c>
      <c r="H133" s="75">
        <f>VLOOKUP($A133,'Data Vlaue (Cr)'!$C:$FB,99)</f>
        <v>3327</v>
      </c>
      <c r="I133" s="75">
        <f>VLOOKUP($A133,'Data Vlaue (Cr)'!$C:$FB,100)</f>
        <v>3345</v>
      </c>
      <c r="J133" s="75">
        <f t="shared" si="8"/>
        <v>-18</v>
      </c>
      <c r="K133" s="75">
        <f t="shared" si="9"/>
        <v>-0.54102795311091079</v>
      </c>
      <c r="L133" s="75">
        <f>VLOOKUP($A133,'Data Vlaue (Cr)'!$C:$FB,67)</f>
        <v>2375</v>
      </c>
      <c r="M133" s="75">
        <f>VLOOKUP($A133,'Data Vlaue (Cr)'!$C:$FB,68)</f>
        <v>6065</v>
      </c>
      <c r="N133" s="75">
        <f t="shared" si="10"/>
        <v>-3690</v>
      </c>
      <c r="O133" s="75">
        <f t="shared" si="11"/>
        <v>-155.36842105263159</v>
      </c>
      <c r="P133" s="75">
        <f>VLOOKUP($A133,'Data Vlaue (Cr)'!$C:$FB,119)</f>
        <v>0.68</v>
      </c>
      <c r="Q133" s="75">
        <f>VLOOKUP($A133,'Data Vlaue (Cr)'!$C:$FB,122)*100</f>
        <v>1.49</v>
      </c>
      <c r="R133" s="75">
        <f>VLOOKUP($A133,'Data Vlaue (Cr)'!$C:$FB,125)</f>
        <v>0.41</v>
      </c>
      <c r="S133" s="75">
        <f>VLOOKUP($A133,'Data Vlaue (Cr)'!$C:$FB,128)*100</f>
        <v>17.14</v>
      </c>
    </row>
    <row r="134" spans="1:19" x14ac:dyDescent="0.25">
      <c r="A134" s="96" t="str">
        <f>'Data Vlaue (Cr)'!C125</f>
        <v>M&amp;M</v>
      </c>
      <c r="B134" s="75">
        <f>VLOOKUP($A134,'Data Vlaue (Cr)'!$C:$FB,2)</f>
        <v>200</v>
      </c>
      <c r="C134" s="75">
        <f>VLOOKUP($A134,'Data Vlaue (Cr)'!$C:$FB,8)</f>
        <v>3454.9</v>
      </c>
      <c r="D134" s="75">
        <f>VLOOKUP($A134,'Data Vlaue (Cr)'!$C:$FB,4)</f>
        <v>3473.1</v>
      </c>
      <c r="E134" s="75">
        <f>VLOOKUP($A134,'Data Vlaue (Cr)'!$C:$FB,5)</f>
        <v>3453.2</v>
      </c>
      <c r="F134" s="75">
        <f t="shared" si="6"/>
        <v>18.199999999999818</v>
      </c>
      <c r="G134" s="75">
        <f t="shared" si="7"/>
        <v>0.57297515188160697</v>
      </c>
      <c r="H134" s="75">
        <f>VLOOKUP($A134,'Data Vlaue (Cr)'!$C:$FB,99)</f>
        <v>10259</v>
      </c>
      <c r="I134" s="75">
        <f>VLOOKUP($A134,'Data Vlaue (Cr)'!$C:$FB,100)</f>
        <v>10160</v>
      </c>
      <c r="J134" s="75">
        <f t="shared" si="8"/>
        <v>99</v>
      </c>
      <c r="K134" s="75">
        <f t="shared" si="9"/>
        <v>0.96500633590018514</v>
      </c>
      <c r="L134" s="75">
        <f>VLOOKUP($A134,'Data Vlaue (Cr)'!$C:$FB,67)</f>
        <v>3987</v>
      </c>
      <c r="M134" s="75">
        <f>VLOOKUP($A134,'Data Vlaue (Cr)'!$C:$FB,68)</f>
        <v>4084</v>
      </c>
      <c r="N134" s="75">
        <f t="shared" si="10"/>
        <v>-97</v>
      </c>
      <c r="O134" s="75">
        <f t="shared" si="11"/>
        <v>-2.4329069475796339</v>
      </c>
      <c r="P134" s="75">
        <f>VLOOKUP($A134,'Data Vlaue (Cr)'!$C:$FB,119)</f>
        <v>0.51</v>
      </c>
      <c r="Q134" s="75">
        <f>VLOOKUP($A134,'Data Vlaue (Cr)'!$C:$FB,122)*100</f>
        <v>2</v>
      </c>
      <c r="R134" s="75">
        <f>VLOOKUP($A134,'Data Vlaue (Cr)'!$C:$FB,125)</f>
        <v>0.36</v>
      </c>
      <c r="S134" s="75">
        <f>VLOOKUP($A134,'Data Vlaue (Cr)'!$C:$FB,128)*100</f>
        <v>-20</v>
      </c>
    </row>
    <row r="135" spans="1:19" x14ac:dyDescent="0.25">
      <c r="A135" s="96" t="str">
        <f>'Data Vlaue (Cr)'!C126</f>
        <v>MANAPPURAM</v>
      </c>
      <c r="B135" s="75">
        <f>VLOOKUP($A135,'Data Vlaue (Cr)'!$C:$FB,2)</f>
        <v>3000</v>
      </c>
      <c r="C135" s="75">
        <f>VLOOKUP($A135,'Data Vlaue (Cr)'!$C:$FB,8)</f>
        <v>284.75</v>
      </c>
      <c r="D135" s="75">
        <f>VLOOKUP($A135,'Data Vlaue (Cr)'!$C:$FB,4)</f>
        <v>286.39999999999998</v>
      </c>
      <c r="E135" s="75">
        <f>VLOOKUP($A135,'Data Vlaue (Cr)'!$C:$FB,5)</f>
        <v>295.10000000000002</v>
      </c>
      <c r="F135" s="75">
        <f t="shared" si="6"/>
        <v>1.6499999999999773</v>
      </c>
      <c r="G135" s="75">
        <f t="shared" si="7"/>
        <v>-3.0377094972067202</v>
      </c>
      <c r="H135" s="75">
        <f>VLOOKUP($A135,'Data Vlaue (Cr)'!$C:$FB,99)</f>
        <v>1420</v>
      </c>
      <c r="I135" s="75">
        <f>VLOOKUP($A135,'Data Vlaue (Cr)'!$C:$FB,100)</f>
        <v>1242</v>
      </c>
      <c r="J135" s="75">
        <f t="shared" si="8"/>
        <v>178</v>
      </c>
      <c r="K135" s="75">
        <f t="shared" si="9"/>
        <v>12.535211267605634</v>
      </c>
      <c r="L135" s="75">
        <f>VLOOKUP($A135,'Data Vlaue (Cr)'!$C:$FB,67)</f>
        <v>1440</v>
      </c>
      <c r="M135" s="75">
        <f>VLOOKUP($A135,'Data Vlaue (Cr)'!$C:$FB,68)</f>
        <v>529</v>
      </c>
      <c r="N135" s="75">
        <f t="shared" si="10"/>
        <v>911</v>
      </c>
      <c r="O135" s="75">
        <f t="shared" si="11"/>
        <v>63.263888888888886</v>
      </c>
      <c r="P135" s="75">
        <f>VLOOKUP($A135,'Data Vlaue (Cr)'!$C:$FB,119)</f>
        <v>0.63</v>
      </c>
      <c r="Q135" s="75">
        <f>VLOOKUP($A135,'Data Vlaue (Cr)'!$C:$FB,122)*100</f>
        <v>0</v>
      </c>
      <c r="R135" s="75">
        <f>VLOOKUP($A135,'Data Vlaue (Cr)'!$C:$FB,125)</f>
        <v>0.5</v>
      </c>
      <c r="S135" s="75">
        <f>VLOOKUP($A135,'Data Vlaue (Cr)'!$C:$FB,128)*100</f>
        <v>-5.66</v>
      </c>
    </row>
    <row r="136" spans="1:19" x14ac:dyDescent="0.25">
      <c r="A136" s="96" t="str">
        <f>'Data Vlaue (Cr)'!C127</f>
        <v>MANKIND</v>
      </c>
      <c r="B136" s="75">
        <f>VLOOKUP($A136,'Data Vlaue (Cr)'!$C:$FB,2)</f>
        <v>225</v>
      </c>
      <c r="C136" s="75">
        <f>VLOOKUP($A136,'Data Vlaue (Cr)'!$C:$FB,8)</f>
        <v>2459.9</v>
      </c>
      <c r="D136" s="75">
        <f>VLOOKUP($A136,'Data Vlaue (Cr)'!$C:$FB,4)</f>
        <v>2465</v>
      </c>
      <c r="E136" s="75">
        <f>VLOOKUP($A136,'Data Vlaue (Cr)'!$C:$FB,5)</f>
        <v>2483.5</v>
      </c>
      <c r="F136" s="75">
        <f t="shared" si="6"/>
        <v>5.0999999999999091</v>
      </c>
      <c r="G136" s="75">
        <f t="shared" si="7"/>
        <v>-0.75050709939148075</v>
      </c>
      <c r="H136" s="75">
        <f>VLOOKUP($A136,'Data Vlaue (Cr)'!$C:$FB,99)</f>
        <v>672</v>
      </c>
      <c r="I136" s="75">
        <f>VLOOKUP($A136,'Data Vlaue (Cr)'!$C:$FB,100)</f>
        <v>636</v>
      </c>
      <c r="J136" s="75">
        <f t="shared" si="8"/>
        <v>36</v>
      </c>
      <c r="K136" s="75">
        <f t="shared" si="9"/>
        <v>5.3571428571428568</v>
      </c>
      <c r="L136" s="75">
        <f>VLOOKUP($A136,'Data Vlaue (Cr)'!$C:$FB,67)</f>
        <v>352</v>
      </c>
      <c r="M136" s="75">
        <f>VLOOKUP($A136,'Data Vlaue (Cr)'!$C:$FB,68)</f>
        <v>234</v>
      </c>
      <c r="N136" s="75">
        <f t="shared" si="10"/>
        <v>118</v>
      </c>
      <c r="O136" s="75">
        <f t="shared" si="11"/>
        <v>33.522727272727273</v>
      </c>
      <c r="P136" s="75">
        <f>VLOOKUP($A136,'Data Vlaue (Cr)'!$C:$FB,119)</f>
        <v>0.49</v>
      </c>
      <c r="Q136" s="75">
        <f>VLOOKUP($A136,'Data Vlaue (Cr)'!$C:$FB,122)*100</f>
        <v>-12.5</v>
      </c>
      <c r="R136" s="75">
        <f>VLOOKUP($A136,'Data Vlaue (Cr)'!$C:$FB,125)</f>
        <v>0.2</v>
      </c>
      <c r="S136" s="75">
        <f>VLOOKUP($A136,'Data Vlaue (Cr)'!$C:$FB,128)*100</f>
        <v>-25.929999999999996</v>
      </c>
    </row>
    <row r="137" spans="1:19" x14ac:dyDescent="0.25">
      <c r="A137" s="96" t="str">
        <f>'Data Vlaue (Cr)'!C128</f>
        <v>MARICO</v>
      </c>
      <c r="B137" s="75">
        <f>VLOOKUP($A137,'Data Vlaue (Cr)'!$C:$FB,2)</f>
        <v>1200</v>
      </c>
      <c r="C137" s="75">
        <f>VLOOKUP($A137,'Data Vlaue (Cr)'!$C:$FB,8)</f>
        <v>714.3</v>
      </c>
      <c r="D137" s="75">
        <f>VLOOKUP($A137,'Data Vlaue (Cr)'!$C:$FB,4)</f>
        <v>718.15</v>
      </c>
      <c r="E137" s="75">
        <f>VLOOKUP($A137,'Data Vlaue (Cr)'!$C:$FB,5)</f>
        <v>718.25</v>
      </c>
      <c r="F137" s="75">
        <f t="shared" si="6"/>
        <v>3.8500000000000227</v>
      </c>
      <c r="G137" s="75">
        <f t="shared" si="7"/>
        <v>-1.3924667548565446E-2</v>
      </c>
      <c r="H137" s="75">
        <f>VLOOKUP($A137,'Data Vlaue (Cr)'!$C:$FB,99)</f>
        <v>2429</v>
      </c>
      <c r="I137" s="75">
        <f>VLOOKUP($A137,'Data Vlaue (Cr)'!$C:$FB,100)</f>
        <v>2453</v>
      </c>
      <c r="J137" s="75">
        <f t="shared" si="8"/>
        <v>-24</v>
      </c>
      <c r="K137" s="75">
        <f t="shared" si="9"/>
        <v>-0.98806093042404286</v>
      </c>
      <c r="L137" s="75">
        <f>VLOOKUP($A137,'Data Vlaue (Cr)'!$C:$FB,67)</f>
        <v>381</v>
      </c>
      <c r="M137" s="75">
        <f>VLOOKUP($A137,'Data Vlaue (Cr)'!$C:$FB,68)</f>
        <v>524</v>
      </c>
      <c r="N137" s="75">
        <f t="shared" si="10"/>
        <v>-143</v>
      </c>
      <c r="O137" s="75">
        <f t="shared" si="11"/>
        <v>-37.532808398950131</v>
      </c>
      <c r="P137" s="75">
        <f>VLOOKUP($A137,'Data Vlaue (Cr)'!$C:$FB,119)</f>
        <v>0.66</v>
      </c>
      <c r="Q137" s="75">
        <f>VLOOKUP($A137,'Data Vlaue (Cr)'!$C:$FB,122)*100</f>
        <v>-2.94</v>
      </c>
      <c r="R137" s="75">
        <f>VLOOKUP($A137,'Data Vlaue (Cr)'!$C:$FB,125)</f>
        <v>0.46</v>
      </c>
      <c r="S137" s="75">
        <f>VLOOKUP($A137,'Data Vlaue (Cr)'!$C:$FB,128)*100</f>
        <v>4.55</v>
      </c>
    </row>
    <row r="138" spans="1:19" x14ac:dyDescent="0.25">
      <c r="A138" s="96" t="str">
        <f>'Data Vlaue (Cr)'!C129</f>
        <v>MARUTI</v>
      </c>
      <c r="B138" s="75">
        <f>VLOOKUP($A138,'Data Vlaue (Cr)'!$C:$FB,2)</f>
        <v>50</v>
      </c>
      <c r="C138" s="75">
        <f>VLOOKUP($A138,'Data Vlaue (Cr)'!$C:$FB,8)</f>
        <v>16265</v>
      </c>
      <c r="D138" s="75">
        <f>VLOOKUP($A138,'Data Vlaue (Cr)'!$C:$FB,4)</f>
        <v>16349</v>
      </c>
      <c r="E138" s="75">
        <f>VLOOKUP($A138,'Data Vlaue (Cr)'!$C:$FB,5)</f>
        <v>16004</v>
      </c>
      <c r="F138" s="75">
        <f t="shared" si="6"/>
        <v>84</v>
      </c>
      <c r="G138" s="75">
        <f t="shared" si="7"/>
        <v>2.1102208086121474</v>
      </c>
      <c r="H138" s="75">
        <f>VLOOKUP($A138,'Data Vlaue (Cr)'!$C:$FB,99)</f>
        <v>12060</v>
      </c>
      <c r="I138" s="75">
        <f>VLOOKUP($A138,'Data Vlaue (Cr)'!$C:$FB,100)</f>
        <v>11497</v>
      </c>
      <c r="J138" s="75">
        <f t="shared" si="8"/>
        <v>563</v>
      </c>
      <c r="K138" s="75">
        <f t="shared" si="9"/>
        <v>4.6683250414593696</v>
      </c>
      <c r="L138" s="75">
        <f>VLOOKUP($A138,'Data Vlaue (Cr)'!$C:$FB,67)</f>
        <v>19459</v>
      </c>
      <c r="M138" s="75">
        <f>VLOOKUP($A138,'Data Vlaue (Cr)'!$C:$FB,68)</f>
        <v>8862</v>
      </c>
      <c r="N138" s="75">
        <f t="shared" si="10"/>
        <v>10597</v>
      </c>
      <c r="O138" s="75">
        <f t="shared" si="11"/>
        <v>54.458091371601824</v>
      </c>
      <c r="P138" s="75">
        <f>VLOOKUP($A138,'Data Vlaue (Cr)'!$C:$FB,119)</f>
        <v>0.62</v>
      </c>
      <c r="Q138" s="75">
        <f>VLOOKUP($A138,'Data Vlaue (Cr)'!$C:$FB,122)*100</f>
        <v>24</v>
      </c>
      <c r="R138" s="75">
        <f>VLOOKUP($A138,'Data Vlaue (Cr)'!$C:$FB,125)</f>
        <v>0.37</v>
      </c>
      <c r="S138" s="75">
        <f>VLOOKUP($A138,'Data Vlaue (Cr)'!$C:$FB,128)*100</f>
        <v>-35.089999999999996</v>
      </c>
    </row>
    <row r="139" spans="1:19" x14ac:dyDescent="0.25">
      <c r="A139" s="96" t="str">
        <f>'Data Vlaue (Cr)'!C130</f>
        <v>MAXHEALTH</v>
      </c>
      <c r="B139" s="75">
        <f>VLOOKUP($A139,'Data Vlaue (Cr)'!$C:$FB,2)</f>
        <v>525</v>
      </c>
      <c r="C139" s="75">
        <f>VLOOKUP($A139,'Data Vlaue (Cr)'!$C:$FB,8)</f>
        <v>1156.4000000000001</v>
      </c>
      <c r="D139" s="75">
        <f>VLOOKUP($A139,'Data Vlaue (Cr)'!$C:$FB,4)</f>
        <v>1159.4000000000001</v>
      </c>
      <c r="E139" s="75">
        <f>VLOOKUP($A139,'Data Vlaue (Cr)'!$C:$FB,5)</f>
        <v>1159.2</v>
      </c>
      <c r="F139" s="75">
        <f t="shared" si="6"/>
        <v>3</v>
      </c>
      <c r="G139" s="75">
        <f t="shared" si="7"/>
        <v>1.7250301880286825E-2</v>
      </c>
      <c r="H139" s="75">
        <f>VLOOKUP($A139,'Data Vlaue (Cr)'!$C:$FB,99)</f>
        <v>2625</v>
      </c>
      <c r="I139" s="75">
        <f>VLOOKUP($A139,'Data Vlaue (Cr)'!$C:$FB,100)</f>
        <v>2639</v>
      </c>
      <c r="J139" s="75">
        <f t="shared" si="8"/>
        <v>-14</v>
      </c>
      <c r="K139" s="75">
        <f t="shared" si="9"/>
        <v>-0.53333333333333333</v>
      </c>
      <c r="L139" s="75">
        <f>VLOOKUP($A139,'Data Vlaue (Cr)'!$C:$FB,67)</f>
        <v>772</v>
      </c>
      <c r="M139" s="75">
        <f>VLOOKUP($A139,'Data Vlaue (Cr)'!$C:$FB,68)</f>
        <v>1225</v>
      </c>
      <c r="N139" s="75">
        <f t="shared" si="10"/>
        <v>-453</v>
      </c>
      <c r="O139" s="75">
        <f t="shared" si="11"/>
        <v>-58.678756476683937</v>
      </c>
      <c r="P139" s="75">
        <f>VLOOKUP($A139,'Data Vlaue (Cr)'!$C:$FB,119)</f>
        <v>0.89</v>
      </c>
      <c r="Q139" s="75">
        <f>VLOOKUP($A139,'Data Vlaue (Cr)'!$C:$FB,122)*100</f>
        <v>-1.1100000000000001</v>
      </c>
      <c r="R139" s="75">
        <f>VLOOKUP($A139,'Data Vlaue (Cr)'!$C:$FB,125)</f>
        <v>0.73</v>
      </c>
      <c r="S139" s="75">
        <f>VLOOKUP($A139,'Data Vlaue (Cr)'!$C:$FB,128)*100</f>
        <v>40.380000000000003</v>
      </c>
    </row>
    <row r="140" spans="1:19" x14ac:dyDescent="0.25">
      <c r="A140" s="96" t="str">
        <f>'Data Vlaue (Cr)'!C131</f>
        <v>MAZDOCK</v>
      </c>
      <c r="B140" s="75">
        <f>VLOOKUP($A140,'Data Vlaue (Cr)'!$C:$FB,2)</f>
        <v>175</v>
      </c>
      <c r="C140" s="75">
        <f>VLOOKUP($A140,'Data Vlaue (Cr)'!$C:$FB,8)</f>
        <v>2870.1</v>
      </c>
      <c r="D140" s="75">
        <f>VLOOKUP($A140,'Data Vlaue (Cr)'!$C:$FB,4)</f>
        <v>2876.6</v>
      </c>
      <c r="E140" s="75">
        <f>VLOOKUP($A140,'Data Vlaue (Cr)'!$C:$FB,5)</f>
        <v>2904.1</v>
      </c>
      <c r="F140" s="75">
        <f t="shared" ref="F140:F176" si="12">D140-C140</f>
        <v>6.5</v>
      </c>
      <c r="G140" s="75">
        <f t="shared" ref="G140:G176" si="13">(D140-E140)/D140*100</f>
        <v>-0.95598971007439337</v>
      </c>
      <c r="H140" s="75">
        <f>VLOOKUP($A140,'Data Vlaue (Cr)'!$C:$FB,99)</f>
        <v>2164</v>
      </c>
      <c r="I140" s="75">
        <f>VLOOKUP($A140,'Data Vlaue (Cr)'!$C:$FB,100)</f>
        <v>1990</v>
      </c>
      <c r="J140" s="75">
        <f t="shared" ref="J140:J176" si="14">H140-I140</f>
        <v>174</v>
      </c>
      <c r="K140" s="75">
        <f t="shared" ref="K140:K176" si="15">J140/H140*100</f>
        <v>8.0406654343807773</v>
      </c>
      <c r="L140" s="75">
        <f>VLOOKUP($A140,'Data Vlaue (Cr)'!$C:$FB,67)</f>
        <v>1452</v>
      </c>
      <c r="M140" s="75">
        <f>VLOOKUP($A140,'Data Vlaue (Cr)'!$C:$FB,68)</f>
        <v>1355</v>
      </c>
      <c r="N140" s="75">
        <f t="shared" ref="N140:N176" si="16">L140-M140</f>
        <v>97</v>
      </c>
      <c r="O140" s="75">
        <f t="shared" ref="O140:O176" si="17">N140/L140*100</f>
        <v>6.6804407713498621</v>
      </c>
      <c r="P140" s="75">
        <f>VLOOKUP($A140,'Data Vlaue (Cr)'!$C:$FB,119)</f>
        <v>0.56000000000000005</v>
      </c>
      <c r="Q140" s="75">
        <f>VLOOKUP($A140,'Data Vlaue (Cr)'!$C:$FB,122)*100</f>
        <v>-5.08</v>
      </c>
      <c r="R140" s="75">
        <f>VLOOKUP($A140,'Data Vlaue (Cr)'!$C:$FB,125)</f>
        <v>0.32</v>
      </c>
      <c r="S140" s="75">
        <f>VLOOKUP($A140,'Data Vlaue (Cr)'!$C:$FB,128)*100</f>
        <v>-5.88</v>
      </c>
    </row>
    <row r="141" spans="1:19" x14ac:dyDescent="0.25">
      <c r="A141" s="96" t="str">
        <f>'Data Vlaue (Cr)'!C132</f>
        <v>MCX</v>
      </c>
      <c r="B141" s="75">
        <f>VLOOKUP($A141,'Data Vlaue (Cr)'!$C:$FB,2)</f>
        <v>125</v>
      </c>
      <c r="C141" s="75">
        <f>VLOOKUP($A141,'Data Vlaue (Cr)'!$C:$FB,8)</f>
        <v>8688.5</v>
      </c>
      <c r="D141" s="75">
        <f>VLOOKUP($A141,'Data Vlaue (Cr)'!$C:$FB,4)</f>
        <v>8719.5</v>
      </c>
      <c r="E141" s="75">
        <f>VLOOKUP($A141,'Data Vlaue (Cr)'!$C:$FB,5)</f>
        <v>8750.5</v>
      </c>
      <c r="F141" s="75">
        <f t="shared" si="12"/>
        <v>31</v>
      </c>
      <c r="G141" s="75">
        <f t="shared" si="13"/>
        <v>-0.35552497276219969</v>
      </c>
      <c r="H141" s="75">
        <f>VLOOKUP($A141,'Data Vlaue (Cr)'!$C:$FB,99)</f>
        <v>5580</v>
      </c>
      <c r="I141" s="75">
        <f>VLOOKUP($A141,'Data Vlaue (Cr)'!$C:$FB,100)</f>
        <v>5147</v>
      </c>
      <c r="J141" s="75">
        <f t="shared" si="14"/>
        <v>433</v>
      </c>
      <c r="K141" s="75">
        <f t="shared" si="15"/>
        <v>7.7598566308243733</v>
      </c>
      <c r="L141" s="75">
        <f>VLOOKUP($A141,'Data Vlaue (Cr)'!$C:$FB,67)</f>
        <v>12707</v>
      </c>
      <c r="M141" s="75">
        <f>VLOOKUP($A141,'Data Vlaue (Cr)'!$C:$FB,68)</f>
        <v>20781</v>
      </c>
      <c r="N141" s="75">
        <f t="shared" si="16"/>
        <v>-8074</v>
      </c>
      <c r="O141" s="75">
        <f t="shared" si="17"/>
        <v>-63.53978122294798</v>
      </c>
      <c r="P141" s="75">
        <f>VLOOKUP($A141,'Data Vlaue (Cr)'!$C:$FB,119)</f>
        <v>0.82</v>
      </c>
      <c r="Q141" s="75">
        <f>VLOOKUP($A141,'Data Vlaue (Cr)'!$C:$FB,122)*100</f>
        <v>-14.580000000000002</v>
      </c>
      <c r="R141" s="75">
        <f>VLOOKUP($A141,'Data Vlaue (Cr)'!$C:$FB,125)</f>
        <v>0.44</v>
      </c>
      <c r="S141" s="75">
        <f>VLOOKUP($A141,'Data Vlaue (Cr)'!$C:$FB,128)*100</f>
        <v>-4.3499999999999996</v>
      </c>
    </row>
    <row r="142" spans="1:19" x14ac:dyDescent="0.25">
      <c r="A142" s="96" t="str">
        <f>'Data Vlaue (Cr)'!C133</f>
        <v>MFSL</v>
      </c>
      <c r="B142" s="75">
        <f>VLOOKUP($A142,'Data Vlaue (Cr)'!$C:$FB,2)</f>
        <v>800</v>
      </c>
      <c r="C142" s="75">
        <f>VLOOKUP($A142,'Data Vlaue (Cr)'!$C:$FB,8)</f>
        <v>1581.7</v>
      </c>
      <c r="D142" s="75">
        <f>VLOOKUP($A142,'Data Vlaue (Cr)'!$C:$FB,4)</f>
        <v>1590.1</v>
      </c>
      <c r="E142" s="75">
        <f>VLOOKUP($A142,'Data Vlaue (Cr)'!$C:$FB,5)</f>
        <v>1601.4</v>
      </c>
      <c r="F142" s="75">
        <f t="shared" si="12"/>
        <v>8.3999999999998636</v>
      </c>
      <c r="G142" s="75">
        <f t="shared" si="13"/>
        <v>-0.71064712911138805</v>
      </c>
      <c r="H142" s="75">
        <f>VLOOKUP($A142,'Data Vlaue (Cr)'!$C:$FB,99)</f>
        <v>1257</v>
      </c>
      <c r="I142" s="75">
        <f>VLOOKUP($A142,'Data Vlaue (Cr)'!$C:$FB,100)</f>
        <v>1231</v>
      </c>
      <c r="J142" s="75">
        <f t="shared" si="14"/>
        <v>26</v>
      </c>
      <c r="K142" s="75">
        <f t="shared" si="15"/>
        <v>2.0684168655529036</v>
      </c>
      <c r="L142" s="75">
        <f>VLOOKUP($A142,'Data Vlaue (Cr)'!$C:$FB,67)</f>
        <v>361</v>
      </c>
      <c r="M142" s="75">
        <f>VLOOKUP($A142,'Data Vlaue (Cr)'!$C:$FB,68)</f>
        <v>462</v>
      </c>
      <c r="N142" s="75">
        <f t="shared" si="16"/>
        <v>-101</v>
      </c>
      <c r="O142" s="75">
        <f t="shared" si="17"/>
        <v>-27.977839335180054</v>
      </c>
      <c r="P142" s="75">
        <f>VLOOKUP($A142,'Data Vlaue (Cr)'!$C:$FB,119)</f>
        <v>0.62</v>
      </c>
      <c r="Q142" s="75">
        <f>VLOOKUP($A142,'Data Vlaue (Cr)'!$C:$FB,122)*100</f>
        <v>-4.62</v>
      </c>
      <c r="R142" s="75">
        <f>VLOOKUP($A142,'Data Vlaue (Cr)'!$C:$FB,125)</f>
        <v>0.35</v>
      </c>
      <c r="S142" s="75">
        <f>VLOOKUP($A142,'Data Vlaue (Cr)'!$C:$FB,128)*100</f>
        <v>-22.220000000000002</v>
      </c>
    </row>
    <row r="143" spans="1:19" x14ac:dyDescent="0.25">
      <c r="A143" s="96" t="str">
        <f>'Data Vlaue (Cr)'!C134</f>
        <v>MIDCPNIFTY</v>
      </c>
      <c r="B143" s="75">
        <f>VLOOKUP($A143,'Data Vlaue (Cr)'!$C:$FB,2)</f>
        <v>140</v>
      </c>
      <c r="C143" s="75">
        <f>VLOOKUP($A143,'Data Vlaue (Cr)'!$C:$FB,8)</f>
        <v>13149.55</v>
      </c>
      <c r="D143" s="75">
        <f>VLOOKUP($A143,'Data Vlaue (Cr)'!$C:$FB,4)</f>
        <v>13216.55</v>
      </c>
      <c r="E143" s="75">
        <f>VLOOKUP($A143,'Data Vlaue (Cr)'!$C:$FB,5)</f>
        <v>13100.75</v>
      </c>
      <c r="F143" s="75">
        <f t="shared" si="12"/>
        <v>67</v>
      </c>
      <c r="G143" s="75">
        <f t="shared" si="13"/>
        <v>0.87617419069272451</v>
      </c>
      <c r="H143" s="75">
        <f>VLOOKUP($A143,'Data Vlaue (Cr)'!$C:$FB,99)</f>
        <v>21623</v>
      </c>
      <c r="I143" s="75">
        <f>VLOOKUP($A143,'Data Vlaue (Cr)'!$C:$FB,100)</f>
        <v>21068</v>
      </c>
      <c r="J143" s="75">
        <f t="shared" si="14"/>
        <v>555</v>
      </c>
      <c r="K143" s="75"/>
      <c r="L143" s="75">
        <f>VLOOKUP($A143,'Data Vlaue (Cr)'!$C:$FB,67)</f>
        <v>47107</v>
      </c>
      <c r="M143" s="75">
        <f>VLOOKUP($A143,'Data Vlaue (Cr)'!$C:$FB,68)</f>
        <v>36438</v>
      </c>
      <c r="N143" s="75">
        <f t="shared" si="16"/>
        <v>10669</v>
      </c>
      <c r="O143" s="75">
        <f t="shared" si="17"/>
        <v>22.648438660920885</v>
      </c>
      <c r="P143" s="75">
        <f>VLOOKUP($A143,'Data Vlaue (Cr)'!$C:$FB,119)</f>
        <v>1.29</v>
      </c>
      <c r="Q143" s="75">
        <f>VLOOKUP($A143,'Data Vlaue (Cr)'!$C:$FB,122)*100</f>
        <v>3.2</v>
      </c>
      <c r="R143" s="75">
        <f>VLOOKUP($A143,'Data Vlaue (Cr)'!$C:$FB,125)</f>
        <v>1.04</v>
      </c>
      <c r="S143" s="75">
        <f>VLOOKUP($A143,'Data Vlaue (Cr)'!$C:$FB,128)*100</f>
        <v>-5.45</v>
      </c>
    </row>
    <row r="144" spans="1:19" x14ac:dyDescent="0.25">
      <c r="A144" s="96" t="str">
        <f>'Data Vlaue (Cr)'!C135</f>
        <v>MOTHERSON</v>
      </c>
      <c r="B144" s="75">
        <f>VLOOKUP($A144,'Data Vlaue (Cr)'!$C:$FB,2)</f>
        <v>6150</v>
      </c>
      <c r="C144" s="75">
        <f>VLOOKUP($A144,'Data Vlaue (Cr)'!$C:$FB,8)</f>
        <v>104.1</v>
      </c>
      <c r="D144" s="75">
        <f>VLOOKUP($A144,'Data Vlaue (Cr)'!$C:$FB,4)</f>
        <v>104.64</v>
      </c>
      <c r="E144" s="75">
        <f>VLOOKUP($A144,'Data Vlaue (Cr)'!$C:$FB,5)</f>
        <v>103.91</v>
      </c>
      <c r="F144" s="75">
        <f t="shared" si="12"/>
        <v>0.54000000000000625</v>
      </c>
      <c r="G144" s="75">
        <f t="shared" si="13"/>
        <v>0.69762996941896405</v>
      </c>
      <c r="H144" s="75">
        <f>VLOOKUP($A144,'Data Vlaue (Cr)'!$C:$FB,99)</f>
        <v>2657</v>
      </c>
      <c r="I144" s="75">
        <f>VLOOKUP($A144,'Data Vlaue (Cr)'!$C:$FB,100)</f>
        <v>2628</v>
      </c>
      <c r="J144" s="75">
        <f t="shared" si="14"/>
        <v>29</v>
      </c>
      <c r="K144" s="75">
        <f t="shared" si="15"/>
        <v>1.0914565299209635</v>
      </c>
      <c r="L144" s="75">
        <f>VLOOKUP($A144,'Data Vlaue (Cr)'!$C:$FB,67)</f>
        <v>881</v>
      </c>
      <c r="M144" s="75">
        <f>VLOOKUP($A144,'Data Vlaue (Cr)'!$C:$FB,68)</f>
        <v>1053</v>
      </c>
      <c r="N144" s="75">
        <f t="shared" si="16"/>
        <v>-172</v>
      </c>
      <c r="O144" s="75">
        <f t="shared" si="17"/>
        <v>-19.523269012485812</v>
      </c>
      <c r="P144" s="75">
        <f>VLOOKUP($A144,'Data Vlaue (Cr)'!$C:$FB,119)</f>
        <v>0.52</v>
      </c>
      <c r="Q144" s="75">
        <f>VLOOKUP($A144,'Data Vlaue (Cr)'!$C:$FB,122)*100</f>
        <v>1.96</v>
      </c>
      <c r="R144" s="75">
        <f>VLOOKUP($A144,'Data Vlaue (Cr)'!$C:$FB,125)</f>
        <v>0.28999999999999998</v>
      </c>
      <c r="S144" s="75">
        <f>VLOOKUP($A144,'Data Vlaue (Cr)'!$C:$FB,128)*100</f>
        <v>-39.58</v>
      </c>
    </row>
    <row r="145" spans="1:19" x14ac:dyDescent="0.25">
      <c r="A145" s="96" t="str">
        <f>'Data Vlaue (Cr)'!C136</f>
        <v>MPHASIS</v>
      </c>
      <c r="B145" s="75">
        <f>VLOOKUP($A145,'Data Vlaue (Cr)'!$C:$FB,2)</f>
        <v>275</v>
      </c>
      <c r="C145" s="75">
        <f>VLOOKUP($A145,'Data Vlaue (Cr)'!$C:$FB,8)</f>
        <v>2783.2</v>
      </c>
      <c r="D145" s="75">
        <f>VLOOKUP($A145,'Data Vlaue (Cr)'!$C:$FB,4)</f>
        <v>2794.9</v>
      </c>
      <c r="E145" s="75">
        <f>VLOOKUP($A145,'Data Vlaue (Cr)'!$C:$FB,5)</f>
        <v>2822.6</v>
      </c>
      <c r="F145" s="75">
        <f t="shared" si="12"/>
        <v>11.700000000000273</v>
      </c>
      <c r="G145" s="75">
        <f t="shared" si="13"/>
        <v>-0.99109091559625806</v>
      </c>
      <c r="H145" s="75">
        <f>VLOOKUP($A145,'Data Vlaue (Cr)'!$C:$FB,99)</f>
        <v>1676</v>
      </c>
      <c r="I145" s="75">
        <f>VLOOKUP($A145,'Data Vlaue (Cr)'!$C:$FB,100)</f>
        <v>1658</v>
      </c>
      <c r="J145" s="75">
        <f t="shared" si="14"/>
        <v>18</v>
      </c>
      <c r="K145" s="75">
        <f t="shared" si="15"/>
        <v>1.0739856801909307</v>
      </c>
      <c r="L145" s="75">
        <f>VLOOKUP($A145,'Data Vlaue (Cr)'!$C:$FB,67)</f>
        <v>759</v>
      </c>
      <c r="M145" s="75">
        <f>VLOOKUP($A145,'Data Vlaue (Cr)'!$C:$FB,68)</f>
        <v>695</v>
      </c>
      <c r="N145" s="75">
        <f t="shared" si="16"/>
        <v>64</v>
      </c>
      <c r="O145" s="75">
        <f t="shared" si="17"/>
        <v>8.4321475625823457</v>
      </c>
      <c r="P145" s="75">
        <f>VLOOKUP($A145,'Data Vlaue (Cr)'!$C:$FB,119)</f>
        <v>0.57999999999999996</v>
      </c>
      <c r="Q145" s="75">
        <f>VLOOKUP($A145,'Data Vlaue (Cr)'!$C:$FB,122)*100</f>
        <v>-3.3300000000000005</v>
      </c>
      <c r="R145" s="75">
        <f>VLOOKUP($A145,'Data Vlaue (Cr)'!$C:$FB,125)</f>
        <v>0.48</v>
      </c>
      <c r="S145" s="75">
        <f>VLOOKUP($A145,'Data Vlaue (Cr)'!$C:$FB,128)*100</f>
        <v>41.18</v>
      </c>
    </row>
    <row r="146" spans="1:19" x14ac:dyDescent="0.25">
      <c r="A146" s="96" t="str">
        <f>'Data Vlaue (Cr)'!C137</f>
        <v>MUTHOOTFIN</v>
      </c>
      <c r="B146" s="75">
        <f>VLOOKUP($A146,'Data Vlaue (Cr)'!$C:$FB,2)</f>
        <v>275</v>
      </c>
      <c r="C146" s="75">
        <f>VLOOKUP($A146,'Data Vlaue (Cr)'!$C:$FB,8)</f>
        <v>3156.9</v>
      </c>
      <c r="D146" s="75">
        <f>VLOOKUP($A146,'Data Vlaue (Cr)'!$C:$FB,4)</f>
        <v>3175</v>
      </c>
      <c r="E146" s="75">
        <f>VLOOKUP($A146,'Data Vlaue (Cr)'!$C:$FB,5)</f>
        <v>3254.5</v>
      </c>
      <c r="F146" s="75">
        <f t="shared" si="12"/>
        <v>18.099999999999909</v>
      </c>
      <c r="G146" s="75">
        <f t="shared" si="13"/>
        <v>-2.5039370078740157</v>
      </c>
      <c r="H146" s="75">
        <f>VLOOKUP($A146,'Data Vlaue (Cr)'!$C:$FB,99)</f>
        <v>2002</v>
      </c>
      <c r="I146" s="75">
        <f>VLOOKUP($A146,'Data Vlaue (Cr)'!$C:$FB,100)</f>
        <v>1955</v>
      </c>
      <c r="J146" s="75">
        <f t="shared" si="14"/>
        <v>47</v>
      </c>
      <c r="K146" s="75">
        <f t="shared" si="15"/>
        <v>2.3476523476523474</v>
      </c>
      <c r="L146" s="75">
        <f>VLOOKUP($A146,'Data Vlaue (Cr)'!$C:$FB,67)</f>
        <v>2595</v>
      </c>
      <c r="M146" s="75">
        <f>VLOOKUP($A146,'Data Vlaue (Cr)'!$C:$FB,68)</f>
        <v>1097</v>
      </c>
      <c r="N146" s="75">
        <f t="shared" si="16"/>
        <v>1498</v>
      </c>
      <c r="O146" s="75">
        <f t="shared" si="17"/>
        <v>57.726396917148357</v>
      </c>
      <c r="P146" s="75">
        <f>VLOOKUP($A146,'Data Vlaue (Cr)'!$C:$FB,119)</f>
        <v>0.62</v>
      </c>
      <c r="Q146" s="75">
        <f>VLOOKUP($A146,'Data Vlaue (Cr)'!$C:$FB,122)*100</f>
        <v>-12.68</v>
      </c>
      <c r="R146" s="75">
        <f>VLOOKUP($A146,'Data Vlaue (Cr)'!$C:$FB,125)</f>
        <v>0.63</v>
      </c>
      <c r="S146" s="75">
        <f>VLOOKUP($A146,'Data Vlaue (Cr)'!$C:$FB,128)*100</f>
        <v>-5.9700000000000006</v>
      </c>
    </row>
    <row r="147" spans="1:19" x14ac:dyDescent="0.25">
      <c r="A147" s="96" t="str">
        <f>'Data Vlaue (Cr)'!C138</f>
        <v>NATIONALUM</v>
      </c>
      <c r="B147" s="75">
        <f>VLOOKUP($A147,'Data Vlaue (Cr)'!$C:$FB,2)</f>
        <v>3750</v>
      </c>
      <c r="C147" s="75">
        <f>VLOOKUP($A147,'Data Vlaue (Cr)'!$C:$FB,8)</f>
        <v>224.3</v>
      </c>
      <c r="D147" s="75">
        <f>VLOOKUP($A147,'Data Vlaue (Cr)'!$C:$FB,4)</f>
        <v>225.25</v>
      </c>
      <c r="E147" s="75">
        <f>VLOOKUP($A147,'Data Vlaue (Cr)'!$C:$FB,5)</f>
        <v>230.75</v>
      </c>
      <c r="F147" s="75">
        <f t="shared" si="12"/>
        <v>0.94999999999998863</v>
      </c>
      <c r="G147" s="75">
        <f t="shared" si="13"/>
        <v>-2.4417314095449503</v>
      </c>
      <c r="H147" s="75">
        <f>VLOOKUP($A147,'Data Vlaue (Cr)'!$C:$FB,99)</f>
        <v>3104</v>
      </c>
      <c r="I147" s="75">
        <f>VLOOKUP($A147,'Data Vlaue (Cr)'!$C:$FB,100)</f>
        <v>3036</v>
      </c>
      <c r="J147" s="75">
        <f t="shared" si="14"/>
        <v>68</v>
      </c>
      <c r="K147" s="75">
        <f t="shared" si="15"/>
        <v>2.1907216494845358</v>
      </c>
      <c r="L147" s="75">
        <f>VLOOKUP($A147,'Data Vlaue (Cr)'!$C:$FB,67)</f>
        <v>2510</v>
      </c>
      <c r="M147" s="75">
        <f>VLOOKUP($A147,'Data Vlaue (Cr)'!$C:$FB,68)</f>
        <v>5314</v>
      </c>
      <c r="N147" s="75">
        <f t="shared" si="16"/>
        <v>-2804</v>
      </c>
      <c r="O147" s="75">
        <f t="shared" si="17"/>
        <v>-111.71314741035856</v>
      </c>
      <c r="P147" s="75">
        <f>VLOOKUP($A147,'Data Vlaue (Cr)'!$C:$FB,119)</f>
        <v>0.79</v>
      </c>
      <c r="Q147" s="75">
        <f>VLOOKUP($A147,'Data Vlaue (Cr)'!$C:$FB,122)*100</f>
        <v>-11.24</v>
      </c>
      <c r="R147" s="75">
        <f>VLOOKUP($A147,'Data Vlaue (Cr)'!$C:$FB,125)</f>
        <v>0.54</v>
      </c>
      <c r="S147" s="75">
        <f>VLOOKUP($A147,'Data Vlaue (Cr)'!$C:$FB,128)*100</f>
        <v>-1.82</v>
      </c>
    </row>
    <row r="148" spans="1:19" x14ac:dyDescent="0.25">
      <c r="A148" s="96" t="str">
        <f>'Data Vlaue (Cr)'!C139</f>
        <v>NAUKRI</v>
      </c>
      <c r="B148" s="75">
        <f>VLOOKUP($A148,'Data Vlaue (Cr)'!$C:$FB,2)</f>
        <v>375</v>
      </c>
      <c r="C148" s="75">
        <f>VLOOKUP($A148,'Data Vlaue (Cr)'!$C:$FB,8)</f>
        <v>1333.1</v>
      </c>
      <c r="D148" s="75">
        <f>VLOOKUP($A148,'Data Vlaue (Cr)'!$C:$FB,4)</f>
        <v>1339.4</v>
      </c>
      <c r="E148" s="75">
        <f>VLOOKUP($A148,'Data Vlaue (Cr)'!$C:$FB,5)</f>
        <v>1351.8</v>
      </c>
      <c r="F148" s="75">
        <f t="shared" si="12"/>
        <v>6.3000000000001819</v>
      </c>
      <c r="G148" s="75">
        <f t="shared" si="13"/>
        <v>-0.92578766611914765</v>
      </c>
      <c r="H148" s="75">
        <f>VLOOKUP($A148,'Data Vlaue (Cr)'!$C:$FB,99)</f>
        <v>1817</v>
      </c>
      <c r="I148" s="75">
        <f>VLOOKUP($A148,'Data Vlaue (Cr)'!$C:$FB,100)</f>
        <v>1776</v>
      </c>
      <c r="J148" s="75">
        <f t="shared" si="14"/>
        <v>41</v>
      </c>
      <c r="K148" s="75">
        <f t="shared" si="15"/>
        <v>2.2564667033571824</v>
      </c>
      <c r="L148" s="75">
        <f>VLOOKUP($A148,'Data Vlaue (Cr)'!$C:$FB,67)</f>
        <v>420</v>
      </c>
      <c r="M148" s="75">
        <f>VLOOKUP($A148,'Data Vlaue (Cr)'!$C:$FB,68)</f>
        <v>1462</v>
      </c>
      <c r="N148" s="75">
        <f t="shared" si="16"/>
        <v>-1042</v>
      </c>
      <c r="O148" s="75">
        <f t="shared" si="17"/>
        <v>-248.0952380952381</v>
      </c>
      <c r="P148" s="75">
        <f>VLOOKUP($A148,'Data Vlaue (Cr)'!$C:$FB,119)</f>
        <v>0.54</v>
      </c>
      <c r="Q148" s="75">
        <f>VLOOKUP($A148,'Data Vlaue (Cr)'!$C:$FB,122)*100</f>
        <v>-5.26</v>
      </c>
      <c r="R148" s="75">
        <f>VLOOKUP($A148,'Data Vlaue (Cr)'!$C:$FB,125)</f>
        <v>0.31</v>
      </c>
      <c r="S148" s="75">
        <f>VLOOKUP($A148,'Data Vlaue (Cr)'!$C:$FB,128)*100</f>
        <v>-31.11</v>
      </c>
    </row>
    <row r="149" spans="1:19" x14ac:dyDescent="0.25">
      <c r="A149" s="96" t="str">
        <f>'Data Vlaue (Cr)'!C140</f>
        <v>NBCC</v>
      </c>
      <c r="B149" s="75">
        <f>VLOOKUP($A149,'Data Vlaue (Cr)'!$C:$FB,2)</f>
        <v>6500</v>
      </c>
      <c r="C149" s="75">
        <f>VLOOKUP($A149,'Data Vlaue (Cr)'!$C:$FB,8)</f>
        <v>112.66</v>
      </c>
      <c r="D149" s="75">
        <f>VLOOKUP($A149,'Data Vlaue (Cr)'!$C:$FB,4)</f>
        <v>113.27</v>
      </c>
      <c r="E149" s="75">
        <f>VLOOKUP($A149,'Data Vlaue (Cr)'!$C:$FB,5)</f>
        <v>114.34</v>
      </c>
      <c r="F149" s="75">
        <f t="shared" si="12"/>
        <v>0.60999999999999943</v>
      </c>
      <c r="G149" s="75">
        <f t="shared" si="13"/>
        <v>-0.94464553721197786</v>
      </c>
      <c r="H149" s="75">
        <f>VLOOKUP($A149,'Data Vlaue (Cr)'!$C:$FB,99)</f>
        <v>1198</v>
      </c>
      <c r="I149" s="75">
        <f>VLOOKUP($A149,'Data Vlaue (Cr)'!$C:$FB,100)</f>
        <v>1156</v>
      </c>
      <c r="J149" s="75">
        <f t="shared" si="14"/>
        <v>42</v>
      </c>
      <c r="K149" s="75">
        <f t="shared" si="15"/>
        <v>3.5058430717863103</v>
      </c>
      <c r="L149" s="75">
        <f>VLOOKUP($A149,'Data Vlaue (Cr)'!$C:$FB,67)</f>
        <v>609</v>
      </c>
      <c r="M149" s="75">
        <f>VLOOKUP($A149,'Data Vlaue (Cr)'!$C:$FB,68)</f>
        <v>731</v>
      </c>
      <c r="N149" s="75">
        <f t="shared" si="16"/>
        <v>-122</v>
      </c>
      <c r="O149" s="75">
        <f t="shared" si="17"/>
        <v>-20.032840722495894</v>
      </c>
      <c r="P149" s="75">
        <f>VLOOKUP($A149,'Data Vlaue (Cr)'!$C:$FB,119)</f>
        <v>0.5</v>
      </c>
      <c r="Q149" s="75">
        <f>VLOOKUP($A149,'Data Vlaue (Cr)'!$C:$FB,122)*100</f>
        <v>11.110000000000001</v>
      </c>
      <c r="R149" s="75">
        <f>VLOOKUP($A149,'Data Vlaue (Cr)'!$C:$FB,125)</f>
        <v>0.28999999999999998</v>
      </c>
      <c r="S149" s="75">
        <f>VLOOKUP($A149,'Data Vlaue (Cr)'!$C:$FB,128)*100</f>
        <v>70.59</v>
      </c>
    </row>
    <row r="150" spans="1:19" x14ac:dyDescent="0.25">
      <c r="A150" s="96" t="str">
        <f>'Data Vlaue (Cr)'!C141</f>
        <v>NCC</v>
      </c>
      <c r="B150" s="75">
        <f>VLOOKUP($A150,'Data Vlaue (Cr)'!$C:$FB,2)</f>
        <v>2700</v>
      </c>
      <c r="C150" s="75">
        <f>VLOOKUP($A150,'Data Vlaue (Cr)'!$C:$FB,8)</f>
        <v>210.78</v>
      </c>
      <c r="D150" s="75">
        <f>VLOOKUP($A150,'Data Vlaue (Cr)'!$C:$FB,4)</f>
        <v>211.88</v>
      </c>
      <c r="E150" s="75">
        <f>VLOOKUP($A150,'Data Vlaue (Cr)'!$C:$FB,5)</f>
        <v>210.94</v>
      </c>
      <c r="F150" s="75">
        <f t="shared" si="12"/>
        <v>1.0999999999999943</v>
      </c>
      <c r="G150" s="75">
        <f t="shared" si="13"/>
        <v>0.44364734755521884</v>
      </c>
      <c r="H150" s="75">
        <f>VLOOKUP($A150,'Data Vlaue (Cr)'!$C:$FB,99)</f>
        <v>599</v>
      </c>
      <c r="I150" s="75">
        <f>VLOOKUP($A150,'Data Vlaue (Cr)'!$C:$FB,100)</f>
        <v>593</v>
      </c>
      <c r="J150" s="75">
        <f t="shared" si="14"/>
        <v>6</v>
      </c>
      <c r="K150" s="75">
        <f t="shared" si="15"/>
        <v>1.001669449081803</v>
      </c>
      <c r="L150" s="75">
        <f>VLOOKUP($A150,'Data Vlaue (Cr)'!$C:$FB,67)</f>
        <v>194</v>
      </c>
      <c r="M150" s="75">
        <f>VLOOKUP($A150,'Data Vlaue (Cr)'!$C:$FB,68)</f>
        <v>174</v>
      </c>
      <c r="N150" s="75">
        <f t="shared" si="16"/>
        <v>20</v>
      </c>
      <c r="O150" s="75">
        <f t="shared" si="17"/>
        <v>10.309278350515463</v>
      </c>
      <c r="P150" s="75">
        <f>VLOOKUP($A150,'Data Vlaue (Cr)'!$C:$FB,119)</f>
        <v>0.59</v>
      </c>
      <c r="Q150" s="75">
        <f>VLOOKUP($A150,'Data Vlaue (Cr)'!$C:$FB,122)*100</f>
        <v>-7.8100000000000005</v>
      </c>
      <c r="R150" s="75">
        <f>VLOOKUP($A150,'Data Vlaue (Cr)'!$C:$FB,125)</f>
        <v>0.27</v>
      </c>
      <c r="S150" s="75">
        <f>VLOOKUP($A150,'Data Vlaue (Cr)'!$C:$FB,128)*100</f>
        <v>-53.449999999999996</v>
      </c>
    </row>
    <row r="151" spans="1:19" x14ac:dyDescent="0.25">
      <c r="A151" s="96" t="str">
        <f>'Data Vlaue (Cr)'!C142</f>
        <v>NESTLEIND</v>
      </c>
      <c r="B151" s="75">
        <f>VLOOKUP($A151,'Data Vlaue (Cr)'!$C:$FB,2)</f>
        <v>500</v>
      </c>
      <c r="C151" s="75">
        <f>VLOOKUP($A151,'Data Vlaue (Cr)'!$C:$FB,8)</f>
        <v>1199.5</v>
      </c>
      <c r="D151" s="75">
        <f>VLOOKUP($A151,'Data Vlaue (Cr)'!$C:$FB,4)</f>
        <v>1202.5999999999999</v>
      </c>
      <c r="E151" s="75">
        <f>VLOOKUP($A151,'Data Vlaue (Cr)'!$C:$FB,5)</f>
        <v>1191</v>
      </c>
      <c r="F151" s="75">
        <f t="shared" si="12"/>
        <v>3.0999999999999091</v>
      </c>
      <c r="G151" s="75">
        <f t="shared" si="13"/>
        <v>0.96457675037418167</v>
      </c>
      <c r="H151" s="75">
        <f>VLOOKUP($A151,'Data Vlaue (Cr)'!$C:$FB,99)</f>
        <v>2962</v>
      </c>
      <c r="I151" s="75">
        <f>VLOOKUP($A151,'Data Vlaue (Cr)'!$C:$FB,100)</f>
        <v>2813</v>
      </c>
      <c r="J151" s="75">
        <f t="shared" si="14"/>
        <v>149</v>
      </c>
      <c r="K151" s="75">
        <f t="shared" si="15"/>
        <v>5.030384875084402</v>
      </c>
      <c r="L151" s="75">
        <f>VLOOKUP($A151,'Data Vlaue (Cr)'!$C:$FB,67)</f>
        <v>1034</v>
      </c>
      <c r="M151" s="75">
        <f>VLOOKUP($A151,'Data Vlaue (Cr)'!$C:$FB,68)</f>
        <v>614</v>
      </c>
      <c r="N151" s="75">
        <f t="shared" si="16"/>
        <v>420</v>
      </c>
      <c r="O151" s="75">
        <f t="shared" si="17"/>
        <v>40.618955512572533</v>
      </c>
      <c r="P151" s="75">
        <f>VLOOKUP($A151,'Data Vlaue (Cr)'!$C:$FB,119)</f>
        <v>0.83</v>
      </c>
      <c r="Q151" s="75">
        <f>VLOOKUP($A151,'Data Vlaue (Cr)'!$C:$FB,122)*100</f>
        <v>6.41</v>
      </c>
      <c r="R151" s="75">
        <f>VLOOKUP($A151,'Data Vlaue (Cr)'!$C:$FB,125)</f>
        <v>0.53</v>
      </c>
      <c r="S151" s="75">
        <f>VLOOKUP($A151,'Data Vlaue (Cr)'!$C:$FB,128)*100</f>
        <v>8.16</v>
      </c>
    </row>
    <row r="152" spans="1:19" x14ac:dyDescent="0.25">
      <c r="A152" s="96" t="str">
        <f>'Data Vlaue (Cr)'!C143</f>
        <v>NHPC</v>
      </c>
      <c r="B152" s="75">
        <f>VLOOKUP($A152,'Data Vlaue (Cr)'!$C:$FB,2)</f>
        <v>6400</v>
      </c>
      <c r="C152" s="75">
        <f>VLOOKUP($A152,'Data Vlaue (Cr)'!$C:$FB,8)</f>
        <v>86.94</v>
      </c>
      <c r="D152" s="75">
        <f>VLOOKUP($A152,'Data Vlaue (Cr)'!$C:$FB,4)</f>
        <v>87.39</v>
      </c>
      <c r="E152" s="75">
        <f>VLOOKUP($A152,'Data Vlaue (Cr)'!$C:$FB,5)</f>
        <v>87.16</v>
      </c>
      <c r="F152" s="75">
        <f t="shared" si="12"/>
        <v>0.45000000000000284</v>
      </c>
      <c r="G152" s="75">
        <f t="shared" si="13"/>
        <v>0.26318800778121521</v>
      </c>
      <c r="H152" s="75">
        <f>VLOOKUP($A152,'Data Vlaue (Cr)'!$C:$FB,99)</f>
        <v>646</v>
      </c>
      <c r="I152" s="75">
        <f>VLOOKUP($A152,'Data Vlaue (Cr)'!$C:$FB,100)</f>
        <v>637</v>
      </c>
      <c r="J152" s="75">
        <f t="shared" si="14"/>
        <v>9</v>
      </c>
      <c r="K152" s="75">
        <f t="shared" si="15"/>
        <v>1.393188854489164</v>
      </c>
      <c r="L152" s="75">
        <f>VLOOKUP($A152,'Data Vlaue (Cr)'!$C:$FB,67)</f>
        <v>165</v>
      </c>
      <c r="M152" s="75">
        <f>VLOOKUP($A152,'Data Vlaue (Cr)'!$C:$FB,68)</f>
        <v>327</v>
      </c>
      <c r="N152" s="75">
        <f t="shared" si="16"/>
        <v>-162</v>
      </c>
      <c r="O152" s="75">
        <f t="shared" si="17"/>
        <v>-98.181818181818187</v>
      </c>
      <c r="P152" s="75">
        <f>VLOOKUP($A152,'Data Vlaue (Cr)'!$C:$FB,119)</f>
        <v>0.56000000000000005</v>
      </c>
      <c r="Q152" s="75">
        <f>VLOOKUP($A152,'Data Vlaue (Cr)'!$C:$FB,122)*100</f>
        <v>9.8000000000000007</v>
      </c>
      <c r="R152" s="75">
        <f>VLOOKUP($A152,'Data Vlaue (Cr)'!$C:$FB,125)</f>
        <v>0.56000000000000005</v>
      </c>
      <c r="S152" s="75">
        <f>VLOOKUP($A152,'Data Vlaue (Cr)'!$C:$FB,128)*100</f>
        <v>-3.45</v>
      </c>
    </row>
    <row r="153" spans="1:19" x14ac:dyDescent="0.25">
      <c r="A153" s="96" t="str">
        <f>'Data Vlaue (Cr)'!C144</f>
        <v>NIFTY</v>
      </c>
      <c r="B153" s="75">
        <f>VLOOKUP($A153,'Data Vlaue (Cr)'!$C:$FB,2)</f>
        <v>75</v>
      </c>
      <c r="C153" s="75">
        <f>VLOOKUP($A153,'Data Vlaue (Cr)'!$C:$FB,8)</f>
        <v>25285.35</v>
      </c>
      <c r="D153" s="75">
        <f>VLOOKUP($A153,'Data Vlaue (Cr)'!$C:$FB,4)</f>
        <v>25411</v>
      </c>
      <c r="E153" s="75">
        <f>VLOOKUP($A153,'Data Vlaue (Cr)'!$C:$FB,5)</f>
        <v>25273.8</v>
      </c>
      <c r="F153" s="75">
        <f t="shared" si="12"/>
        <v>125.65000000000146</v>
      </c>
      <c r="G153" s="75">
        <f t="shared" si="13"/>
        <v>0.53992365510999463</v>
      </c>
      <c r="H153" s="75">
        <f>VLOOKUP($A153,'Data Vlaue (Cr)'!$C:$FB,99)</f>
        <v>1465094</v>
      </c>
      <c r="I153" s="75">
        <f>VLOOKUP($A153,'Data Vlaue (Cr)'!$C:$FB,100)</f>
        <v>1270562</v>
      </c>
      <c r="J153" s="75">
        <f t="shared" si="14"/>
        <v>194532</v>
      </c>
      <c r="K153" s="75">
        <f t="shared" si="15"/>
        <v>13.277782858983791</v>
      </c>
      <c r="L153" s="75">
        <f>VLOOKUP($A153,'Data Vlaue (Cr)'!$C:$FB,67)</f>
        <v>18737247</v>
      </c>
      <c r="M153" s="75">
        <f>VLOOKUP($A153,'Data Vlaue (Cr)'!$C:$FB,68)</f>
        <v>12875834</v>
      </c>
      <c r="N153" s="75">
        <f t="shared" si="16"/>
        <v>5861413</v>
      </c>
      <c r="O153" s="75">
        <f t="shared" si="17"/>
        <v>31.282146197891294</v>
      </c>
      <c r="P153" s="75">
        <f>VLOOKUP($A153,'Data Vlaue (Cr)'!$C:$FB,119)</f>
        <v>1.32</v>
      </c>
      <c r="Q153" s="75">
        <f>VLOOKUP($A153,'Data Vlaue (Cr)'!$C:$FB,122)*100</f>
        <v>24.529999999999998</v>
      </c>
      <c r="R153" s="75">
        <f>VLOOKUP($A153,'Data Vlaue (Cr)'!$C:$FB,125)</f>
        <v>0.93</v>
      </c>
      <c r="S153" s="75">
        <f>VLOOKUP($A153,'Data Vlaue (Cr)'!$C:$FB,128)*100</f>
        <v>4.49</v>
      </c>
    </row>
    <row r="154" spans="1:19" x14ac:dyDescent="0.25">
      <c r="A154" s="96" t="str">
        <f>'Data Vlaue (Cr)'!C145</f>
        <v>NIFTYNXT50</v>
      </c>
      <c r="B154" s="75">
        <f>VLOOKUP($A154,'Data Vlaue (Cr)'!$C:$FB,2)</f>
        <v>25</v>
      </c>
      <c r="C154" s="75">
        <f>VLOOKUP($A154,'Data Vlaue (Cr)'!$C:$FB,8)</f>
        <v>68687.25</v>
      </c>
      <c r="D154" s="75">
        <f>VLOOKUP($A154,'Data Vlaue (Cr)'!$C:$FB,4)</f>
        <v>68958.600000000006</v>
      </c>
      <c r="E154" s="75">
        <f>VLOOKUP($A154,'Data Vlaue (Cr)'!$C:$FB,5)</f>
        <v>68778</v>
      </c>
      <c r="F154" s="75">
        <f t="shared" si="12"/>
        <v>271.35000000000582</v>
      </c>
      <c r="G154" s="75">
        <f t="shared" si="13"/>
        <v>0.26189626819570844</v>
      </c>
      <c r="H154" s="75">
        <f>VLOOKUP($A154,'Data Vlaue (Cr)'!$C:$FB,99)</f>
        <v>223</v>
      </c>
      <c r="I154" s="75">
        <f>VLOOKUP($A154,'Data Vlaue (Cr)'!$C:$FB,100)</f>
        <v>218</v>
      </c>
      <c r="J154" s="75">
        <f t="shared" si="14"/>
        <v>5</v>
      </c>
      <c r="K154" s="75">
        <f t="shared" si="15"/>
        <v>2.2421524663677128</v>
      </c>
      <c r="L154" s="75">
        <f>VLOOKUP($A154,'Data Vlaue (Cr)'!$C:$FB,67)</f>
        <v>115</v>
      </c>
      <c r="M154" s="75">
        <f>VLOOKUP($A154,'Data Vlaue (Cr)'!$C:$FB,68)</f>
        <v>75</v>
      </c>
      <c r="N154" s="75">
        <f t="shared" si="16"/>
        <v>40</v>
      </c>
      <c r="O154" s="75">
        <f t="shared" si="17"/>
        <v>34.782608695652172</v>
      </c>
      <c r="P154" s="75">
        <f>VLOOKUP($A154,'Data Vlaue (Cr)'!$C:$FB,119)</f>
        <v>0.34</v>
      </c>
      <c r="Q154" s="75">
        <f>VLOOKUP($A154,'Data Vlaue (Cr)'!$C:$FB,122)*100</f>
        <v>-22.73</v>
      </c>
      <c r="R154" s="75">
        <f>VLOOKUP($A154,'Data Vlaue (Cr)'!$C:$FB,125)</f>
        <v>0.28000000000000003</v>
      </c>
      <c r="S154" s="75">
        <f>VLOOKUP($A154,'Data Vlaue (Cr)'!$C:$FB,128)*100</f>
        <v>-55.559999999999995</v>
      </c>
    </row>
    <row r="155" spans="1:19" x14ac:dyDescent="0.25">
      <c r="A155" s="96" t="str">
        <f>'Data Vlaue (Cr)'!C146</f>
        <v>NMDC</v>
      </c>
      <c r="B155" s="75">
        <f>VLOOKUP($A155,'Data Vlaue (Cr)'!$C:$FB,2)</f>
        <v>13500</v>
      </c>
      <c r="C155" s="75">
        <f>VLOOKUP($A155,'Data Vlaue (Cr)'!$C:$FB,8)</f>
        <v>77.13</v>
      </c>
      <c r="D155" s="75">
        <f>VLOOKUP($A155,'Data Vlaue (Cr)'!$C:$FB,4)</f>
        <v>77.36</v>
      </c>
      <c r="E155" s="75">
        <f>VLOOKUP($A155,'Data Vlaue (Cr)'!$C:$FB,5)</f>
        <v>79.11</v>
      </c>
      <c r="F155" s="75">
        <f t="shared" si="12"/>
        <v>0.23000000000000398</v>
      </c>
      <c r="G155" s="75">
        <f t="shared" si="13"/>
        <v>-2.2621509824198549</v>
      </c>
      <c r="H155" s="75">
        <f>VLOOKUP($A155,'Data Vlaue (Cr)'!$C:$FB,99)</f>
        <v>3830</v>
      </c>
      <c r="I155" s="75">
        <f>VLOOKUP($A155,'Data Vlaue (Cr)'!$C:$FB,100)</f>
        <v>3641</v>
      </c>
      <c r="J155" s="75">
        <f t="shared" si="14"/>
        <v>189</v>
      </c>
      <c r="K155" s="75">
        <f t="shared" si="15"/>
        <v>4.9347258485639687</v>
      </c>
      <c r="L155" s="75">
        <f>VLOOKUP($A155,'Data Vlaue (Cr)'!$C:$FB,67)</f>
        <v>2546</v>
      </c>
      <c r="M155" s="75">
        <f>VLOOKUP($A155,'Data Vlaue (Cr)'!$C:$FB,68)</f>
        <v>3340</v>
      </c>
      <c r="N155" s="75">
        <f t="shared" si="16"/>
        <v>-794</v>
      </c>
      <c r="O155" s="75">
        <f t="shared" si="17"/>
        <v>-31.186174391201888</v>
      </c>
      <c r="P155" s="75">
        <f>VLOOKUP($A155,'Data Vlaue (Cr)'!$C:$FB,119)</f>
        <v>0.56999999999999995</v>
      </c>
      <c r="Q155" s="75">
        <f>VLOOKUP($A155,'Data Vlaue (Cr)'!$C:$FB,122)*100</f>
        <v>-17.39</v>
      </c>
      <c r="R155" s="75">
        <f>VLOOKUP($A155,'Data Vlaue (Cr)'!$C:$FB,125)</f>
        <v>0.45</v>
      </c>
      <c r="S155" s="75">
        <f>VLOOKUP($A155,'Data Vlaue (Cr)'!$C:$FB,128)*100</f>
        <v>-2.17</v>
      </c>
    </row>
    <row r="156" spans="1:19" x14ac:dyDescent="0.25">
      <c r="A156" s="96" t="str">
        <f>'Data Vlaue (Cr)'!C147</f>
        <v>NTPC</v>
      </c>
      <c r="B156" s="75">
        <f>VLOOKUP($A156,'Data Vlaue (Cr)'!$C:$FB,2)</f>
        <v>1500</v>
      </c>
      <c r="C156" s="75">
        <f>VLOOKUP($A156,'Data Vlaue (Cr)'!$C:$FB,8)</f>
        <v>339.7</v>
      </c>
      <c r="D156" s="75">
        <f>VLOOKUP($A156,'Data Vlaue (Cr)'!$C:$FB,4)</f>
        <v>340.7</v>
      </c>
      <c r="E156" s="75">
        <f>VLOOKUP($A156,'Data Vlaue (Cr)'!$C:$FB,5)</f>
        <v>336.6</v>
      </c>
      <c r="F156" s="75">
        <f t="shared" si="12"/>
        <v>1</v>
      </c>
      <c r="G156" s="75">
        <f t="shared" si="13"/>
        <v>1.2034047549163387</v>
      </c>
      <c r="H156" s="75">
        <f>VLOOKUP($A156,'Data Vlaue (Cr)'!$C:$FB,99)</f>
        <v>5242</v>
      </c>
      <c r="I156" s="75">
        <f>VLOOKUP($A156,'Data Vlaue (Cr)'!$C:$FB,100)</f>
        <v>5202</v>
      </c>
      <c r="J156" s="75">
        <f t="shared" si="14"/>
        <v>40</v>
      </c>
      <c r="K156" s="75">
        <f t="shared" si="15"/>
        <v>0.76306753147653572</v>
      </c>
      <c r="L156" s="75">
        <f>VLOOKUP($A156,'Data Vlaue (Cr)'!$C:$FB,67)</f>
        <v>3285</v>
      </c>
      <c r="M156" s="75">
        <f>VLOOKUP($A156,'Data Vlaue (Cr)'!$C:$FB,68)</f>
        <v>2075</v>
      </c>
      <c r="N156" s="75">
        <f t="shared" si="16"/>
        <v>1210</v>
      </c>
      <c r="O156" s="75">
        <f t="shared" si="17"/>
        <v>36.834094368340942</v>
      </c>
      <c r="P156" s="75">
        <f>VLOOKUP($A156,'Data Vlaue (Cr)'!$C:$FB,119)</f>
        <v>0.46</v>
      </c>
      <c r="Q156" s="75">
        <f>VLOOKUP($A156,'Data Vlaue (Cr)'!$C:$FB,122)*100</f>
        <v>-8</v>
      </c>
      <c r="R156" s="75">
        <f>VLOOKUP($A156,'Data Vlaue (Cr)'!$C:$FB,125)</f>
        <v>0.51</v>
      </c>
      <c r="S156" s="75">
        <f>VLOOKUP($A156,'Data Vlaue (Cr)'!$C:$FB,128)*100</f>
        <v>10.870000000000001</v>
      </c>
    </row>
    <row r="157" spans="1:19" x14ac:dyDescent="0.25">
      <c r="A157" s="96" t="str">
        <f>'Data Vlaue (Cr)'!C148</f>
        <v>NUVAMA</v>
      </c>
      <c r="B157" s="75">
        <f>VLOOKUP($A157,'Data Vlaue (Cr)'!$C:$FB,2)</f>
        <v>75</v>
      </c>
      <c r="C157" s="75">
        <f>VLOOKUP($A157,'Data Vlaue (Cr)'!$C:$FB,8)</f>
        <v>7235.5</v>
      </c>
      <c r="D157" s="75">
        <f>VLOOKUP($A157,'Data Vlaue (Cr)'!$C:$FB,4)</f>
        <v>7246.5</v>
      </c>
      <c r="E157" s="75">
        <f>VLOOKUP($A157,'Data Vlaue (Cr)'!$C:$FB,5)</f>
        <v>7170</v>
      </c>
      <c r="F157" s="75">
        <f t="shared" si="12"/>
        <v>11</v>
      </c>
      <c r="G157" s="75">
        <f t="shared" si="13"/>
        <v>1.0556820534050921</v>
      </c>
      <c r="H157" s="75">
        <f>VLOOKUP($A157,'Data Vlaue (Cr)'!$C:$FB,99)</f>
        <v>614</v>
      </c>
      <c r="I157" s="75">
        <f>VLOOKUP($A157,'Data Vlaue (Cr)'!$C:$FB,100)</f>
        <v>553</v>
      </c>
      <c r="J157" s="75">
        <f t="shared" si="14"/>
        <v>61</v>
      </c>
      <c r="K157" s="75">
        <f t="shared" si="15"/>
        <v>9.9348534201954397</v>
      </c>
      <c r="L157" s="75">
        <f>VLOOKUP($A157,'Data Vlaue (Cr)'!$C:$FB,67)</f>
        <v>659</v>
      </c>
      <c r="M157" s="75">
        <f>VLOOKUP($A157,'Data Vlaue (Cr)'!$C:$FB,68)</f>
        <v>463</v>
      </c>
      <c r="N157" s="75">
        <f t="shared" si="16"/>
        <v>196</v>
      </c>
      <c r="O157" s="75">
        <f t="shared" si="17"/>
        <v>29.742033383915022</v>
      </c>
      <c r="P157" s="75">
        <f>VLOOKUP($A157,'Data Vlaue (Cr)'!$C:$FB,119)</f>
        <v>1.04</v>
      </c>
      <c r="Q157" s="75">
        <f>VLOOKUP($A157,'Data Vlaue (Cr)'!$C:$FB,122)*100</f>
        <v>8.33</v>
      </c>
      <c r="R157" s="75">
        <f>VLOOKUP($A157,'Data Vlaue (Cr)'!$C:$FB,125)</f>
        <v>0.54</v>
      </c>
      <c r="S157" s="75">
        <f>VLOOKUP($A157,'Data Vlaue (Cr)'!$C:$FB,128)*100</f>
        <v>-5.26</v>
      </c>
    </row>
    <row r="158" spans="1:19" x14ac:dyDescent="0.25">
      <c r="A158" s="96" t="str">
        <f>'Data Vlaue (Cr)'!C149</f>
        <v>NYKAA</v>
      </c>
      <c r="B158" s="75">
        <f>VLOOKUP($A158,'Data Vlaue (Cr)'!$C:$FB,2)</f>
        <v>3125</v>
      </c>
      <c r="C158" s="75">
        <f>VLOOKUP($A158,'Data Vlaue (Cr)'!$C:$FB,8)</f>
        <v>265.19</v>
      </c>
      <c r="D158" s="75">
        <f>VLOOKUP($A158,'Data Vlaue (Cr)'!$C:$FB,4)</f>
        <v>264.39999999999998</v>
      </c>
      <c r="E158" s="75">
        <f>VLOOKUP($A158,'Data Vlaue (Cr)'!$C:$FB,5)</f>
        <v>263.38</v>
      </c>
      <c r="F158" s="75">
        <f t="shared" si="12"/>
        <v>-0.79000000000002046</v>
      </c>
      <c r="G158" s="75">
        <f t="shared" si="13"/>
        <v>0.3857791225415968</v>
      </c>
      <c r="H158" s="75">
        <f>VLOOKUP($A158,'Data Vlaue (Cr)'!$C:$FB,99)</f>
        <v>2438</v>
      </c>
      <c r="I158" s="75">
        <f>VLOOKUP($A158,'Data Vlaue (Cr)'!$C:$FB,100)</f>
        <v>2405</v>
      </c>
      <c r="J158" s="75">
        <f t="shared" si="14"/>
        <v>33</v>
      </c>
      <c r="K158" s="75">
        <f t="shared" si="15"/>
        <v>1.3535684987694832</v>
      </c>
      <c r="L158" s="75">
        <f>VLOOKUP($A158,'Data Vlaue (Cr)'!$C:$FB,67)</f>
        <v>1355</v>
      </c>
      <c r="M158" s="75">
        <f>VLOOKUP($A158,'Data Vlaue (Cr)'!$C:$FB,68)</f>
        <v>2137</v>
      </c>
      <c r="N158" s="75">
        <f t="shared" si="16"/>
        <v>-782</v>
      </c>
      <c r="O158" s="75">
        <f t="shared" si="17"/>
        <v>-57.712177121771212</v>
      </c>
      <c r="P158" s="75">
        <f>VLOOKUP($A158,'Data Vlaue (Cr)'!$C:$FB,119)</f>
        <v>0.76</v>
      </c>
      <c r="Q158" s="75">
        <f>VLOOKUP($A158,'Data Vlaue (Cr)'!$C:$FB,122)*100</f>
        <v>7.04</v>
      </c>
      <c r="R158" s="75">
        <f>VLOOKUP($A158,'Data Vlaue (Cr)'!$C:$FB,125)</f>
        <v>0.49</v>
      </c>
      <c r="S158" s="75">
        <f>VLOOKUP($A158,'Data Vlaue (Cr)'!$C:$FB,128)*100</f>
        <v>13.950000000000001</v>
      </c>
    </row>
    <row r="159" spans="1:19" x14ac:dyDescent="0.25">
      <c r="A159" s="96" t="str">
        <f>'Data Vlaue (Cr)'!C150</f>
        <v>OBEROIRLTY</v>
      </c>
      <c r="B159" s="75">
        <f>VLOOKUP($A159,'Data Vlaue (Cr)'!$C:$FB,2)</f>
        <v>350</v>
      </c>
      <c r="C159" s="75">
        <f>VLOOKUP($A159,'Data Vlaue (Cr)'!$C:$FB,8)</f>
        <v>1599.6</v>
      </c>
      <c r="D159" s="75">
        <f>VLOOKUP($A159,'Data Vlaue (Cr)'!$C:$FB,4)</f>
        <v>1607.5</v>
      </c>
      <c r="E159" s="75">
        <f>VLOOKUP($A159,'Data Vlaue (Cr)'!$C:$FB,5)</f>
        <v>1595.2</v>
      </c>
      <c r="F159" s="75">
        <f t="shared" si="12"/>
        <v>7.9000000000000909</v>
      </c>
      <c r="G159" s="75">
        <f t="shared" si="13"/>
        <v>0.76516329704509833</v>
      </c>
      <c r="H159" s="75">
        <f>VLOOKUP($A159,'Data Vlaue (Cr)'!$C:$FB,99)</f>
        <v>1114</v>
      </c>
      <c r="I159" s="75">
        <f>VLOOKUP($A159,'Data Vlaue (Cr)'!$C:$FB,100)</f>
        <v>1122</v>
      </c>
      <c r="J159" s="75">
        <f t="shared" si="14"/>
        <v>-8</v>
      </c>
      <c r="K159" s="75">
        <f t="shared" si="15"/>
        <v>-0.71813285457809695</v>
      </c>
      <c r="L159" s="75">
        <f>VLOOKUP($A159,'Data Vlaue (Cr)'!$C:$FB,67)</f>
        <v>455</v>
      </c>
      <c r="M159" s="75">
        <f>VLOOKUP($A159,'Data Vlaue (Cr)'!$C:$FB,68)</f>
        <v>533</v>
      </c>
      <c r="N159" s="75">
        <f t="shared" si="16"/>
        <v>-78</v>
      </c>
      <c r="O159" s="75">
        <f t="shared" si="17"/>
        <v>-17.142857142857142</v>
      </c>
      <c r="P159" s="75">
        <f>VLOOKUP($A159,'Data Vlaue (Cr)'!$C:$FB,119)</f>
        <v>0.8</v>
      </c>
      <c r="Q159" s="75">
        <f>VLOOKUP($A159,'Data Vlaue (Cr)'!$C:$FB,122)*100</f>
        <v>5.26</v>
      </c>
      <c r="R159" s="75">
        <f>VLOOKUP($A159,'Data Vlaue (Cr)'!$C:$FB,125)</f>
        <v>0.27</v>
      </c>
      <c r="S159" s="75">
        <f>VLOOKUP($A159,'Data Vlaue (Cr)'!$C:$FB,128)*100</f>
        <v>-40</v>
      </c>
    </row>
    <row r="160" spans="1:19" x14ac:dyDescent="0.25">
      <c r="A160" s="96" t="str">
        <f>'Data Vlaue (Cr)'!C151</f>
        <v>OFSS</v>
      </c>
      <c r="B160" s="75">
        <f>VLOOKUP($A160,'Data Vlaue (Cr)'!$C:$FB,2)</f>
        <v>75</v>
      </c>
      <c r="C160" s="75">
        <f>VLOOKUP($A160,'Data Vlaue (Cr)'!$C:$FB,8)</f>
        <v>9213</v>
      </c>
      <c r="D160" s="75">
        <f>VLOOKUP($A160,'Data Vlaue (Cr)'!$C:$FB,4)</f>
        <v>9266.5</v>
      </c>
      <c r="E160" s="75">
        <f>VLOOKUP($A160,'Data Vlaue (Cr)'!$C:$FB,5)</f>
        <v>9365</v>
      </c>
      <c r="F160" s="75">
        <f t="shared" si="12"/>
        <v>53.5</v>
      </c>
      <c r="G160" s="75">
        <f t="shared" si="13"/>
        <v>-1.0629687584309071</v>
      </c>
      <c r="H160" s="75">
        <f>VLOOKUP($A160,'Data Vlaue (Cr)'!$C:$FB,99)</f>
        <v>1800</v>
      </c>
      <c r="I160" s="75">
        <f>VLOOKUP($A160,'Data Vlaue (Cr)'!$C:$FB,100)</f>
        <v>1689</v>
      </c>
      <c r="J160" s="75">
        <f t="shared" si="14"/>
        <v>111</v>
      </c>
      <c r="K160" s="75">
        <f t="shared" si="15"/>
        <v>6.166666666666667</v>
      </c>
      <c r="L160" s="75">
        <f>VLOOKUP($A160,'Data Vlaue (Cr)'!$C:$FB,67)</f>
        <v>1392</v>
      </c>
      <c r="M160" s="75">
        <f>VLOOKUP($A160,'Data Vlaue (Cr)'!$C:$FB,68)</f>
        <v>1523</v>
      </c>
      <c r="N160" s="75">
        <f t="shared" si="16"/>
        <v>-131</v>
      </c>
      <c r="O160" s="75">
        <f t="shared" si="17"/>
        <v>-9.4109195402298855</v>
      </c>
      <c r="P160" s="75">
        <f>VLOOKUP($A160,'Data Vlaue (Cr)'!$C:$FB,119)</f>
        <v>0.57999999999999996</v>
      </c>
      <c r="Q160" s="75">
        <f>VLOOKUP($A160,'Data Vlaue (Cr)'!$C:$FB,122)*100</f>
        <v>-12.120000000000001</v>
      </c>
      <c r="R160" s="75">
        <f>VLOOKUP($A160,'Data Vlaue (Cr)'!$C:$FB,125)</f>
        <v>0.4</v>
      </c>
      <c r="S160" s="75">
        <f>VLOOKUP($A160,'Data Vlaue (Cr)'!$C:$FB,128)*100</f>
        <v>8.1100000000000012</v>
      </c>
    </row>
    <row r="161" spans="1:19" x14ac:dyDescent="0.25">
      <c r="A161" s="96" t="str">
        <f>'Data Vlaue (Cr)'!C152</f>
        <v>OIL</v>
      </c>
      <c r="B161" s="75">
        <f>VLOOKUP($A161,'Data Vlaue (Cr)'!$C:$FB,2)</f>
        <v>1400</v>
      </c>
      <c r="C161" s="75">
        <f>VLOOKUP($A161,'Data Vlaue (Cr)'!$C:$FB,8)</f>
        <v>418.2</v>
      </c>
      <c r="D161" s="75">
        <f>VLOOKUP($A161,'Data Vlaue (Cr)'!$C:$FB,4)</f>
        <v>417.9</v>
      </c>
      <c r="E161" s="75">
        <f>VLOOKUP($A161,'Data Vlaue (Cr)'!$C:$FB,5)</f>
        <v>419.25</v>
      </c>
      <c r="F161" s="75">
        <f t="shared" si="12"/>
        <v>-0.30000000000001137</v>
      </c>
      <c r="G161" s="75">
        <f t="shared" si="13"/>
        <v>-0.32304379038047926</v>
      </c>
      <c r="H161" s="75">
        <f>VLOOKUP($A161,'Data Vlaue (Cr)'!$C:$FB,99)</f>
        <v>804</v>
      </c>
      <c r="I161" s="75">
        <f>VLOOKUP($A161,'Data Vlaue (Cr)'!$C:$FB,100)</f>
        <v>783</v>
      </c>
      <c r="J161" s="75">
        <f t="shared" si="14"/>
        <v>21</v>
      </c>
      <c r="K161" s="75">
        <f t="shared" si="15"/>
        <v>2.6119402985074625</v>
      </c>
      <c r="L161" s="75">
        <f>VLOOKUP($A161,'Data Vlaue (Cr)'!$C:$FB,67)</f>
        <v>163</v>
      </c>
      <c r="M161" s="75">
        <f>VLOOKUP($A161,'Data Vlaue (Cr)'!$C:$FB,68)</f>
        <v>195</v>
      </c>
      <c r="N161" s="75">
        <f t="shared" si="16"/>
        <v>-32</v>
      </c>
      <c r="O161" s="75">
        <f t="shared" si="17"/>
        <v>-19.631901840490798</v>
      </c>
      <c r="P161" s="75">
        <f>VLOOKUP($A161,'Data Vlaue (Cr)'!$C:$FB,119)</f>
        <v>0.6</v>
      </c>
      <c r="Q161" s="75">
        <f>VLOOKUP($A161,'Data Vlaue (Cr)'!$C:$FB,122)*100</f>
        <v>0</v>
      </c>
      <c r="R161" s="75">
        <f>VLOOKUP($A161,'Data Vlaue (Cr)'!$C:$FB,125)</f>
        <v>0.51</v>
      </c>
      <c r="S161" s="75">
        <f>VLOOKUP($A161,'Data Vlaue (Cr)'!$C:$FB,128)*100</f>
        <v>-12.07</v>
      </c>
    </row>
    <row r="162" spans="1:19" x14ac:dyDescent="0.25">
      <c r="A162" s="96" t="str">
        <f>'Data Vlaue (Cr)'!C153</f>
        <v>ONGC</v>
      </c>
      <c r="B162" s="75">
        <f>VLOOKUP($A162,'Data Vlaue (Cr)'!$C:$FB,2)</f>
        <v>2250</v>
      </c>
      <c r="C162" s="75">
        <f>VLOOKUP($A162,'Data Vlaue (Cr)'!$C:$FB,8)</f>
        <v>246.34</v>
      </c>
      <c r="D162" s="75">
        <f>VLOOKUP($A162,'Data Vlaue (Cr)'!$C:$FB,4)</f>
        <v>246.82</v>
      </c>
      <c r="E162" s="75">
        <f>VLOOKUP($A162,'Data Vlaue (Cr)'!$C:$FB,5)</f>
        <v>244.72</v>
      </c>
      <c r="F162" s="75">
        <f t="shared" si="12"/>
        <v>0.47999999999998977</v>
      </c>
      <c r="G162" s="75">
        <f t="shared" si="13"/>
        <v>0.85082246171298692</v>
      </c>
      <c r="H162" s="75">
        <f>VLOOKUP($A162,'Data Vlaue (Cr)'!$C:$FB,99)</f>
        <v>4249</v>
      </c>
      <c r="I162" s="75">
        <f>VLOOKUP($A162,'Data Vlaue (Cr)'!$C:$FB,100)</f>
        <v>4276</v>
      </c>
      <c r="J162" s="75">
        <f t="shared" si="14"/>
        <v>-27</v>
      </c>
      <c r="K162" s="75">
        <f t="shared" si="15"/>
        <v>-0.6354436337961874</v>
      </c>
      <c r="L162" s="75">
        <f>VLOOKUP($A162,'Data Vlaue (Cr)'!$C:$FB,67)</f>
        <v>2101</v>
      </c>
      <c r="M162" s="75">
        <f>VLOOKUP($A162,'Data Vlaue (Cr)'!$C:$FB,68)</f>
        <v>1713</v>
      </c>
      <c r="N162" s="75">
        <f t="shared" si="16"/>
        <v>388</v>
      </c>
      <c r="O162" s="75">
        <f t="shared" si="17"/>
        <v>18.46739647786768</v>
      </c>
      <c r="P162" s="75">
        <f>VLOOKUP($A162,'Data Vlaue (Cr)'!$C:$FB,119)</f>
        <v>0.35</v>
      </c>
      <c r="Q162" s="75">
        <f>VLOOKUP($A162,'Data Vlaue (Cr)'!$C:$FB,122)*100</f>
        <v>6.0600000000000005</v>
      </c>
      <c r="R162" s="75">
        <f>VLOOKUP($A162,'Data Vlaue (Cr)'!$C:$FB,125)</f>
        <v>0.52</v>
      </c>
      <c r="S162" s="75">
        <f>VLOOKUP($A162,'Data Vlaue (Cr)'!$C:$FB,128)*100</f>
        <v>15.559999999999999</v>
      </c>
    </row>
    <row r="163" spans="1:19" x14ac:dyDescent="0.25">
      <c r="A163" s="96" t="str">
        <f>'Data Vlaue (Cr)'!C154</f>
        <v>PAGEIND</v>
      </c>
      <c r="B163" s="75">
        <f>VLOOKUP($A163,'Data Vlaue (Cr)'!$C:$FB,2)</f>
        <v>15</v>
      </c>
      <c r="C163" s="75">
        <f>VLOOKUP($A163,'Data Vlaue (Cr)'!$C:$FB,8)</f>
        <v>41640</v>
      </c>
      <c r="D163" s="75">
        <f>VLOOKUP($A163,'Data Vlaue (Cr)'!$C:$FB,4)</f>
        <v>41440</v>
      </c>
      <c r="E163" s="75">
        <f>VLOOKUP($A163,'Data Vlaue (Cr)'!$C:$FB,5)</f>
        <v>41660</v>
      </c>
      <c r="F163" s="75">
        <f t="shared" si="12"/>
        <v>-200</v>
      </c>
      <c r="G163" s="75">
        <f t="shared" si="13"/>
        <v>-0.53088803088803083</v>
      </c>
      <c r="H163" s="75">
        <f>VLOOKUP($A163,'Data Vlaue (Cr)'!$C:$FB,99)</f>
        <v>1410</v>
      </c>
      <c r="I163" s="75">
        <f>VLOOKUP($A163,'Data Vlaue (Cr)'!$C:$FB,100)</f>
        <v>1376</v>
      </c>
      <c r="J163" s="75">
        <f t="shared" si="14"/>
        <v>34</v>
      </c>
      <c r="K163" s="75">
        <f t="shared" si="15"/>
        <v>2.4113475177304964</v>
      </c>
      <c r="L163" s="75">
        <f>VLOOKUP($A163,'Data Vlaue (Cr)'!$C:$FB,67)</f>
        <v>392</v>
      </c>
      <c r="M163" s="75">
        <f>VLOOKUP($A163,'Data Vlaue (Cr)'!$C:$FB,68)</f>
        <v>519</v>
      </c>
      <c r="N163" s="75">
        <f t="shared" si="16"/>
        <v>-127</v>
      </c>
      <c r="O163" s="75">
        <f t="shared" si="17"/>
        <v>-32.397959183673471</v>
      </c>
      <c r="P163" s="75">
        <f>VLOOKUP($A163,'Data Vlaue (Cr)'!$C:$FB,119)</f>
        <v>0.41</v>
      </c>
      <c r="Q163" s="75">
        <f>VLOOKUP($A163,'Data Vlaue (Cr)'!$C:$FB,122)*100</f>
        <v>-2.3800000000000003</v>
      </c>
      <c r="R163" s="75">
        <f>VLOOKUP($A163,'Data Vlaue (Cr)'!$C:$FB,125)</f>
        <v>0.19</v>
      </c>
      <c r="S163" s="75">
        <f>VLOOKUP($A163,'Data Vlaue (Cr)'!$C:$FB,128)*100</f>
        <v>72.72999999999999</v>
      </c>
    </row>
    <row r="164" spans="1:19" x14ac:dyDescent="0.25">
      <c r="A164" s="96" t="str">
        <f>'Data Vlaue (Cr)'!C155</f>
        <v>PATANJALI</v>
      </c>
      <c r="B164" s="75">
        <f>VLOOKUP($A164,'Data Vlaue (Cr)'!$C:$FB,2)</f>
        <v>900</v>
      </c>
      <c r="C164" s="75">
        <f>VLOOKUP($A164,'Data Vlaue (Cr)'!$C:$FB,8)</f>
        <v>594.1</v>
      </c>
      <c r="D164" s="75">
        <f>VLOOKUP($A164,'Data Vlaue (Cr)'!$C:$FB,4)</f>
        <v>594.75</v>
      </c>
      <c r="E164" s="75">
        <f>VLOOKUP($A164,'Data Vlaue (Cr)'!$C:$FB,5)</f>
        <v>597.25</v>
      </c>
      <c r="F164" s="75">
        <f t="shared" si="12"/>
        <v>0.64999999999997726</v>
      </c>
      <c r="G164" s="75">
        <f t="shared" si="13"/>
        <v>-0.4203446826397646</v>
      </c>
      <c r="H164" s="75">
        <f>VLOOKUP($A164,'Data Vlaue (Cr)'!$C:$FB,99)</f>
        <v>2457</v>
      </c>
      <c r="I164" s="75">
        <f>VLOOKUP($A164,'Data Vlaue (Cr)'!$C:$FB,100)</f>
        <v>2423</v>
      </c>
      <c r="J164" s="75">
        <f t="shared" si="14"/>
        <v>34</v>
      </c>
      <c r="K164" s="75">
        <f t="shared" si="15"/>
        <v>1.3838013838013838</v>
      </c>
      <c r="L164" s="75">
        <f>VLOOKUP($A164,'Data Vlaue (Cr)'!$C:$FB,67)</f>
        <v>350</v>
      </c>
      <c r="M164" s="75">
        <f>VLOOKUP($A164,'Data Vlaue (Cr)'!$C:$FB,68)</f>
        <v>458</v>
      </c>
      <c r="N164" s="75">
        <f t="shared" si="16"/>
        <v>-108</v>
      </c>
      <c r="O164" s="75">
        <f t="shared" si="17"/>
        <v>-30.857142857142854</v>
      </c>
      <c r="P164" s="75">
        <f>VLOOKUP($A164,'Data Vlaue (Cr)'!$C:$FB,119)</f>
        <v>0.43</v>
      </c>
      <c r="Q164" s="75">
        <f>VLOOKUP($A164,'Data Vlaue (Cr)'!$C:$FB,122)*100</f>
        <v>-10.42</v>
      </c>
      <c r="R164" s="75">
        <f>VLOOKUP($A164,'Data Vlaue (Cr)'!$C:$FB,125)</f>
        <v>0.45</v>
      </c>
      <c r="S164" s="75">
        <f>VLOOKUP($A164,'Data Vlaue (Cr)'!$C:$FB,128)*100</f>
        <v>-49.44</v>
      </c>
    </row>
    <row r="165" spans="1:19" x14ac:dyDescent="0.25">
      <c r="A165" s="96" t="str">
        <f>'Data Vlaue (Cr)'!C156</f>
        <v>PAYTM</v>
      </c>
      <c r="B165" s="75">
        <f>VLOOKUP($A165,'Data Vlaue (Cr)'!$C:$FB,2)</f>
        <v>725</v>
      </c>
      <c r="C165" s="75">
        <f>VLOOKUP($A165,'Data Vlaue (Cr)'!$C:$FB,8)</f>
        <v>1236.9000000000001</v>
      </c>
      <c r="D165" s="75">
        <f>VLOOKUP($A165,'Data Vlaue (Cr)'!$C:$FB,4)</f>
        <v>1243.2</v>
      </c>
      <c r="E165" s="75">
        <f>VLOOKUP($A165,'Data Vlaue (Cr)'!$C:$FB,5)</f>
        <v>1253.9000000000001</v>
      </c>
      <c r="F165" s="75">
        <f t="shared" si="12"/>
        <v>6.2999999999999545</v>
      </c>
      <c r="G165" s="75">
        <f t="shared" si="13"/>
        <v>-0.86068211068211431</v>
      </c>
      <c r="H165" s="75">
        <f>VLOOKUP($A165,'Data Vlaue (Cr)'!$C:$FB,99)</f>
        <v>4880</v>
      </c>
      <c r="I165" s="75">
        <f>VLOOKUP($A165,'Data Vlaue (Cr)'!$C:$FB,100)</f>
        <v>4917</v>
      </c>
      <c r="J165" s="75">
        <f t="shared" si="14"/>
        <v>-37</v>
      </c>
      <c r="K165" s="75">
        <f t="shared" si="15"/>
        <v>-0.75819672131147542</v>
      </c>
      <c r="L165" s="75">
        <f>VLOOKUP($A165,'Data Vlaue (Cr)'!$C:$FB,67)</f>
        <v>3249</v>
      </c>
      <c r="M165" s="75">
        <f>VLOOKUP($A165,'Data Vlaue (Cr)'!$C:$FB,68)</f>
        <v>3205</v>
      </c>
      <c r="N165" s="75">
        <f t="shared" si="16"/>
        <v>44</v>
      </c>
      <c r="O165" s="75">
        <f t="shared" si="17"/>
        <v>1.3542628501077256</v>
      </c>
      <c r="P165" s="75">
        <f>VLOOKUP($A165,'Data Vlaue (Cr)'!$C:$FB,119)</f>
        <v>0.87</v>
      </c>
      <c r="Q165" s="75">
        <f>VLOOKUP($A165,'Data Vlaue (Cr)'!$C:$FB,122)*100</f>
        <v>-1.1400000000000001</v>
      </c>
      <c r="R165" s="75">
        <f>VLOOKUP($A165,'Data Vlaue (Cr)'!$C:$FB,125)</f>
        <v>0.57999999999999996</v>
      </c>
      <c r="S165" s="75">
        <f>VLOOKUP($A165,'Data Vlaue (Cr)'!$C:$FB,128)*100</f>
        <v>-3.3300000000000005</v>
      </c>
    </row>
    <row r="166" spans="1:19" x14ac:dyDescent="0.25">
      <c r="A166" s="96" t="str">
        <f>'Data Vlaue (Cr)'!C157</f>
        <v>PERSISTENT</v>
      </c>
      <c r="B166" s="75">
        <f>VLOOKUP($A166,'Data Vlaue (Cr)'!$C:$FB,2)</f>
        <v>100</v>
      </c>
      <c r="C166" s="75">
        <f>VLOOKUP($A166,'Data Vlaue (Cr)'!$C:$FB,8)</f>
        <v>5357.7</v>
      </c>
      <c r="D166" s="75">
        <f>VLOOKUP($A166,'Data Vlaue (Cr)'!$C:$FB,4)</f>
        <v>5382.9</v>
      </c>
      <c r="E166" s="75">
        <f>VLOOKUP($A166,'Data Vlaue (Cr)'!$C:$FB,5)</f>
        <v>5374.5</v>
      </c>
      <c r="F166" s="75">
        <f t="shared" si="12"/>
        <v>25.199999999999818</v>
      </c>
      <c r="G166" s="75">
        <f t="shared" si="13"/>
        <v>0.15604971297998546</v>
      </c>
      <c r="H166" s="75">
        <f>VLOOKUP($A166,'Data Vlaue (Cr)'!$C:$FB,99)</f>
        <v>2501</v>
      </c>
      <c r="I166" s="75">
        <f>VLOOKUP($A166,'Data Vlaue (Cr)'!$C:$FB,100)</f>
        <v>2513</v>
      </c>
      <c r="J166" s="75">
        <f t="shared" si="14"/>
        <v>-12</v>
      </c>
      <c r="K166" s="75">
        <f t="shared" si="15"/>
        <v>-0.47980807676929227</v>
      </c>
      <c r="L166" s="75">
        <f>VLOOKUP($A166,'Data Vlaue (Cr)'!$C:$FB,67)</f>
        <v>1193</v>
      </c>
      <c r="M166" s="75">
        <f>VLOOKUP($A166,'Data Vlaue (Cr)'!$C:$FB,68)</f>
        <v>1105</v>
      </c>
      <c r="N166" s="75">
        <f t="shared" si="16"/>
        <v>88</v>
      </c>
      <c r="O166" s="75">
        <f t="shared" si="17"/>
        <v>7.3763621123218766</v>
      </c>
      <c r="P166" s="75">
        <f>VLOOKUP($A166,'Data Vlaue (Cr)'!$C:$FB,119)</f>
        <v>0.69</v>
      </c>
      <c r="Q166" s="75">
        <f>VLOOKUP($A166,'Data Vlaue (Cr)'!$C:$FB,122)*100</f>
        <v>-1.43</v>
      </c>
      <c r="R166" s="75">
        <f>VLOOKUP($A166,'Data Vlaue (Cr)'!$C:$FB,125)</f>
        <v>0.63</v>
      </c>
      <c r="S166" s="75">
        <f>VLOOKUP($A166,'Data Vlaue (Cr)'!$C:$FB,128)*100</f>
        <v>6.78</v>
      </c>
    </row>
    <row r="167" spans="1:19" x14ac:dyDescent="0.25">
      <c r="A167" s="96" t="str">
        <f>'Data Vlaue (Cr)'!C158</f>
        <v>PETRONET</v>
      </c>
      <c r="B167" s="75">
        <f>VLOOKUP($A167,'Data Vlaue (Cr)'!$C:$FB,2)</f>
        <v>1800</v>
      </c>
      <c r="C167" s="75">
        <f>VLOOKUP($A167,'Data Vlaue (Cr)'!$C:$FB,8)</f>
        <v>281.45</v>
      </c>
      <c r="D167" s="75">
        <f>VLOOKUP($A167,'Data Vlaue (Cr)'!$C:$FB,4)</f>
        <v>282.55</v>
      </c>
      <c r="E167" s="75">
        <f>VLOOKUP($A167,'Data Vlaue (Cr)'!$C:$FB,5)</f>
        <v>284.55</v>
      </c>
      <c r="F167" s="75">
        <f t="shared" si="12"/>
        <v>1.1000000000000227</v>
      </c>
      <c r="G167" s="75">
        <f t="shared" si="13"/>
        <v>-0.70783932047425224</v>
      </c>
      <c r="H167" s="75">
        <f>VLOOKUP($A167,'Data Vlaue (Cr)'!$C:$FB,99)</f>
        <v>2077</v>
      </c>
      <c r="I167" s="75">
        <f>VLOOKUP($A167,'Data Vlaue (Cr)'!$C:$FB,100)</f>
        <v>2056</v>
      </c>
      <c r="J167" s="75">
        <f t="shared" si="14"/>
        <v>21</v>
      </c>
      <c r="K167" s="75">
        <f t="shared" si="15"/>
        <v>1.0110736639383726</v>
      </c>
      <c r="L167" s="75">
        <f>VLOOKUP($A167,'Data Vlaue (Cr)'!$C:$FB,67)</f>
        <v>239</v>
      </c>
      <c r="M167" s="75">
        <f>VLOOKUP($A167,'Data Vlaue (Cr)'!$C:$FB,68)</f>
        <v>211</v>
      </c>
      <c r="N167" s="75">
        <f t="shared" si="16"/>
        <v>28</v>
      </c>
      <c r="O167" s="75">
        <f t="shared" si="17"/>
        <v>11.715481171548117</v>
      </c>
      <c r="P167" s="75">
        <f>VLOOKUP($A167,'Data Vlaue (Cr)'!$C:$FB,119)</f>
        <v>1.01</v>
      </c>
      <c r="Q167" s="75">
        <f>VLOOKUP($A167,'Data Vlaue (Cr)'!$C:$FB,122)*100</f>
        <v>-1.94</v>
      </c>
      <c r="R167" s="75">
        <f>VLOOKUP($A167,'Data Vlaue (Cr)'!$C:$FB,125)</f>
        <v>0.34</v>
      </c>
      <c r="S167" s="75">
        <f>VLOOKUP($A167,'Data Vlaue (Cr)'!$C:$FB,128)*100</f>
        <v>17.239999999999998</v>
      </c>
    </row>
    <row r="168" spans="1:19" x14ac:dyDescent="0.25">
      <c r="A168" s="96" t="str">
        <f>'Data Vlaue (Cr)'!C159</f>
        <v>PFC</v>
      </c>
      <c r="B168" s="75">
        <f>VLOOKUP($A168,'Data Vlaue (Cr)'!$C:$FB,2)</f>
        <v>1300</v>
      </c>
      <c r="C168" s="75">
        <f>VLOOKUP($A168,'Data Vlaue (Cr)'!$C:$FB,8)</f>
        <v>403.85</v>
      </c>
      <c r="D168" s="75">
        <f>VLOOKUP($A168,'Data Vlaue (Cr)'!$C:$FB,4)</f>
        <v>405.8</v>
      </c>
      <c r="E168" s="75">
        <f>VLOOKUP($A168,'Data Vlaue (Cr)'!$C:$FB,5)</f>
        <v>403.6</v>
      </c>
      <c r="F168" s="75">
        <f t="shared" si="12"/>
        <v>1.9499999999999886</v>
      </c>
      <c r="G168" s="75">
        <f t="shared" si="13"/>
        <v>0.54213898472153488</v>
      </c>
      <c r="H168" s="75">
        <f>VLOOKUP($A168,'Data Vlaue (Cr)'!$C:$FB,99)</f>
        <v>3875</v>
      </c>
      <c r="I168" s="75">
        <f>VLOOKUP($A168,'Data Vlaue (Cr)'!$C:$FB,100)</f>
        <v>3925</v>
      </c>
      <c r="J168" s="75">
        <f t="shared" si="14"/>
        <v>-50</v>
      </c>
      <c r="K168" s="75">
        <f t="shared" si="15"/>
        <v>-1.2903225806451613</v>
      </c>
      <c r="L168" s="75">
        <f>VLOOKUP($A168,'Data Vlaue (Cr)'!$C:$FB,67)</f>
        <v>1383</v>
      </c>
      <c r="M168" s="75">
        <f>VLOOKUP($A168,'Data Vlaue (Cr)'!$C:$FB,68)</f>
        <v>1198</v>
      </c>
      <c r="N168" s="75">
        <f t="shared" si="16"/>
        <v>185</v>
      </c>
      <c r="O168" s="75">
        <f t="shared" si="17"/>
        <v>13.376717281272596</v>
      </c>
      <c r="P168" s="75">
        <f>VLOOKUP($A168,'Data Vlaue (Cr)'!$C:$FB,119)</f>
        <v>0.76</v>
      </c>
      <c r="Q168" s="75">
        <f>VLOOKUP($A168,'Data Vlaue (Cr)'!$C:$FB,122)*100</f>
        <v>1.3299999999999998</v>
      </c>
      <c r="R168" s="75">
        <f>VLOOKUP($A168,'Data Vlaue (Cr)'!$C:$FB,125)</f>
        <v>0.61</v>
      </c>
      <c r="S168" s="75">
        <f>VLOOKUP($A168,'Data Vlaue (Cr)'!$C:$FB,128)*100</f>
        <v>19.61</v>
      </c>
    </row>
    <row r="169" spans="1:19" x14ac:dyDescent="0.25">
      <c r="A169" s="96" t="str">
        <f>'Data Vlaue (Cr)'!C160</f>
        <v>PGEL</v>
      </c>
      <c r="B169" s="75">
        <f>VLOOKUP($A169,'Data Vlaue (Cr)'!$C:$FB,2)</f>
        <v>700</v>
      </c>
      <c r="C169" s="75">
        <f>VLOOKUP($A169,'Data Vlaue (Cr)'!$C:$FB,8)</f>
        <v>585.95000000000005</v>
      </c>
      <c r="D169" s="75">
        <f>VLOOKUP($A169,'Data Vlaue (Cr)'!$C:$FB,4)</f>
        <v>589.25</v>
      </c>
      <c r="E169" s="75">
        <f>VLOOKUP($A169,'Data Vlaue (Cr)'!$C:$FB,5)</f>
        <v>557.65</v>
      </c>
      <c r="F169" s="75">
        <f t="shared" si="12"/>
        <v>3.2999999999999545</v>
      </c>
      <c r="G169" s="75">
        <f t="shared" si="13"/>
        <v>5.3627492575307638</v>
      </c>
      <c r="H169" s="75">
        <f>VLOOKUP($A169,'Data Vlaue (Cr)'!$C:$FB,99)</f>
        <v>1426</v>
      </c>
      <c r="I169" s="75">
        <f>VLOOKUP($A169,'Data Vlaue (Cr)'!$C:$FB,100)</f>
        <v>1123</v>
      </c>
      <c r="J169" s="75">
        <f t="shared" si="14"/>
        <v>303</v>
      </c>
      <c r="K169" s="75">
        <f t="shared" si="15"/>
        <v>21.248246844319777</v>
      </c>
      <c r="L169" s="75">
        <f>VLOOKUP($A169,'Data Vlaue (Cr)'!$C:$FB,67)</f>
        <v>4491</v>
      </c>
      <c r="M169" s="75">
        <f>VLOOKUP($A169,'Data Vlaue (Cr)'!$C:$FB,68)</f>
        <v>4383</v>
      </c>
      <c r="N169" s="75">
        <f t="shared" si="16"/>
        <v>108</v>
      </c>
      <c r="O169" s="75">
        <f t="shared" si="17"/>
        <v>2.4048096192384771</v>
      </c>
      <c r="P169" s="75">
        <f>VLOOKUP($A169,'Data Vlaue (Cr)'!$C:$FB,119)</f>
        <v>0.92</v>
      </c>
      <c r="Q169" s="75">
        <f>VLOOKUP($A169,'Data Vlaue (Cr)'!$C:$FB,122)*100</f>
        <v>37.31</v>
      </c>
      <c r="R169" s="75">
        <f>VLOOKUP($A169,'Data Vlaue (Cr)'!$C:$FB,125)</f>
        <v>0.37</v>
      </c>
      <c r="S169" s="75">
        <f>VLOOKUP($A169,'Data Vlaue (Cr)'!$C:$FB,128)*100</f>
        <v>12.120000000000001</v>
      </c>
    </row>
    <row r="170" spans="1:19" x14ac:dyDescent="0.25">
      <c r="A170" s="96" t="str">
        <f>'Data Vlaue (Cr)'!C161</f>
        <v>PHOENIXLTD</v>
      </c>
      <c r="B170" s="75">
        <f>VLOOKUP($A170,'Data Vlaue (Cr)'!$C:$FB,2)</f>
        <v>350</v>
      </c>
      <c r="C170" s="75">
        <f>VLOOKUP($A170,'Data Vlaue (Cr)'!$C:$FB,8)</f>
        <v>1597.8</v>
      </c>
      <c r="D170" s="75">
        <f>VLOOKUP($A170,'Data Vlaue (Cr)'!$C:$FB,4)</f>
        <v>1602.9</v>
      </c>
      <c r="E170" s="75">
        <f>VLOOKUP($A170,'Data Vlaue (Cr)'!$C:$FB,5)</f>
        <v>1601.6</v>
      </c>
      <c r="F170" s="75">
        <f t="shared" si="12"/>
        <v>5.1000000000001364</v>
      </c>
      <c r="G170" s="75">
        <f t="shared" si="13"/>
        <v>8.1103000811041354E-2</v>
      </c>
      <c r="H170" s="75">
        <f>VLOOKUP($A170,'Data Vlaue (Cr)'!$C:$FB,99)</f>
        <v>874</v>
      </c>
      <c r="I170" s="75">
        <f>VLOOKUP($A170,'Data Vlaue (Cr)'!$C:$FB,100)</f>
        <v>871</v>
      </c>
      <c r="J170" s="75">
        <f t="shared" si="14"/>
        <v>3</v>
      </c>
      <c r="K170" s="75">
        <f t="shared" si="15"/>
        <v>0.34324942791762014</v>
      </c>
      <c r="L170" s="75">
        <f>VLOOKUP($A170,'Data Vlaue (Cr)'!$C:$FB,67)</f>
        <v>345</v>
      </c>
      <c r="M170" s="75">
        <f>VLOOKUP($A170,'Data Vlaue (Cr)'!$C:$FB,68)</f>
        <v>221</v>
      </c>
      <c r="N170" s="75">
        <f t="shared" si="16"/>
        <v>124</v>
      </c>
      <c r="O170" s="75">
        <f t="shared" si="17"/>
        <v>35.94202898550725</v>
      </c>
      <c r="P170" s="75">
        <f>VLOOKUP($A170,'Data Vlaue (Cr)'!$C:$FB,119)</f>
        <v>0.63</v>
      </c>
      <c r="Q170" s="75">
        <f>VLOOKUP($A170,'Data Vlaue (Cr)'!$C:$FB,122)*100</f>
        <v>8.6199999999999992</v>
      </c>
      <c r="R170" s="75">
        <f>VLOOKUP($A170,'Data Vlaue (Cr)'!$C:$FB,125)</f>
        <v>0.54</v>
      </c>
      <c r="S170" s="75">
        <f>VLOOKUP($A170,'Data Vlaue (Cr)'!$C:$FB,128)*100</f>
        <v>38.46</v>
      </c>
    </row>
    <row r="171" spans="1:19" x14ac:dyDescent="0.25">
      <c r="A171" s="96" t="str">
        <f>'Data Vlaue (Cr)'!C162</f>
        <v>PIDILITIND</v>
      </c>
      <c r="B171" s="75">
        <f>VLOOKUP($A171,'Data Vlaue (Cr)'!$C:$FB,2)</f>
        <v>500</v>
      </c>
      <c r="C171" s="75">
        <f>VLOOKUP($A171,'Data Vlaue (Cr)'!$C:$FB,8)</f>
        <v>1510.6</v>
      </c>
      <c r="D171" s="75">
        <f>VLOOKUP($A171,'Data Vlaue (Cr)'!$C:$FB,4)</f>
        <v>1514.9</v>
      </c>
      <c r="E171" s="75">
        <f>VLOOKUP($A171,'Data Vlaue (Cr)'!$C:$FB,5)</f>
        <v>1517.7</v>
      </c>
      <c r="F171" s="75">
        <f t="shared" si="12"/>
        <v>4.3000000000001819</v>
      </c>
      <c r="G171" s="75">
        <f t="shared" si="13"/>
        <v>-0.18483068189319127</v>
      </c>
      <c r="H171" s="75">
        <f>VLOOKUP($A171,'Data Vlaue (Cr)'!$C:$FB,99)</f>
        <v>1803</v>
      </c>
      <c r="I171" s="75">
        <f>VLOOKUP($A171,'Data Vlaue (Cr)'!$C:$FB,100)</f>
        <v>1803</v>
      </c>
      <c r="J171" s="75">
        <f t="shared" si="14"/>
        <v>0</v>
      </c>
      <c r="K171" s="75">
        <f t="shared" si="15"/>
        <v>0</v>
      </c>
      <c r="L171" s="75">
        <f>VLOOKUP($A171,'Data Vlaue (Cr)'!$C:$FB,67)</f>
        <v>445</v>
      </c>
      <c r="M171" s="75">
        <f>VLOOKUP($A171,'Data Vlaue (Cr)'!$C:$FB,68)</f>
        <v>919</v>
      </c>
      <c r="N171" s="75">
        <f t="shared" si="16"/>
        <v>-474</v>
      </c>
      <c r="O171" s="75">
        <f t="shared" si="17"/>
        <v>-106.51685393258428</v>
      </c>
      <c r="P171" s="75">
        <f>VLOOKUP($A171,'Data Vlaue (Cr)'!$C:$FB,119)</f>
        <v>0.66</v>
      </c>
      <c r="Q171" s="75">
        <f>VLOOKUP($A171,'Data Vlaue (Cr)'!$C:$FB,122)*100</f>
        <v>1.54</v>
      </c>
      <c r="R171" s="75">
        <f>VLOOKUP($A171,'Data Vlaue (Cr)'!$C:$FB,125)</f>
        <v>0.35</v>
      </c>
      <c r="S171" s="75">
        <f>VLOOKUP($A171,'Data Vlaue (Cr)'!$C:$FB,128)*100</f>
        <v>2.94</v>
      </c>
    </row>
    <row r="172" spans="1:19" x14ac:dyDescent="0.25">
      <c r="A172" s="96" t="str">
        <f>'Data Vlaue (Cr)'!C163</f>
        <v>PIIND</v>
      </c>
      <c r="B172" s="75">
        <f>VLOOKUP($A172,'Data Vlaue (Cr)'!$C:$FB,2)</f>
        <v>175</v>
      </c>
      <c r="C172" s="75">
        <f>VLOOKUP($A172,'Data Vlaue (Cr)'!$C:$FB,8)</f>
        <v>3564.6</v>
      </c>
      <c r="D172" s="75">
        <f>VLOOKUP($A172,'Data Vlaue (Cr)'!$C:$FB,4)</f>
        <v>3583.2</v>
      </c>
      <c r="E172" s="75">
        <f>VLOOKUP($A172,'Data Vlaue (Cr)'!$C:$FB,5)</f>
        <v>3547.5</v>
      </c>
      <c r="F172" s="75">
        <f t="shared" si="12"/>
        <v>18.599999999999909</v>
      </c>
      <c r="G172" s="75">
        <f t="shared" si="13"/>
        <v>0.99631614199597629</v>
      </c>
      <c r="H172" s="75">
        <f>VLOOKUP($A172,'Data Vlaue (Cr)'!$C:$FB,99)</f>
        <v>878</v>
      </c>
      <c r="I172" s="75">
        <f>VLOOKUP($A172,'Data Vlaue (Cr)'!$C:$FB,100)</f>
        <v>883</v>
      </c>
      <c r="J172" s="75">
        <f t="shared" si="14"/>
        <v>-5</v>
      </c>
      <c r="K172" s="75">
        <f t="shared" si="15"/>
        <v>-0.56947608200455579</v>
      </c>
      <c r="L172" s="75">
        <f>VLOOKUP($A172,'Data Vlaue (Cr)'!$C:$FB,67)</f>
        <v>657</v>
      </c>
      <c r="M172" s="75">
        <f>VLOOKUP($A172,'Data Vlaue (Cr)'!$C:$FB,68)</f>
        <v>188</v>
      </c>
      <c r="N172" s="75">
        <f t="shared" si="16"/>
        <v>469</v>
      </c>
      <c r="O172" s="75">
        <f t="shared" si="17"/>
        <v>71.385083713850833</v>
      </c>
      <c r="P172" s="75">
        <f>VLOOKUP($A172,'Data Vlaue (Cr)'!$C:$FB,119)</f>
        <v>0.76</v>
      </c>
      <c r="Q172" s="75">
        <f>VLOOKUP($A172,'Data Vlaue (Cr)'!$C:$FB,122)*100</f>
        <v>4.1099999999999994</v>
      </c>
      <c r="R172" s="75">
        <f>VLOOKUP($A172,'Data Vlaue (Cr)'!$C:$FB,125)</f>
        <v>0.27</v>
      </c>
      <c r="S172" s="75">
        <f>VLOOKUP($A172,'Data Vlaue (Cr)'!$C:$FB,128)*100</f>
        <v>8</v>
      </c>
    </row>
    <row r="173" spans="1:19" x14ac:dyDescent="0.25">
      <c r="A173" s="96" t="str">
        <f>'Data Vlaue (Cr)'!C164</f>
        <v>PNB</v>
      </c>
      <c r="B173" s="75">
        <f>VLOOKUP($A173,'Data Vlaue (Cr)'!$C:$FB,2)</f>
        <v>8000</v>
      </c>
      <c r="C173" s="75">
        <f>VLOOKUP($A173,'Data Vlaue (Cr)'!$C:$FB,8)</f>
        <v>117.24</v>
      </c>
      <c r="D173" s="75">
        <f>VLOOKUP($A173,'Data Vlaue (Cr)'!$C:$FB,4)</f>
        <v>117.65</v>
      </c>
      <c r="E173" s="75">
        <f>VLOOKUP($A173,'Data Vlaue (Cr)'!$C:$FB,5)</f>
        <v>114.97</v>
      </c>
      <c r="F173" s="75">
        <f t="shared" si="12"/>
        <v>0.4100000000000108</v>
      </c>
      <c r="G173" s="75">
        <f t="shared" si="13"/>
        <v>2.27794305142372</v>
      </c>
      <c r="H173" s="75">
        <f>VLOOKUP($A173,'Data Vlaue (Cr)'!$C:$FB,99)</f>
        <v>5448</v>
      </c>
      <c r="I173" s="75">
        <f>VLOOKUP($A173,'Data Vlaue (Cr)'!$C:$FB,100)</f>
        <v>5416</v>
      </c>
      <c r="J173" s="75">
        <f t="shared" si="14"/>
        <v>32</v>
      </c>
      <c r="K173" s="75">
        <f t="shared" si="15"/>
        <v>0.58737151248164465</v>
      </c>
      <c r="L173" s="75">
        <f>VLOOKUP($A173,'Data Vlaue (Cr)'!$C:$FB,67)</f>
        <v>7708</v>
      </c>
      <c r="M173" s="75">
        <f>VLOOKUP($A173,'Data Vlaue (Cr)'!$C:$FB,68)</f>
        <v>2241</v>
      </c>
      <c r="N173" s="75">
        <f t="shared" si="16"/>
        <v>5467</v>
      </c>
      <c r="O173" s="75">
        <f t="shared" si="17"/>
        <v>70.926310326933063</v>
      </c>
      <c r="P173" s="75">
        <f>VLOOKUP($A173,'Data Vlaue (Cr)'!$C:$FB,119)</f>
        <v>0.83</v>
      </c>
      <c r="Q173" s="75">
        <f>VLOOKUP($A173,'Data Vlaue (Cr)'!$C:$FB,122)*100</f>
        <v>22.06</v>
      </c>
      <c r="R173" s="75">
        <f>VLOOKUP($A173,'Data Vlaue (Cr)'!$C:$FB,125)</f>
        <v>0.47</v>
      </c>
      <c r="S173" s="75">
        <f>VLOOKUP($A173,'Data Vlaue (Cr)'!$C:$FB,128)*100</f>
        <v>-11.32</v>
      </c>
    </row>
    <row r="174" spans="1:19" x14ac:dyDescent="0.25">
      <c r="A174" s="96" t="str">
        <f>'Data Vlaue (Cr)'!C165</f>
        <v>PNBHOUSING</v>
      </c>
      <c r="B174" s="75">
        <f>VLOOKUP($A174,'Data Vlaue (Cr)'!$C:$FB,2)</f>
        <v>650</v>
      </c>
      <c r="C174" s="75">
        <f>VLOOKUP($A174,'Data Vlaue (Cr)'!$C:$FB,8)</f>
        <v>853.6</v>
      </c>
      <c r="D174" s="75">
        <f>VLOOKUP($A174,'Data Vlaue (Cr)'!$C:$FB,4)</f>
        <v>858.35</v>
      </c>
      <c r="E174" s="75">
        <f>VLOOKUP($A174,'Data Vlaue (Cr)'!$C:$FB,5)</f>
        <v>880.75</v>
      </c>
      <c r="F174" s="75">
        <f t="shared" si="12"/>
        <v>4.75</v>
      </c>
      <c r="G174" s="75">
        <f t="shared" si="13"/>
        <v>-2.6096580648919412</v>
      </c>
      <c r="H174" s="75">
        <f>VLOOKUP($A174,'Data Vlaue (Cr)'!$C:$FB,99)</f>
        <v>1909</v>
      </c>
      <c r="I174" s="75">
        <f>VLOOKUP($A174,'Data Vlaue (Cr)'!$C:$FB,100)</f>
        <v>1808</v>
      </c>
      <c r="J174" s="75">
        <f t="shared" si="14"/>
        <v>101</v>
      </c>
      <c r="K174" s="75">
        <f t="shared" si="15"/>
        <v>5.2907281299109483</v>
      </c>
      <c r="L174" s="75">
        <f>VLOOKUP($A174,'Data Vlaue (Cr)'!$C:$FB,67)</f>
        <v>567</v>
      </c>
      <c r="M174" s="75">
        <f>VLOOKUP($A174,'Data Vlaue (Cr)'!$C:$FB,68)</f>
        <v>344</v>
      </c>
      <c r="N174" s="75">
        <f t="shared" si="16"/>
        <v>223</v>
      </c>
      <c r="O174" s="75">
        <f t="shared" si="17"/>
        <v>39.329805996472658</v>
      </c>
      <c r="P174" s="75">
        <f>VLOOKUP($A174,'Data Vlaue (Cr)'!$C:$FB,119)</f>
        <v>0.73</v>
      </c>
      <c r="Q174" s="75">
        <f>VLOOKUP($A174,'Data Vlaue (Cr)'!$C:$FB,122)*100</f>
        <v>7.35</v>
      </c>
      <c r="R174" s="75">
        <f>VLOOKUP($A174,'Data Vlaue (Cr)'!$C:$FB,125)</f>
        <v>0.47</v>
      </c>
      <c r="S174" s="75">
        <f>VLOOKUP($A174,'Data Vlaue (Cr)'!$C:$FB,128)*100</f>
        <v>42.42</v>
      </c>
    </row>
    <row r="175" spans="1:19" x14ac:dyDescent="0.25">
      <c r="A175" s="96" t="str">
        <f>'Data Vlaue (Cr)'!C166</f>
        <v>POLICYBZR</v>
      </c>
      <c r="B175" s="75">
        <f>VLOOKUP($A175,'Data Vlaue (Cr)'!$C:$FB,2)</f>
        <v>350</v>
      </c>
      <c r="C175" s="75">
        <f>VLOOKUP($A175,'Data Vlaue (Cr)'!$C:$FB,8)</f>
        <v>1745.4</v>
      </c>
      <c r="D175" s="75">
        <f>VLOOKUP($A175,'Data Vlaue (Cr)'!$C:$FB,4)</f>
        <v>1752.9</v>
      </c>
      <c r="E175" s="75">
        <f>VLOOKUP($A175,'Data Vlaue (Cr)'!$C:$FB,5)</f>
        <v>1743.9</v>
      </c>
      <c r="F175" s="75">
        <f t="shared" si="12"/>
        <v>7.5</v>
      </c>
      <c r="G175" s="75">
        <f t="shared" si="13"/>
        <v>0.5134348793428033</v>
      </c>
      <c r="H175" s="75">
        <f>VLOOKUP($A175,'Data Vlaue (Cr)'!$C:$FB,99)</f>
        <v>1574</v>
      </c>
      <c r="I175" s="75">
        <f>VLOOKUP($A175,'Data Vlaue (Cr)'!$C:$FB,100)</f>
        <v>1610</v>
      </c>
      <c r="J175" s="75">
        <f t="shared" si="14"/>
        <v>-36</v>
      </c>
      <c r="K175" s="75">
        <f t="shared" si="15"/>
        <v>-2.2871664548919948</v>
      </c>
      <c r="L175" s="75">
        <f>VLOOKUP($A175,'Data Vlaue (Cr)'!$C:$FB,67)</f>
        <v>555</v>
      </c>
      <c r="M175" s="75">
        <f>VLOOKUP($A175,'Data Vlaue (Cr)'!$C:$FB,68)</f>
        <v>1485</v>
      </c>
      <c r="N175" s="75">
        <f t="shared" si="16"/>
        <v>-930</v>
      </c>
      <c r="O175" s="75">
        <f t="shared" si="17"/>
        <v>-167.56756756756758</v>
      </c>
      <c r="P175" s="75">
        <f>VLOOKUP($A175,'Data Vlaue (Cr)'!$C:$FB,119)</f>
        <v>0.76</v>
      </c>
      <c r="Q175" s="75">
        <f>VLOOKUP($A175,'Data Vlaue (Cr)'!$C:$FB,122)*100</f>
        <v>2.7</v>
      </c>
      <c r="R175" s="75">
        <f>VLOOKUP($A175,'Data Vlaue (Cr)'!$C:$FB,125)</f>
        <v>0.47</v>
      </c>
      <c r="S175" s="75">
        <f>VLOOKUP($A175,'Data Vlaue (Cr)'!$C:$FB,128)*100</f>
        <v>-12.959999999999999</v>
      </c>
    </row>
    <row r="176" spans="1:19" x14ac:dyDescent="0.25">
      <c r="A176" s="96" t="str">
        <f>'Data Vlaue (Cr)'!C167</f>
        <v>POLYCAB</v>
      </c>
      <c r="B176" s="75">
        <f>VLOOKUP($A176,'Data Vlaue (Cr)'!$C:$FB,2)</f>
        <v>125</v>
      </c>
      <c r="C176" s="75">
        <f>VLOOKUP($A176,'Data Vlaue (Cr)'!$C:$FB,8)</f>
        <v>7730</v>
      </c>
      <c r="D176" s="75">
        <f>VLOOKUP($A176,'Data Vlaue (Cr)'!$C:$FB,4)</f>
        <v>7768.5</v>
      </c>
      <c r="E176" s="75">
        <f>VLOOKUP($A176,'Data Vlaue (Cr)'!$C:$FB,5)</f>
        <v>7673</v>
      </c>
      <c r="F176" s="75">
        <f t="shared" si="12"/>
        <v>38.5</v>
      </c>
      <c r="G176" s="75">
        <f t="shared" si="13"/>
        <v>1.2293235502349231</v>
      </c>
      <c r="H176" s="75">
        <f>VLOOKUP($A176,'Data Vlaue (Cr)'!$C:$FB,99)</f>
        <v>2369</v>
      </c>
      <c r="I176" s="75">
        <f>VLOOKUP($A176,'Data Vlaue (Cr)'!$C:$FB,100)</f>
        <v>2145</v>
      </c>
      <c r="J176" s="75">
        <f t="shared" si="14"/>
        <v>224</v>
      </c>
      <c r="K176" s="75">
        <f t="shared" si="15"/>
        <v>9.4554664415365135</v>
      </c>
      <c r="L176" s="75">
        <f>VLOOKUP($A176,'Data Vlaue (Cr)'!$C:$FB,67)</f>
        <v>3674</v>
      </c>
      <c r="M176" s="75">
        <f>VLOOKUP($A176,'Data Vlaue (Cr)'!$C:$FB,68)</f>
        <v>1104</v>
      </c>
      <c r="N176" s="75">
        <f t="shared" si="16"/>
        <v>2570</v>
      </c>
      <c r="O176" s="75">
        <f t="shared" si="17"/>
        <v>69.951007076755573</v>
      </c>
      <c r="P176" s="75">
        <f>VLOOKUP($A176,'Data Vlaue (Cr)'!$C:$FB,119)</f>
        <v>0.48</v>
      </c>
      <c r="Q176" s="75">
        <f>VLOOKUP($A176,'Data Vlaue (Cr)'!$C:$FB,122)*100</f>
        <v>-17.239999999999998</v>
      </c>
      <c r="R176" s="75">
        <f>VLOOKUP($A176,'Data Vlaue (Cr)'!$C:$FB,125)</f>
        <v>0.27</v>
      </c>
      <c r="S176" s="75">
        <f>VLOOKUP($A176,'Data Vlaue (Cr)'!$C:$FB,128)*100</f>
        <v>-59.699999999999996</v>
      </c>
    </row>
    <row r="177" spans="1:19" x14ac:dyDescent="0.25">
      <c r="A177" s="96" t="str">
        <f>'Data Vlaue (Cr)'!C168</f>
        <v>POWERGRID</v>
      </c>
      <c r="B177" s="75">
        <f>VLOOKUP($A177,'Data Vlaue (Cr)'!$C:$FB,2)</f>
        <v>1900</v>
      </c>
      <c r="C177" s="75">
        <f>VLOOKUP($A177,'Data Vlaue (Cr)'!$C:$FB,8)</f>
        <v>289.14999999999998</v>
      </c>
      <c r="D177" s="75">
        <f>VLOOKUP($A177,'Data Vlaue (Cr)'!$C:$FB,4)</f>
        <v>289.60000000000002</v>
      </c>
      <c r="E177" s="75">
        <f>VLOOKUP($A177,'Data Vlaue (Cr)'!$C:$FB,5)</f>
        <v>286.89999999999998</v>
      </c>
      <c r="F177" s="75">
        <f t="shared" ref="F177:F185" si="18">D177-C177</f>
        <v>0.45000000000004547</v>
      </c>
      <c r="G177" s="75">
        <f t="shared" ref="G177:G185" si="19">(D177-E177)/D177*100</f>
        <v>0.93232044198896591</v>
      </c>
      <c r="H177" s="75">
        <f>VLOOKUP($A177,'Data Vlaue (Cr)'!$C:$FB,99)</f>
        <v>3482</v>
      </c>
      <c r="I177" s="75">
        <f>VLOOKUP($A177,'Data Vlaue (Cr)'!$C:$FB,100)</f>
        <v>3483</v>
      </c>
      <c r="J177" s="75">
        <f t="shared" ref="J177:J185" si="20">H177-I177</f>
        <v>-1</v>
      </c>
      <c r="K177" s="75">
        <f t="shared" ref="K177:K185" si="21">J177/H177*100</f>
        <v>-2.8719126938541069E-2</v>
      </c>
      <c r="L177" s="75">
        <f>VLOOKUP($A177,'Data Vlaue (Cr)'!$C:$FB,67)</f>
        <v>1721</v>
      </c>
      <c r="M177" s="75">
        <f>VLOOKUP($A177,'Data Vlaue (Cr)'!$C:$FB,68)</f>
        <v>1115</v>
      </c>
      <c r="N177" s="75">
        <f t="shared" ref="N177:N185" si="22">L177-M177</f>
        <v>606</v>
      </c>
      <c r="O177" s="75">
        <f t="shared" ref="O177:O185" si="23">N177/L177*100</f>
        <v>35.21208599651365</v>
      </c>
      <c r="P177" s="75">
        <f>VLOOKUP($A177,'Data Vlaue (Cr)'!$C:$FB,119)</f>
        <v>0.51</v>
      </c>
      <c r="Q177" s="75">
        <f>VLOOKUP($A177,'Data Vlaue (Cr)'!$C:$FB,122)*100</f>
        <v>0</v>
      </c>
      <c r="R177" s="75">
        <f>VLOOKUP($A177,'Data Vlaue (Cr)'!$C:$FB,125)</f>
        <v>0.42</v>
      </c>
      <c r="S177" s="75">
        <f>VLOOKUP($A177,'Data Vlaue (Cr)'!$C:$FB,128)*100</f>
        <v>-28.810000000000002</v>
      </c>
    </row>
    <row r="178" spans="1:19" x14ac:dyDescent="0.25">
      <c r="A178" s="96" t="str">
        <f>'Data Vlaue (Cr)'!C169</f>
        <v>POWERINDIA</v>
      </c>
      <c r="B178" s="75">
        <f>VLOOKUP($A178,'Data Vlaue (Cr)'!$C:$FB,2)</f>
        <v>50</v>
      </c>
      <c r="C178" s="75">
        <f>VLOOKUP($A178,'Data Vlaue (Cr)'!$C:$FB,8)</f>
        <v>17645</v>
      </c>
      <c r="D178" s="75">
        <f>VLOOKUP($A178,'Data Vlaue (Cr)'!$C:$FB,4)</f>
        <v>17716</v>
      </c>
      <c r="E178" s="75">
        <f>VLOOKUP($A178,'Data Vlaue (Cr)'!$C:$FB,5)</f>
        <v>17840</v>
      </c>
      <c r="F178" s="75">
        <f t="shared" si="18"/>
        <v>71</v>
      </c>
      <c r="G178" s="75">
        <f t="shared" si="19"/>
        <v>-0.69993226461955294</v>
      </c>
      <c r="H178" s="75">
        <f>VLOOKUP($A178,'Data Vlaue (Cr)'!$C:$FB,99)</f>
        <v>205</v>
      </c>
      <c r="I178" s="75">
        <f>VLOOKUP($A178,'Data Vlaue (Cr)'!$C:$FB,100)</f>
        <v>195</v>
      </c>
      <c r="J178" s="75">
        <f t="shared" si="20"/>
        <v>10</v>
      </c>
      <c r="K178" s="75">
        <f t="shared" si="21"/>
        <v>4.8780487804878048</v>
      </c>
      <c r="L178" s="75">
        <f>VLOOKUP($A178,'Data Vlaue (Cr)'!$C:$FB,67)</f>
        <v>78</v>
      </c>
      <c r="M178" s="75">
        <f>VLOOKUP($A178,'Data Vlaue (Cr)'!$C:$FB,68)</f>
        <v>112</v>
      </c>
      <c r="N178" s="75">
        <f t="shared" si="22"/>
        <v>-34</v>
      </c>
      <c r="O178" s="75">
        <f t="shared" si="23"/>
        <v>-43.589743589743591</v>
      </c>
      <c r="P178" s="75">
        <f>VLOOKUP($A178,'Data Vlaue (Cr)'!$C:$FB,119)</f>
        <v>0.28000000000000003</v>
      </c>
      <c r="Q178" s="75">
        <f>VLOOKUP($A178,'Data Vlaue (Cr)'!$C:$FB,122)*100</f>
        <v>-6.67</v>
      </c>
      <c r="R178" s="75">
        <f>VLOOKUP($A178,'Data Vlaue (Cr)'!$C:$FB,125)</f>
        <v>0.19</v>
      </c>
      <c r="S178" s="75">
        <f>VLOOKUP($A178,'Data Vlaue (Cr)'!$C:$FB,128)*100</f>
        <v>-17.39</v>
      </c>
    </row>
    <row r="179" spans="1:19" x14ac:dyDescent="0.25">
      <c r="A179" s="96" t="str">
        <f>'Data Vlaue (Cr)'!C170</f>
        <v>PPLPHARMA</v>
      </c>
      <c r="B179" s="75">
        <f>VLOOKUP($A179,'Data Vlaue (Cr)'!$C:$FB,2)</f>
        <v>2500</v>
      </c>
      <c r="C179" s="75">
        <f>VLOOKUP($A179,'Data Vlaue (Cr)'!$C:$FB,8)</f>
        <v>201.69</v>
      </c>
      <c r="D179" s="75">
        <f>VLOOKUP($A179,'Data Vlaue (Cr)'!$C:$FB,4)</f>
        <v>202.83</v>
      </c>
      <c r="E179" s="75">
        <f>VLOOKUP($A179,'Data Vlaue (Cr)'!$C:$FB,5)</f>
        <v>198.72</v>
      </c>
      <c r="F179" s="75">
        <f t="shared" si="18"/>
        <v>1.1400000000000148</v>
      </c>
      <c r="G179" s="75">
        <f t="shared" si="19"/>
        <v>2.0263274663511384</v>
      </c>
      <c r="H179" s="75">
        <f>VLOOKUP($A179,'Data Vlaue (Cr)'!$C:$FB,99)</f>
        <v>783</v>
      </c>
      <c r="I179" s="75">
        <f>VLOOKUP($A179,'Data Vlaue (Cr)'!$C:$FB,100)</f>
        <v>696</v>
      </c>
      <c r="J179" s="75">
        <f t="shared" si="20"/>
        <v>87</v>
      </c>
      <c r="K179" s="75">
        <f t="shared" si="21"/>
        <v>11.111111111111111</v>
      </c>
      <c r="L179" s="75">
        <f>VLOOKUP($A179,'Data Vlaue (Cr)'!$C:$FB,67)</f>
        <v>1547</v>
      </c>
      <c r="M179" s="75">
        <f>VLOOKUP($A179,'Data Vlaue (Cr)'!$C:$FB,68)</f>
        <v>531</v>
      </c>
      <c r="N179" s="75">
        <f t="shared" si="22"/>
        <v>1016</v>
      </c>
      <c r="O179" s="75">
        <f t="shared" si="23"/>
        <v>65.675500969618611</v>
      </c>
      <c r="P179" s="75">
        <f>VLOOKUP($A179,'Data Vlaue (Cr)'!$C:$FB,119)</f>
        <v>0.66</v>
      </c>
      <c r="Q179" s="75">
        <f>VLOOKUP($A179,'Data Vlaue (Cr)'!$C:$FB,122)*100</f>
        <v>37.5</v>
      </c>
      <c r="R179" s="75">
        <f>VLOOKUP($A179,'Data Vlaue (Cr)'!$C:$FB,125)</f>
        <v>0.4</v>
      </c>
      <c r="S179" s="75">
        <f>VLOOKUP($A179,'Data Vlaue (Cr)'!$C:$FB,128)*100</f>
        <v>37.93</v>
      </c>
    </row>
    <row r="180" spans="1:19" x14ac:dyDescent="0.25">
      <c r="A180" s="96" t="str">
        <f>'Data Vlaue (Cr)'!C171</f>
        <v>PRESTIGE</v>
      </c>
      <c r="B180" s="75">
        <f>VLOOKUP($A180,'Data Vlaue (Cr)'!$C:$FB,2)</f>
        <v>450</v>
      </c>
      <c r="C180" s="75">
        <f>VLOOKUP($A180,'Data Vlaue (Cr)'!$C:$FB,8)</f>
        <v>1621.6</v>
      </c>
      <c r="D180" s="75">
        <f>VLOOKUP($A180,'Data Vlaue (Cr)'!$C:$FB,4)</f>
        <v>1627.9</v>
      </c>
      <c r="E180" s="75">
        <f>VLOOKUP($A180,'Data Vlaue (Cr)'!$C:$FB,5)</f>
        <v>1587.9</v>
      </c>
      <c r="F180" s="75">
        <f t="shared" si="18"/>
        <v>6.3000000000001819</v>
      </c>
      <c r="G180" s="75">
        <f t="shared" si="19"/>
        <v>2.4571533878002332</v>
      </c>
      <c r="H180" s="75">
        <f>VLOOKUP($A180,'Data Vlaue (Cr)'!$C:$FB,99)</f>
        <v>1278</v>
      </c>
      <c r="I180" s="75">
        <f>VLOOKUP($A180,'Data Vlaue (Cr)'!$C:$FB,100)</f>
        <v>1217</v>
      </c>
      <c r="J180" s="75">
        <f t="shared" si="20"/>
        <v>61</v>
      </c>
      <c r="K180" s="75">
        <f t="shared" si="21"/>
        <v>4.7730829420970267</v>
      </c>
      <c r="L180" s="75">
        <f>VLOOKUP($A180,'Data Vlaue (Cr)'!$C:$FB,67)</f>
        <v>2089</v>
      </c>
      <c r="M180" s="75">
        <f>VLOOKUP($A180,'Data Vlaue (Cr)'!$C:$FB,68)</f>
        <v>3535</v>
      </c>
      <c r="N180" s="75">
        <f t="shared" si="22"/>
        <v>-1446</v>
      </c>
      <c r="O180" s="75">
        <f t="shared" si="23"/>
        <v>-69.219722355193866</v>
      </c>
      <c r="P180" s="75">
        <f>VLOOKUP($A180,'Data Vlaue (Cr)'!$C:$FB,119)</f>
        <v>0.67</v>
      </c>
      <c r="Q180" s="75">
        <f>VLOOKUP($A180,'Data Vlaue (Cr)'!$C:$FB,122)*100</f>
        <v>-2.9000000000000004</v>
      </c>
      <c r="R180" s="75">
        <f>VLOOKUP($A180,'Data Vlaue (Cr)'!$C:$FB,125)</f>
        <v>0.36</v>
      </c>
      <c r="S180" s="75">
        <f>VLOOKUP($A180,'Data Vlaue (Cr)'!$C:$FB,128)*100</f>
        <v>-16.28</v>
      </c>
    </row>
    <row r="181" spans="1:19" x14ac:dyDescent="0.25">
      <c r="A181" s="96" t="str">
        <f>'Data Vlaue (Cr)'!C172</f>
        <v>RBLBANK</v>
      </c>
      <c r="B181" s="75">
        <f>VLOOKUP($A181,'Data Vlaue (Cr)'!$C:$FB,2)</f>
        <v>3175</v>
      </c>
      <c r="C181" s="75">
        <f>VLOOKUP($A181,'Data Vlaue (Cr)'!$C:$FB,8)</f>
        <v>291.60000000000002</v>
      </c>
      <c r="D181" s="75">
        <f>VLOOKUP($A181,'Data Vlaue (Cr)'!$C:$FB,4)</f>
        <v>292.60000000000002</v>
      </c>
      <c r="E181" s="75">
        <f>VLOOKUP($A181,'Data Vlaue (Cr)'!$C:$FB,5)</f>
        <v>287.75</v>
      </c>
      <c r="F181" s="75">
        <f t="shared" si="18"/>
        <v>1</v>
      </c>
      <c r="G181" s="75">
        <f t="shared" si="19"/>
        <v>1.6575529733424545</v>
      </c>
      <c r="H181" s="75">
        <f>VLOOKUP($A181,'Data Vlaue (Cr)'!$C:$FB,99)</f>
        <v>3227</v>
      </c>
      <c r="I181" s="75">
        <f>VLOOKUP($A181,'Data Vlaue (Cr)'!$C:$FB,100)</f>
        <v>3290</v>
      </c>
      <c r="J181" s="75">
        <f t="shared" si="20"/>
        <v>-63</v>
      </c>
      <c r="K181" s="75">
        <f t="shared" si="21"/>
        <v>-1.9522776572668112</v>
      </c>
      <c r="L181" s="75">
        <f>VLOOKUP($A181,'Data Vlaue (Cr)'!$C:$FB,67)</f>
        <v>66</v>
      </c>
      <c r="M181" s="75">
        <f>VLOOKUP($A181,'Data Vlaue (Cr)'!$C:$FB,68)</f>
        <v>44</v>
      </c>
      <c r="N181" s="75">
        <f t="shared" si="22"/>
        <v>22</v>
      </c>
      <c r="O181" s="75">
        <f t="shared" si="23"/>
        <v>33.333333333333329</v>
      </c>
      <c r="P181" s="75">
        <f>VLOOKUP($A181,'Data Vlaue (Cr)'!$C:$FB,119)</f>
        <v>0.43</v>
      </c>
      <c r="Q181" s="75">
        <f>VLOOKUP($A181,'Data Vlaue (Cr)'!$C:$FB,122)*100</f>
        <v>0</v>
      </c>
      <c r="R181" s="75">
        <f>VLOOKUP($A181,'Data Vlaue (Cr)'!$C:$FB,125)</f>
        <v>0.42</v>
      </c>
      <c r="S181" s="75">
        <f>VLOOKUP($A181,'Data Vlaue (Cr)'!$C:$FB,128)*100</f>
        <v>-2.33</v>
      </c>
    </row>
    <row r="182" spans="1:19" x14ac:dyDescent="0.25">
      <c r="A182" s="96" t="str">
        <f>'Data Vlaue (Cr)'!C173</f>
        <v>RECLTD</v>
      </c>
      <c r="B182" s="75">
        <f>VLOOKUP($A182,'Data Vlaue (Cr)'!$C:$FB,2)</f>
        <v>1275</v>
      </c>
      <c r="C182" s="75">
        <f>VLOOKUP($A182,'Data Vlaue (Cr)'!$C:$FB,8)</f>
        <v>372.95</v>
      </c>
      <c r="D182" s="75">
        <f>VLOOKUP($A182,'Data Vlaue (Cr)'!$C:$FB,4)</f>
        <v>374.65</v>
      </c>
      <c r="E182" s="75">
        <f>VLOOKUP($A182,'Data Vlaue (Cr)'!$C:$FB,5)</f>
        <v>373.7</v>
      </c>
      <c r="F182" s="75">
        <f t="shared" si="18"/>
        <v>1.6999999999999886</v>
      </c>
      <c r="G182" s="75">
        <f t="shared" si="19"/>
        <v>0.25356999866541802</v>
      </c>
      <c r="H182" s="75">
        <f>VLOOKUP($A182,'Data Vlaue (Cr)'!$C:$FB,99)</f>
        <v>5029</v>
      </c>
      <c r="I182" s="75">
        <f>VLOOKUP($A182,'Data Vlaue (Cr)'!$C:$FB,100)</f>
        <v>4884</v>
      </c>
      <c r="J182" s="75">
        <f t="shared" si="20"/>
        <v>145</v>
      </c>
      <c r="K182" s="75">
        <f t="shared" si="21"/>
        <v>2.8832769934380593</v>
      </c>
      <c r="L182" s="75">
        <f>VLOOKUP($A182,'Data Vlaue (Cr)'!$C:$FB,67)</f>
        <v>1234</v>
      </c>
      <c r="M182" s="75">
        <f>VLOOKUP($A182,'Data Vlaue (Cr)'!$C:$FB,68)</f>
        <v>871</v>
      </c>
      <c r="N182" s="75">
        <f t="shared" si="22"/>
        <v>363</v>
      </c>
      <c r="O182" s="75">
        <f t="shared" si="23"/>
        <v>29.416531604538086</v>
      </c>
      <c r="P182" s="75">
        <f>VLOOKUP($A182,'Data Vlaue (Cr)'!$C:$FB,119)</f>
        <v>0.89</v>
      </c>
      <c r="Q182" s="75">
        <f>VLOOKUP($A182,'Data Vlaue (Cr)'!$C:$FB,122)*100</f>
        <v>-2.1999999999999997</v>
      </c>
      <c r="R182" s="75">
        <f>VLOOKUP($A182,'Data Vlaue (Cr)'!$C:$FB,125)</f>
        <v>0.4</v>
      </c>
      <c r="S182" s="75">
        <f>VLOOKUP($A182,'Data Vlaue (Cr)'!$C:$FB,128)*100</f>
        <v>-9.09</v>
      </c>
    </row>
    <row r="183" spans="1:19" x14ac:dyDescent="0.25">
      <c r="A183" s="96" t="str">
        <f>'Data Vlaue (Cr)'!C174</f>
        <v>RELIANCE</v>
      </c>
      <c r="B183" s="75">
        <f>VLOOKUP($A183,'Data Vlaue (Cr)'!$C:$FB,2)</f>
        <v>500</v>
      </c>
      <c r="C183" s="75">
        <f>VLOOKUP($A183,'Data Vlaue (Cr)'!$C:$FB,8)</f>
        <v>1381.7</v>
      </c>
      <c r="D183" s="75">
        <f>VLOOKUP($A183,'Data Vlaue (Cr)'!$C:$FB,4)</f>
        <v>1387.8</v>
      </c>
      <c r="E183" s="75">
        <f>VLOOKUP($A183,'Data Vlaue (Cr)'!$C:$FB,5)</f>
        <v>1381.9</v>
      </c>
      <c r="F183" s="75">
        <f t="shared" si="18"/>
        <v>6.0999999999999091</v>
      </c>
      <c r="G183" s="75">
        <f t="shared" si="19"/>
        <v>0.42513330451072662</v>
      </c>
      <c r="H183" s="75">
        <f>VLOOKUP($A183,'Data Vlaue (Cr)'!$C:$FB,99)</f>
        <v>31112</v>
      </c>
      <c r="I183" s="75">
        <f>VLOOKUP($A183,'Data Vlaue (Cr)'!$C:$FB,100)</f>
        <v>31011</v>
      </c>
      <c r="J183" s="75">
        <f t="shared" si="20"/>
        <v>101</v>
      </c>
      <c r="K183" s="75">
        <f t="shared" si="21"/>
        <v>0.32463358189766006</v>
      </c>
      <c r="L183" s="75">
        <f>VLOOKUP($A183,'Data Vlaue (Cr)'!$C:$FB,67)</f>
        <v>8999</v>
      </c>
      <c r="M183" s="75">
        <f>VLOOKUP($A183,'Data Vlaue (Cr)'!$C:$FB,68)</f>
        <v>10472</v>
      </c>
      <c r="N183" s="75">
        <f t="shared" si="22"/>
        <v>-1473</v>
      </c>
      <c r="O183" s="75">
        <f t="shared" si="23"/>
        <v>-16.368485387265252</v>
      </c>
      <c r="P183" s="75">
        <f>VLOOKUP($A183,'Data Vlaue (Cr)'!$C:$FB,119)</f>
        <v>0.73</v>
      </c>
      <c r="Q183" s="75">
        <f>VLOOKUP($A183,'Data Vlaue (Cr)'!$C:$FB,122)*100</f>
        <v>0</v>
      </c>
      <c r="R183" s="75">
        <f>VLOOKUP($A183,'Data Vlaue (Cr)'!$C:$FB,125)</f>
        <v>0.53</v>
      </c>
      <c r="S183" s="75">
        <f>VLOOKUP($A183,'Data Vlaue (Cr)'!$C:$FB,128)*100</f>
        <v>-5.36</v>
      </c>
    </row>
    <row r="184" spans="1:19" x14ac:dyDescent="0.25">
      <c r="A184" s="96" t="str">
        <f>'Data Vlaue (Cr)'!C175</f>
        <v>RVNL</v>
      </c>
      <c r="B184" s="75">
        <f>VLOOKUP($A184,'Data Vlaue (Cr)'!$C:$FB,2)</f>
        <v>1375</v>
      </c>
      <c r="C184" s="75">
        <f>VLOOKUP($A184,'Data Vlaue (Cr)'!$C:$FB,8)</f>
        <v>342</v>
      </c>
      <c r="D184" s="75">
        <f>VLOOKUP($A184,'Data Vlaue (Cr)'!$C:$FB,4)</f>
        <v>340.65</v>
      </c>
      <c r="E184" s="75">
        <f>VLOOKUP($A184,'Data Vlaue (Cr)'!$C:$FB,5)</f>
        <v>343.4</v>
      </c>
      <c r="F184" s="75">
        <f t="shared" si="18"/>
        <v>-1.3500000000000227</v>
      </c>
      <c r="G184" s="75">
        <f t="shared" si="19"/>
        <v>-0.80728019961837671</v>
      </c>
      <c r="H184" s="75">
        <f>VLOOKUP($A184,'Data Vlaue (Cr)'!$C:$FB,99)</f>
        <v>2289</v>
      </c>
      <c r="I184" s="75">
        <f>VLOOKUP($A184,'Data Vlaue (Cr)'!$C:$FB,100)</f>
        <v>2241</v>
      </c>
      <c r="J184" s="75">
        <f t="shared" si="20"/>
        <v>48</v>
      </c>
      <c r="K184" s="75">
        <f t="shared" si="21"/>
        <v>2.0969855832241153</v>
      </c>
      <c r="L184" s="75">
        <f>VLOOKUP($A184,'Data Vlaue (Cr)'!$C:$FB,67)</f>
        <v>639</v>
      </c>
      <c r="M184" s="75">
        <f>VLOOKUP($A184,'Data Vlaue (Cr)'!$C:$FB,68)</f>
        <v>979</v>
      </c>
      <c r="N184" s="75">
        <f t="shared" si="22"/>
        <v>-340</v>
      </c>
      <c r="O184" s="75">
        <f t="shared" si="23"/>
        <v>-53.208137715179973</v>
      </c>
      <c r="P184" s="75">
        <f>VLOOKUP($A184,'Data Vlaue (Cr)'!$C:$FB,119)</f>
        <v>0.4</v>
      </c>
      <c r="Q184" s="75">
        <f>VLOOKUP($A184,'Data Vlaue (Cr)'!$C:$FB,122)*100</f>
        <v>0</v>
      </c>
      <c r="R184" s="75">
        <f>VLOOKUP($A184,'Data Vlaue (Cr)'!$C:$FB,125)</f>
        <v>0.3</v>
      </c>
      <c r="S184" s="75">
        <f>VLOOKUP($A184,'Data Vlaue (Cr)'!$C:$FB,128)*100</f>
        <v>11.110000000000001</v>
      </c>
    </row>
    <row r="185" spans="1:19" x14ac:dyDescent="0.25">
      <c r="A185" s="96" t="str">
        <f>'Data Vlaue (Cr)'!C176</f>
        <v>SAIL</v>
      </c>
      <c r="B185" s="75">
        <f>VLOOKUP($A185,'Data Vlaue (Cr)'!$C:$FB,2)</f>
        <v>4700</v>
      </c>
      <c r="C185" s="75">
        <f>VLOOKUP($A185,'Data Vlaue (Cr)'!$C:$FB,8)</f>
        <v>132.16999999999999</v>
      </c>
      <c r="D185" s="75">
        <f>VLOOKUP($A185,'Data Vlaue (Cr)'!$C:$FB,4)</f>
        <v>132.71</v>
      </c>
      <c r="E185" s="75">
        <f>VLOOKUP($A185,'Data Vlaue (Cr)'!$C:$FB,5)</f>
        <v>137.22</v>
      </c>
      <c r="F185" s="75">
        <f t="shared" si="18"/>
        <v>0.54000000000002046</v>
      </c>
      <c r="G185" s="75">
        <f t="shared" si="19"/>
        <v>-3.3983874613819536</v>
      </c>
      <c r="H185" s="75">
        <f>VLOOKUP($A185,'Data Vlaue (Cr)'!$C:$FB,99)</f>
        <v>3795</v>
      </c>
      <c r="I185" s="75">
        <f>VLOOKUP($A185,'Data Vlaue (Cr)'!$C:$FB,100)</f>
        <v>3535</v>
      </c>
      <c r="J185" s="75">
        <f t="shared" si="20"/>
        <v>260</v>
      </c>
      <c r="K185" s="75">
        <f t="shared" si="21"/>
        <v>6.8511198945981553</v>
      </c>
      <c r="L185" s="75">
        <f>VLOOKUP($A185,'Data Vlaue (Cr)'!$C:$FB,67)</f>
        <v>1945</v>
      </c>
      <c r="M185" s="75">
        <f>VLOOKUP($A185,'Data Vlaue (Cr)'!$C:$FB,68)</f>
        <v>3474</v>
      </c>
      <c r="N185" s="75">
        <f t="shared" si="22"/>
        <v>-1529</v>
      </c>
      <c r="O185" s="75">
        <f t="shared" si="23"/>
        <v>-78.611825192802058</v>
      </c>
      <c r="P185" s="75">
        <f>VLOOKUP($A185,'Data Vlaue (Cr)'!$C:$FB,119)</f>
        <v>0.51</v>
      </c>
      <c r="Q185" s="75">
        <f>VLOOKUP($A185,'Data Vlaue (Cr)'!$C:$FB,122)*100</f>
        <v>-12.07</v>
      </c>
      <c r="R185" s="75">
        <f>VLOOKUP($A185,'Data Vlaue (Cr)'!$C:$FB,125)</f>
        <v>0.4</v>
      </c>
      <c r="S185" s="75">
        <f>VLOOKUP($A185,'Data Vlaue (Cr)'!$C:$FB,128)*100</f>
        <v>-21.57</v>
      </c>
    </row>
    <row r="186" spans="1:19" x14ac:dyDescent="0.25">
      <c r="A186" s="96" t="str">
        <f>'Data Vlaue (Cr)'!C177</f>
        <v>SAMMAANCAP</v>
      </c>
      <c r="B186" s="75">
        <f>VLOOKUP($A186,'Data Vlaue (Cr)'!$C:$FB,2)</f>
        <v>4300</v>
      </c>
      <c r="C186" s="75">
        <f>VLOOKUP($A186,'Data Vlaue (Cr)'!$C:$FB,8)</f>
        <v>162.22</v>
      </c>
      <c r="D186" s="75">
        <f>VLOOKUP($A186,'Data Vlaue (Cr)'!$C:$FB,4)</f>
        <v>163.13</v>
      </c>
      <c r="E186" s="75">
        <f>VLOOKUP($A186,'Data Vlaue (Cr)'!$C:$FB,5)</f>
        <v>162.19999999999999</v>
      </c>
      <c r="F186" s="75">
        <f t="shared" ref="F186:F193" si="24">D186-C186</f>
        <v>0.90999999999999659</v>
      </c>
      <c r="G186" s="75">
        <f t="shared" ref="G186:G193" si="25">(D186-E186)/D186*100</f>
        <v>0.5700974682768386</v>
      </c>
      <c r="H186" s="75">
        <f>VLOOKUP($A186,'Data Vlaue (Cr)'!$C:$FB,99)</f>
        <v>2871</v>
      </c>
      <c r="I186" s="75">
        <f>VLOOKUP($A186,'Data Vlaue (Cr)'!$C:$FB,100)</f>
        <v>2743</v>
      </c>
      <c r="J186" s="75">
        <f t="shared" ref="J186:J193" si="26">H186-I186</f>
        <v>128</v>
      </c>
      <c r="K186" s="75">
        <f t="shared" ref="K186:K193" si="27">J186/H186*100</f>
        <v>4.4583768721699757</v>
      </c>
      <c r="L186" s="75">
        <f>VLOOKUP($A186,'Data Vlaue (Cr)'!$C:$FB,67)</f>
        <v>1578</v>
      </c>
      <c r="M186" s="75">
        <f>VLOOKUP($A186,'Data Vlaue (Cr)'!$C:$FB,68)</f>
        <v>758</v>
      </c>
      <c r="N186" s="75">
        <f t="shared" ref="N186:N193" si="28">L186-M186</f>
        <v>820</v>
      </c>
      <c r="O186" s="75">
        <f t="shared" ref="O186:O193" si="29">N186/L186*100</f>
        <v>51.964512040557665</v>
      </c>
      <c r="P186" s="75">
        <f>VLOOKUP($A186,'Data Vlaue (Cr)'!$C:$FB,119)</f>
        <v>1.01</v>
      </c>
      <c r="Q186" s="75">
        <f>VLOOKUP($A186,'Data Vlaue (Cr)'!$C:$FB,122)*100</f>
        <v>-1.94</v>
      </c>
      <c r="R186" s="75">
        <f>VLOOKUP($A186,'Data Vlaue (Cr)'!$C:$FB,125)</f>
        <v>0.5</v>
      </c>
      <c r="S186" s="75">
        <f>VLOOKUP($A186,'Data Vlaue (Cr)'!$C:$FB,128)*100</f>
        <v>-29.580000000000002</v>
      </c>
    </row>
    <row r="187" spans="1:19" x14ac:dyDescent="0.25">
      <c r="A187" s="96" t="str">
        <f>'Data Vlaue (Cr)'!C178</f>
        <v>SBICARD</v>
      </c>
      <c r="B187" s="75">
        <f>VLOOKUP($A187,'Data Vlaue (Cr)'!$C:$FB,2)</f>
        <v>800</v>
      </c>
      <c r="C187" s="75">
        <f>VLOOKUP($A187,'Data Vlaue (Cr)'!$C:$FB,8)</f>
        <v>921.75</v>
      </c>
      <c r="D187" s="75">
        <f>VLOOKUP($A187,'Data Vlaue (Cr)'!$C:$FB,4)</f>
        <v>912.2</v>
      </c>
      <c r="E187" s="75">
        <f>VLOOKUP($A187,'Data Vlaue (Cr)'!$C:$FB,5)</f>
        <v>912.75</v>
      </c>
      <c r="F187" s="75">
        <f t="shared" si="24"/>
        <v>-9.5499999999999545</v>
      </c>
      <c r="G187" s="75">
        <f t="shared" si="25"/>
        <v>-6.029379522034143E-2</v>
      </c>
      <c r="H187" s="75">
        <f>VLOOKUP($A187,'Data Vlaue (Cr)'!$C:$FB,99)</f>
        <v>2769</v>
      </c>
      <c r="I187" s="75">
        <f>VLOOKUP($A187,'Data Vlaue (Cr)'!$C:$FB,100)</f>
        <v>2719</v>
      </c>
      <c r="J187" s="75">
        <f t="shared" si="26"/>
        <v>50</v>
      </c>
      <c r="K187" s="75">
        <f t="shared" si="27"/>
        <v>1.8057060310581439</v>
      </c>
      <c r="L187" s="75">
        <f>VLOOKUP($A187,'Data Vlaue (Cr)'!$C:$FB,67)</f>
        <v>1005</v>
      </c>
      <c r="M187" s="75">
        <f>VLOOKUP($A187,'Data Vlaue (Cr)'!$C:$FB,68)</f>
        <v>1036</v>
      </c>
      <c r="N187" s="75">
        <f t="shared" si="28"/>
        <v>-31</v>
      </c>
      <c r="O187" s="75">
        <f t="shared" si="29"/>
        <v>-3.0845771144278609</v>
      </c>
      <c r="P187" s="75">
        <f>VLOOKUP($A187,'Data Vlaue (Cr)'!$C:$FB,119)</f>
        <v>0.6</v>
      </c>
      <c r="Q187" s="75">
        <f>VLOOKUP($A187,'Data Vlaue (Cr)'!$C:$FB,122)*100</f>
        <v>-4.7600000000000007</v>
      </c>
      <c r="R187" s="75">
        <f>VLOOKUP($A187,'Data Vlaue (Cr)'!$C:$FB,125)</f>
        <v>0.47</v>
      </c>
      <c r="S187" s="75">
        <f>VLOOKUP($A187,'Data Vlaue (Cr)'!$C:$FB,128)*100</f>
        <v>-14.549999999999999</v>
      </c>
    </row>
    <row r="188" spans="1:19" x14ac:dyDescent="0.25">
      <c r="A188" s="96" t="str">
        <f>'Data Vlaue (Cr)'!C179</f>
        <v>SBILIFE</v>
      </c>
      <c r="B188" s="75">
        <f>VLOOKUP($A188,'Data Vlaue (Cr)'!$C:$FB,2)</f>
        <v>375</v>
      </c>
      <c r="C188" s="75">
        <f>VLOOKUP($A188,'Data Vlaue (Cr)'!$C:$FB,8)</f>
        <v>1810.4</v>
      </c>
      <c r="D188" s="75">
        <f>VLOOKUP($A188,'Data Vlaue (Cr)'!$C:$FB,4)</f>
        <v>1820.4</v>
      </c>
      <c r="E188" s="75">
        <f>VLOOKUP($A188,'Data Vlaue (Cr)'!$C:$FB,5)</f>
        <v>1817.1</v>
      </c>
      <c r="F188" s="75">
        <f t="shared" si="24"/>
        <v>10</v>
      </c>
      <c r="G188" s="75">
        <f t="shared" si="25"/>
        <v>0.18127883981543516</v>
      </c>
      <c r="H188" s="75">
        <f>VLOOKUP($A188,'Data Vlaue (Cr)'!$C:$FB,99)</f>
        <v>1918</v>
      </c>
      <c r="I188" s="75">
        <f>VLOOKUP($A188,'Data Vlaue (Cr)'!$C:$FB,100)</f>
        <v>1705</v>
      </c>
      <c r="J188" s="75">
        <f t="shared" si="26"/>
        <v>213</v>
      </c>
      <c r="K188" s="75">
        <f t="shared" si="27"/>
        <v>11.10531803962461</v>
      </c>
      <c r="L188" s="75">
        <f>VLOOKUP($A188,'Data Vlaue (Cr)'!$C:$FB,67)</f>
        <v>2109</v>
      </c>
      <c r="M188" s="75">
        <f>VLOOKUP($A188,'Data Vlaue (Cr)'!$C:$FB,68)</f>
        <v>1149</v>
      </c>
      <c r="N188" s="75">
        <f t="shared" si="28"/>
        <v>960</v>
      </c>
      <c r="O188" s="75">
        <f t="shared" si="29"/>
        <v>45.519203413940254</v>
      </c>
      <c r="P188" s="75">
        <f>VLOOKUP($A188,'Data Vlaue (Cr)'!$C:$FB,119)</f>
        <v>0.49</v>
      </c>
      <c r="Q188" s="75">
        <f>VLOOKUP($A188,'Data Vlaue (Cr)'!$C:$FB,122)*100</f>
        <v>-14.04</v>
      </c>
      <c r="R188" s="75">
        <f>VLOOKUP($A188,'Data Vlaue (Cr)'!$C:$FB,125)</f>
        <v>0.35</v>
      </c>
      <c r="S188" s="75">
        <f>VLOOKUP($A188,'Data Vlaue (Cr)'!$C:$FB,128)*100</f>
        <v>-14.63</v>
      </c>
    </row>
    <row r="189" spans="1:19" x14ac:dyDescent="0.25">
      <c r="A189" s="96" t="str">
        <f>'Data Vlaue (Cr)'!C180</f>
        <v>SBIN</v>
      </c>
      <c r="B189" s="75">
        <f>VLOOKUP($A189,'Data Vlaue (Cr)'!$C:$FB,2)</f>
        <v>750</v>
      </c>
      <c r="C189" s="75">
        <f>VLOOKUP($A189,'Data Vlaue (Cr)'!$C:$FB,8)</f>
        <v>880.65</v>
      </c>
      <c r="D189" s="75">
        <f>VLOOKUP($A189,'Data Vlaue (Cr)'!$C:$FB,4)</f>
        <v>883.35</v>
      </c>
      <c r="E189" s="75">
        <f>VLOOKUP($A189,'Data Vlaue (Cr)'!$C:$FB,5)</f>
        <v>866.85</v>
      </c>
      <c r="F189" s="75">
        <f t="shared" si="24"/>
        <v>2.7000000000000455</v>
      </c>
      <c r="G189" s="75">
        <f t="shared" si="25"/>
        <v>1.8678892851078279</v>
      </c>
      <c r="H189" s="75">
        <f>VLOOKUP($A189,'Data Vlaue (Cr)'!$C:$FB,99)</f>
        <v>15214</v>
      </c>
      <c r="I189" s="75">
        <f>VLOOKUP($A189,'Data Vlaue (Cr)'!$C:$FB,100)</f>
        <v>15347</v>
      </c>
      <c r="J189" s="75">
        <f t="shared" si="26"/>
        <v>-133</v>
      </c>
      <c r="K189" s="75">
        <f t="shared" si="27"/>
        <v>-0.87419482056001052</v>
      </c>
      <c r="L189" s="75">
        <f>VLOOKUP($A189,'Data Vlaue (Cr)'!$C:$FB,67)</f>
        <v>23333</v>
      </c>
      <c r="M189" s="75">
        <f>VLOOKUP($A189,'Data Vlaue (Cr)'!$C:$FB,68)</f>
        <v>6812</v>
      </c>
      <c r="N189" s="75">
        <f t="shared" si="28"/>
        <v>16521</v>
      </c>
      <c r="O189" s="75">
        <f t="shared" si="29"/>
        <v>70.805297218531692</v>
      </c>
      <c r="P189" s="75">
        <f>VLOOKUP($A189,'Data Vlaue (Cr)'!$C:$FB,119)</f>
        <v>0.68</v>
      </c>
      <c r="Q189" s="75">
        <f>VLOOKUP($A189,'Data Vlaue (Cr)'!$C:$FB,122)*100</f>
        <v>19.3</v>
      </c>
      <c r="R189" s="75">
        <f>VLOOKUP($A189,'Data Vlaue (Cr)'!$C:$FB,125)</f>
        <v>0.5</v>
      </c>
      <c r="S189" s="75">
        <f>VLOOKUP($A189,'Data Vlaue (Cr)'!$C:$FB,128)*100</f>
        <v>-13.79</v>
      </c>
    </row>
    <row r="190" spans="1:19" x14ac:dyDescent="0.25">
      <c r="A190" s="96" t="str">
        <f>'Data Vlaue (Cr)'!C181</f>
        <v>SHREECEM</v>
      </c>
      <c r="B190" s="75">
        <f>VLOOKUP($A190,'Data Vlaue (Cr)'!$C:$FB,2)</f>
        <v>25</v>
      </c>
      <c r="C190" s="75">
        <f>VLOOKUP($A190,'Data Vlaue (Cr)'!$C:$FB,8)</f>
        <v>29445</v>
      </c>
      <c r="D190" s="75">
        <f>VLOOKUP($A190,'Data Vlaue (Cr)'!$C:$FB,4)</f>
        <v>29605</v>
      </c>
      <c r="E190" s="75">
        <f>VLOOKUP($A190,'Data Vlaue (Cr)'!$C:$FB,5)</f>
        <v>29655</v>
      </c>
      <c r="F190" s="75">
        <f t="shared" si="24"/>
        <v>160</v>
      </c>
      <c r="G190" s="75">
        <f t="shared" si="25"/>
        <v>-0.16889039013680121</v>
      </c>
      <c r="H190" s="75">
        <f>VLOOKUP($A190,'Data Vlaue (Cr)'!$C:$FB,99)</f>
        <v>808</v>
      </c>
      <c r="I190" s="75">
        <f>VLOOKUP($A190,'Data Vlaue (Cr)'!$C:$FB,100)</f>
        <v>808</v>
      </c>
      <c r="J190" s="75">
        <f t="shared" si="26"/>
        <v>0</v>
      </c>
      <c r="K190" s="75">
        <f t="shared" si="27"/>
        <v>0</v>
      </c>
      <c r="L190" s="75">
        <f>VLOOKUP($A190,'Data Vlaue (Cr)'!$C:$FB,67)</f>
        <v>95</v>
      </c>
      <c r="M190" s="75">
        <f>VLOOKUP($A190,'Data Vlaue (Cr)'!$C:$FB,68)</f>
        <v>196</v>
      </c>
      <c r="N190" s="75">
        <f t="shared" si="28"/>
        <v>-101</v>
      </c>
      <c r="O190" s="75">
        <f t="shared" si="29"/>
        <v>-106.31578947368421</v>
      </c>
      <c r="P190" s="75">
        <f>VLOOKUP($A190,'Data Vlaue (Cr)'!$C:$FB,119)</f>
        <v>0.76</v>
      </c>
      <c r="Q190" s="75">
        <f>VLOOKUP($A190,'Data Vlaue (Cr)'!$C:$FB,122)*100</f>
        <v>-1.3</v>
      </c>
      <c r="R190" s="75">
        <f>VLOOKUP($A190,'Data Vlaue (Cr)'!$C:$FB,125)</f>
        <v>0.28000000000000003</v>
      </c>
      <c r="S190" s="75">
        <f>VLOOKUP($A190,'Data Vlaue (Cr)'!$C:$FB,128)*100</f>
        <v>-80</v>
      </c>
    </row>
    <row r="191" spans="1:19" x14ac:dyDescent="0.25">
      <c r="A191" s="96" t="str">
        <f>'Data Vlaue (Cr)'!C182</f>
        <v>SHRIRAMFIN</v>
      </c>
      <c r="B191" s="75">
        <f>VLOOKUP($A191,'Data Vlaue (Cr)'!$C:$FB,2)</f>
        <v>825</v>
      </c>
      <c r="C191" s="75">
        <f>VLOOKUP($A191,'Data Vlaue (Cr)'!$C:$FB,8)</f>
        <v>665.05</v>
      </c>
      <c r="D191" s="75">
        <f>VLOOKUP($A191,'Data Vlaue (Cr)'!$C:$FB,4)</f>
        <v>667.3</v>
      </c>
      <c r="E191" s="75">
        <f>VLOOKUP($A191,'Data Vlaue (Cr)'!$C:$FB,5)</f>
        <v>671.7</v>
      </c>
      <c r="F191" s="75">
        <f t="shared" si="24"/>
        <v>2.25</v>
      </c>
      <c r="G191" s="75">
        <f t="shared" si="25"/>
        <v>-0.65937359508468329</v>
      </c>
      <c r="H191" s="75">
        <f>VLOOKUP($A191,'Data Vlaue (Cr)'!$C:$FB,99)</f>
        <v>4204</v>
      </c>
      <c r="I191" s="75">
        <f>VLOOKUP($A191,'Data Vlaue (Cr)'!$C:$FB,100)</f>
        <v>4245</v>
      </c>
      <c r="J191" s="75">
        <f t="shared" si="26"/>
        <v>-41</v>
      </c>
      <c r="K191" s="75">
        <f t="shared" si="27"/>
        <v>-0.97526165556612743</v>
      </c>
      <c r="L191" s="75">
        <f>VLOOKUP($A191,'Data Vlaue (Cr)'!$C:$FB,67)</f>
        <v>868</v>
      </c>
      <c r="M191" s="75">
        <f>VLOOKUP($A191,'Data Vlaue (Cr)'!$C:$FB,68)</f>
        <v>779</v>
      </c>
      <c r="N191" s="75">
        <f t="shared" si="28"/>
        <v>89</v>
      </c>
      <c r="O191" s="75">
        <f t="shared" si="29"/>
        <v>10.253456221198157</v>
      </c>
      <c r="P191" s="75">
        <f>VLOOKUP($A191,'Data Vlaue (Cr)'!$C:$FB,119)</f>
        <v>0.93</v>
      </c>
      <c r="Q191" s="75">
        <f>VLOOKUP($A191,'Data Vlaue (Cr)'!$C:$FB,122)*100</f>
        <v>-1.06</v>
      </c>
      <c r="R191" s="75">
        <f>VLOOKUP($A191,'Data Vlaue (Cr)'!$C:$FB,125)</f>
        <v>0.56999999999999995</v>
      </c>
      <c r="S191" s="75">
        <f>VLOOKUP($A191,'Data Vlaue (Cr)'!$C:$FB,128)*100</f>
        <v>0</v>
      </c>
    </row>
    <row r="192" spans="1:19" x14ac:dyDescent="0.25">
      <c r="A192" s="96" t="str">
        <f>'Data Vlaue (Cr)'!C183</f>
        <v>SIEMENS</v>
      </c>
      <c r="B192" s="75">
        <f>VLOOKUP($A192,'Data Vlaue (Cr)'!$C:$FB,2)</f>
        <v>125</v>
      </c>
      <c r="C192" s="75">
        <f>VLOOKUP($A192,'Data Vlaue (Cr)'!$C:$FB,8)</f>
        <v>3147.4</v>
      </c>
      <c r="D192" s="75">
        <f>VLOOKUP($A192,'Data Vlaue (Cr)'!$C:$FB,4)</f>
        <v>3157.5</v>
      </c>
      <c r="E192" s="75">
        <f>VLOOKUP($A192,'Data Vlaue (Cr)'!$C:$FB,5)</f>
        <v>3188.2</v>
      </c>
      <c r="F192" s="75">
        <f t="shared" si="24"/>
        <v>10.099999999999909</v>
      </c>
      <c r="G192" s="75">
        <f t="shared" si="25"/>
        <v>-0.97228820269199734</v>
      </c>
      <c r="H192" s="75">
        <f>VLOOKUP($A192,'Data Vlaue (Cr)'!$C:$FB,99)</f>
        <v>1146</v>
      </c>
      <c r="I192" s="75">
        <f>VLOOKUP($A192,'Data Vlaue (Cr)'!$C:$FB,100)</f>
        <v>1097</v>
      </c>
      <c r="J192" s="75">
        <f t="shared" si="26"/>
        <v>49</v>
      </c>
      <c r="K192" s="75">
        <f t="shared" si="27"/>
        <v>4.2757417102966846</v>
      </c>
      <c r="L192" s="75">
        <f>VLOOKUP($A192,'Data Vlaue (Cr)'!$C:$FB,67)</f>
        <v>736</v>
      </c>
      <c r="M192" s="75">
        <f>VLOOKUP($A192,'Data Vlaue (Cr)'!$C:$FB,68)</f>
        <v>618</v>
      </c>
      <c r="N192" s="75">
        <f t="shared" si="28"/>
        <v>118</v>
      </c>
      <c r="O192" s="75">
        <f t="shared" si="29"/>
        <v>16.032608695652172</v>
      </c>
      <c r="P192" s="75">
        <f>VLOOKUP($A192,'Data Vlaue (Cr)'!$C:$FB,119)</f>
        <v>0.41</v>
      </c>
      <c r="Q192" s="75">
        <f>VLOOKUP($A192,'Data Vlaue (Cr)'!$C:$FB,122)*100</f>
        <v>-8.89</v>
      </c>
      <c r="R192" s="75">
        <f>VLOOKUP($A192,'Data Vlaue (Cr)'!$C:$FB,125)</f>
        <v>0.31</v>
      </c>
      <c r="S192" s="75">
        <f>VLOOKUP($A192,'Data Vlaue (Cr)'!$C:$FB,128)*100</f>
        <v>-36.730000000000004</v>
      </c>
    </row>
    <row r="193" spans="1:19" x14ac:dyDescent="0.25">
      <c r="A193" s="96" t="str">
        <f>'Data Vlaue (Cr)'!C216</f>
        <v>ZYDUSLIFE</v>
      </c>
      <c r="B193" s="75">
        <f>VLOOKUP($A193,'Data Vlaue (Cr)'!$C:$FB,2)</f>
        <v>900</v>
      </c>
      <c r="C193" s="75">
        <f>VLOOKUP($A193,'Data Vlaue (Cr)'!$C:$FB,8)</f>
        <v>993.45</v>
      </c>
      <c r="D193" s="75">
        <f>VLOOKUP($A193,'Data Vlaue (Cr)'!$C:$FB,4)</f>
        <v>999.2</v>
      </c>
      <c r="E193" s="75">
        <f>VLOOKUP($A193,'Data Vlaue (Cr)'!$C:$FB,5)</f>
        <v>1000.1</v>
      </c>
      <c r="F193" s="75">
        <f t="shared" si="24"/>
        <v>5.75</v>
      </c>
      <c r="G193" s="75">
        <f t="shared" si="25"/>
        <v>-9.0072057646114617E-2</v>
      </c>
      <c r="H193" s="75">
        <f>VLOOKUP($A193,'Data Vlaue (Cr)'!$C:$FB,99)</f>
        <v>1409</v>
      </c>
      <c r="I193" s="75">
        <f>VLOOKUP($A193,'Data Vlaue (Cr)'!$C:$FB,100)</f>
        <v>1354</v>
      </c>
      <c r="J193" s="75">
        <f t="shared" si="26"/>
        <v>55</v>
      </c>
      <c r="K193" s="75">
        <f t="shared" si="27"/>
        <v>3.9034776437189493</v>
      </c>
      <c r="L193" s="75">
        <f>VLOOKUP($A193,'Data Vlaue (Cr)'!$C:$FB,67)</f>
        <v>1216</v>
      </c>
      <c r="M193" s="75">
        <f>VLOOKUP($A193,'Data Vlaue (Cr)'!$C:$FB,68)</f>
        <v>1516</v>
      </c>
      <c r="N193" s="75">
        <f t="shared" si="28"/>
        <v>-300</v>
      </c>
      <c r="O193" s="75">
        <f t="shared" si="29"/>
        <v>-24.671052631578945</v>
      </c>
      <c r="P193" s="75">
        <f>VLOOKUP($A193,'Data Vlaue (Cr)'!$C:$FB,119)</f>
        <v>0.62</v>
      </c>
      <c r="Q193" s="75">
        <f>VLOOKUP($A193,'Data Vlaue (Cr)'!$C:$FB,122)*100</f>
        <v>3.3300000000000005</v>
      </c>
      <c r="R193" s="75">
        <f>VLOOKUP($A193,'Data Vlaue (Cr)'!$C:$FB,125)</f>
        <v>0.4</v>
      </c>
      <c r="S193" s="75">
        <f>VLOOKUP($A193,'Data Vlaue (Cr)'!$C:$FB,128)*100</f>
        <v>81.820000000000007</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36"/>
      <c r="B224" s="236"/>
      <c r="C224" s="236"/>
      <c r="D224" s="236"/>
      <c r="E224" s="236"/>
      <c r="F224" s="236"/>
      <c r="G224" s="15"/>
      <c r="H224" s="16"/>
      <c r="I224" s="236"/>
      <c r="J224" s="236"/>
      <c r="K224" s="236"/>
      <c r="L224" s="236"/>
      <c r="M224" s="236"/>
      <c r="N224" s="16"/>
      <c r="O224" s="16"/>
      <c r="P224" s="16"/>
      <c r="Q224" s="236"/>
      <c r="R224" s="236"/>
      <c r="S224" s="236"/>
    </row>
    <row r="225" spans="1:19" x14ac:dyDescent="0.25">
      <c r="A225" s="233" t="s">
        <v>391</v>
      </c>
      <c r="B225" s="234"/>
      <c r="C225" s="234"/>
      <c r="D225" s="234"/>
      <c r="E225" s="234"/>
      <c r="F225" s="235"/>
      <c r="G225" s="18"/>
      <c r="H225" s="18">
        <f>SUM(H11:H223)</f>
        <v>2394217</v>
      </c>
      <c r="I225" s="18">
        <f>SUM(I11:I223)</f>
        <v>2177040</v>
      </c>
      <c r="J225" s="18">
        <f>H225-I225</f>
        <v>217177</v>
      </c>
      <c r="K225" s="19">
        <f>J225/I225</f>
        <v>9.9757928196082757E-2</v>
      </c>
      <c r="L225" s="18">
        <f>SUM(L11:L223)</f>
        <v>19884407</v>
      </c>
      <c r="M225" s="18">
        <f>SUM(M11:M223)</f>
        <v>13763731</v>
      </c>
      <c r="N225" s="18">
        <f>L225-M225</f>
        <v>6120676</v>
      </c>
      <c r="O225" s="19">
        <f>N225/M225</f>
        <v>0.44469599122505371</v>
      </c>
      <c r="P225" s="233"/>
      <c r="Q225" s="234"/>
      <c r="R225" s="234"/>
      <c r="S225" s="235"/>
    </row>
    <row r="229" spans="1:19" x14ac:dyDescent="0.25">
      <c r="A229" s="239" t="s">
        <v>334</v>
      </c>
      <c r="B229" s="239"/>
      <c r="C229" s="239"/>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11203</v>
      </c>
      <c r="C231" s="146">
        <f>VLOOKUP(B230,'OI(Value)'!A7:G209,7,0)</f>
        <v>3.8899999999999997E-2</v>
      </c>
      <c r="D231" s="9">
        <f>VLOOKUP(D230,'OI(Value)'!A7:E209,5,0)</f>
        <v>47824</v>
      </c>
      <c r="E231" s="147">
        <f>VLOOKUP(D230,'OI(Value)'!A7:G209,7,0)</f>
        <v>-5.1000000000000004E-3</v>
      </c>
      <c r="F231" s="9">
        <f>G231-D231-B231</f>
        <v>429827</v>
      </c>
      <c r="G231" s="10">
        <f>'OI(Value)'!E210</f>
        <v>488854</v>
      </c>
      <c r="H231" s="147">
        <f>'OI(Value)'!D217</f>
        <v>2.4833590397132887E-3</v>
      </c>
    </row>
    <row r="232" spans="1:19" x14ac:dyDescent="0.25">
      <c r="A232" s="26" t="s">
        <v>389</v>
      </c>
      <c r="B232" s="9">
        <f>VLOOKUP(B230,'OI(Value)'!A7:H209,8,0)</f>
        <v>101940</v>
      </c>
      <c r="C232" s="146">
        <f>VLOOKUP(B230,'OI(Value)'!A7:J209,10,0)</f>
        <v>2.24E-2</v>
      </c>
      <c r="D232" s="9">
        <f>VLOOKUP(D230,'OI(Value)'!A1:O210,8,0)</f>
        <v>610958</v>
      </c>
      <c r="E232" s="147">
        <f>VLOOKUP(D230,'OI(Value)'!A1:J209,10,0)</f>
        <v>2.8799999999999999E-2</v>
      </c>
      <c r="F232" s="9">
        <f>G232-D232-B232</f>
        <v>159237</v>
      </c>
      <c r="G232" s="9">
        <f>'OI(Value)'!H210</f>
        <v>872135</v>
      </c>
      <c r="H232" s="147">
        <f>'OI(Value)'!D218</f>
        <v>2.8031210764388539E-2</v>
      </c>
    </row>
    <row r="233" spans="1:19" x14ac:dyDescent="0.25">
      <c r="A233" s="26" t="s">
        <v>390</v>
      </c>
      <c r="B233" s="9">
        <f>VLOOKUP(B230,'OI(Value)'!A7:K209,11,0)</f>
        <v>116628</v>
      </c>
      <c r="C233" s="146">
        <f>VLOOKUP(B230,'OI(Value)'!A7:M209,13,0)</f>
        <v>8.5599999999999996E-2</v>
      </c>
      <c r="D233" s="9">
        <f>VLOOKUP(D230,'OI(Value)'!A2:O211,11,0)</f>
        <v>806312</v>
      </c>
      <c r="E233" s="147">
        <f>VLOOKUP(D230,'OI(Value)'!A7:M209,13,0)</f>
        <v>0.28260000000000002</v>
      </c>
      <c r="F233" s="9">
        <f>G233-D233-B233</f>
        <v>110276</v>
      </c>
      <c r="G233" s="9">
        <f>'OI(Value)'!K210</f>
        <v>1033216</v>
      </c>
      <c r="H233" s="147">
        <f>'OI(Volume)'!D229</f>
        <v>4.6383893852251411E-2</v>
      </c>
    </row>
    <row r="234" spans="1:19" x14ac:dyDescent="0.25">
      <c r="A234" s="22" t="s">
        <v>391</v>
      </c>
      <c r="B234" s="62">
        <f>SUM(B231:B233)</f>
        <v>229771</v>
      </c>
      <c r="C234" s="148">
        <f>VLOOKUP(B230,'OI(Value)'!A7:D148,4,0)</f>
        <v>5.4399999999999997E-2</v>
      </c>
      <c r="D234" s="62">
        <f>SUM(D231:D233)</f>
        <v>1465094</v>
      </c>
      <c r="E234" s="148">
        <f>VLOOKUP(D230,'OI(Value)'!A1:D210,4,0)</f>
        <v>0.15310000000000001</v>
      </c>
      <c r="F234" s="62">
        <f>SUM(F231:F233)</f>
        <v>699340</v>
      </c>
      <c r="G234" s="62">
        <f>SUM(G231:G233)</f>
        <v>2394205</v>
      </c>
      <c r="H234" s="151">
        <f>'OI(Value)'!D220</f>
        <v>9.0709442173915772E-2</v>
      </c>
    </row>
    <row r="238" spans="1:19" x14ac:dyDescent="0.25">
      <c r="A238" s="20" t="s">
        <v>392</v>
      </c>
      <c r="B238" s="11"/>
      <c r="C238" s="11"/>
      <c r="D238" s="11"/>
      <c r="E238" s="11"/>
      <c r="F238" s="11"/>
      <c r="G238" s="11"/>
      <c r="H238" s="12"/>
    </row>
    <row r="239" spans="1:19" x14ac:dyDescent="0.25">
      <c r="A239" s="27"/>
      <c r="B239" s="27"/>
      <c r="C239" s="240" t="s">
        <v>459</v>
      </c>
      <c r="D239" s="241"/>
      <c r="E239" s="242"/>
      <c r="F239" s="240" t="s">
        <v>460</v>
      </c>
      <c r="G239" s="241"/>
      <c r="H239" s="242"/>
    </row>
    <row r="240" spans="1:19" x14ac:dyDescent="0.25">
      <c r="A240" s="28"/>
      <c r="B240" s="27"/>
      <c r="C240" s="31">
        <f>D10</f>
        <v>45940</v>
      </c>
      <c r="D240" s="31" t="s">
        <v>397</v>
      </c>
      <c r="E240" s="32" t="s">
        <v>321</v>
      </c>
      <c r="F240" s="31">
        <f>C240</f>
        <v>45940</v>
      </c>
      <c r="G240" s="31" t="str">
        <f>D240</f>
        <v>Preious</v>
      </c>
      <c r="H240" s="32" t="s">
        <v>386</v>
      </c>
    </row>
    <row r="241" spans="1:8" x14ac:dyDescent="0.25">
      <c r="A241" s="29" t="s">
        <v>393</v>
      </c>
      <c r="B241" s="30"/>
      <c r="C241" s="13">
        <f>FII!N3</f>
        <v>5255</v>
      </c>
      <c r="D241" s="13">
        <f>FII!J3</f>
        <v>5394</v>
      </c>
      <c r="E241" s="14">
        <f>(C241-D241)/C241</f>
        <v>-2.6450999048525214E-2</v>
      </c>
      <c r="F241" s="13">
        <f>FII!M3</f>
        <v>26394</v>
      </c>
      <c r="G241" s="13">
        <f>FII!I3</f>
        <v>27303</v>
      </c>
      <c r="H241" s="14">
        <f>(F241-G241)/F241</f>
        <v>-3.4439645373948627E-2</v>
      </c>
    </row>
    <row r="242" spans="1:8" x14ac:dyDescent="0.25">
      <c r="A242" s="237" t="s">
        <v>394</v>
      </c>
      <c r="B242" s="238"/>
      <c r="C242" s="13">
        <f>FII!N4</f>
        <v>46443</v>
      </c>
      <c r="D242" s="13">
        <f>FII!J4</f>
        <v>43505</v>
      </c>
      <c r="E242" s="14">
        <f>(C242-D242)/C242</f>
        <v>6.3260340632603412E-2</v>
      </c>
      <c r="F242" s="13">
        <f>FII!M4</f>
        <v>234399</v>
      </c>
      <c r="G242" s="13">
        <f>FII!I4</f>
        <v>221206</v>
      </c>
      <c r="H242" s="14">
        <f>(F242-G242)/F242</f>
        <v>5.6284369813864393E-2</v>
      </c>
    </row>
    <row r="243" spans="1:8" x14ac:dyDescent="0.25">
      <c r="A243" s="237" t="s">
        <v>395</v>
      </c>
      <c r="B243" s="238"/>
      <c r="C243" s="13">
        <f>FII!N15</f>
        <v>395405</v>
      </c>
      <c r="D243" s="13">
        <f>FII!J15</f>
        <v>392938</v>
      </c>
      <c r="E243" s="14">
        <f>(C243-D243)/C243</f>
        <v>6.2391724940251136E-3</v>
      </c>
      <c r="F243" s="13">
        <f>FII!M15</f>
        <v>5591941</v>
      </c>
      <c r="G243" s="13">
        <f>FII!I15</f>
        <v>5582927</v>
      </c>
      <c r="H243" s="14">
        <f>(F243-G243)/F243</f>
        <v>1.6119626440979974E-3</v>
      </c>
    </row>
    <row r="244" spans="1:8" x14ac:dyDescent="0.25">
      <c r="A244" s="237" t="s">
        <v>396</v>
      </c>
      <c r="B244" s="238"/>
      <c r="C244" s="13">
        <f>FII!N16</f>
        <v>26241</v>
      </c>
      <c r="D244" s="13">
        <f>FII!J16</f>
        <v>24925</v>
      </c>
      <c r="E244" s="14">
        <f>(C244-D244)/C244</f>
        <v>5.0150527800007623E-2</v>
      </c>
      <c r="F244" s="13">
        <f>FII!M16</f>
        <v>373100</v>
      </c>
      <c r="G244" s="13">
        <f>FII!I16</f>
        <v>355292</v>
      </c>
      <c r="H244" s="14">
        <f>(F244-G244)/F244</f>
        <v>4.7729831144465294E-2</v>
      </c>
    </row>
    <row r="245" spans="1:8" x14ac:dyDescent="0.25">
      <c r="A245" s="237" t="s">
        <v>391</v>
      </c>
      <c r="B245" s="238"/>
      <c r="C245" s="155">
        <f>SUM(C241:C244)</f>
        <v>473344</v>
      </c>
      <c r="D245" s="155">
        <f>SUM(D241:D244)</f>
        <v>466762</v>
      </c>
      <c r="E245" s="156">
        <f>(C245-D245)/C245</f>
        <v>1.3905320443482964E-2</v>
      </c>
      <c r="F245" s="157">
        <f>SUM(F241:F244)</f>
        <v>6225834</v>
      </c>
      <c r="G245" s="158">
        <f>SUM(G241:G244)</f>
        <v>6186728</v>
      </c>
      <c r="H245" s="156">
        <f>(F245-G245)/F245</f>
        <v>6.2812468176954286E-3</v>
      </c>
    </row>
  </sheetData>
  <mergeCells count="24">
    <mergeCell ref="A6:S6"/>
    <mergeCell ref="A7:S7"/>
    <mergeCell ref="A8:A9"/>
    <mergeCell ref="H8:K8"/>
    <mergeCell ref="L8:O8"/>
    <mergeCell ref="P8:S8"/>
    <mergeCell ref="D9:G9"/>
    <mergeCell ref="H9:K9"/>
    <mergeCell ref="C8:G8"/>
    <mergeCell ref="L9:O9"/>
    <mergeCell ref="P9:Q9"/>
    <mergeCell ref="R9:S9"/>
    <mergeCell ref="A244:B244"/>
    <mergeCell ref="A245:B245"/>
    <mergeCell ref="A229:C229"/>
    <mergeCell ref="C239:E239"/>
    <mergeCell ref="F239:H239"/>
    <mergeCell ref="A242:B242"/>
    <mergeCell ref="A243:B243"/>
    <mergeCell ref="P225:S225"/>
    <mergeCell ref="A225:F225"/>
    <mergeCell ref="Q224:S224"/>
    <mergeCell ref="I224:M224"/>
    <mergeCell ref="A224:F224"/>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52"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60" t="s">
        <v>325</v>
      </c>
      <c r="B3" s="261"/>
      <c r="C3" s="261"/>
      <c r="D3" s="261"/>
      <c r="E3" s="261"/>
      <c r="F3" s="261"/>
      <c r="G3" s="261"/>
      <c r="H3" s="261"/>
      <c r="I3" s="261"/>
      <c r="J3" s="261"/>
      <c r="K3" s="261"/>
      <c r="L3" s="261"/>
      <c r="M3" s="261"/>
      <c r="N3" s="261"/>
      <c r="O3" s="261"/>
      <c r="P3" s="261"/>
      <c r="Q3" s="262"/>
    </row>
    <row r="4" spans="1:17" s="64" customFormat="1" x14ac:dyDescent="0.25">
      <c r="A4" s="263"/>
      <c r="B4" s="263" t="s">
        <v>308</v>
      </c>
      <c r="C4" s="263"/>
      <c r="D4" s="264"/>
      <c r="E4" s="264"/>
      <c r="F4" s="263" t="s">
        <v>326</v>
      </c>
      <c r="G4" s="263"/>
      <c r="H4" s="263"/>
      <c r="I4" s="263" t="s">
        <v>327</v>
      </c>
      <c r="J4" s="263"/>
      <c r="K4" s="263"/>
      <c r="L4" s="263" t="s">
        <v>311</v>
      </c>
      <c r="M4" s="263"/>
      <c r="N4" s="263"/>
      <c r="O4" s="263"/>
      <c r="P4" s="263"/>
      <c r="Q4" s="263"/>
    </row>
    <row r="5" spans="1:17" s="64" customFormat="1" x14ac:dyDescent="0.25">
      <c r="A5" s="258"/>
      <c r="B5" s="73" t="s">
        <v>312</v>
      </c>
      <c r="C5" s="258" t="s">
        <v>313</v>
      </c>
      <c r="D5" s="259"/>
      <c r="E5" s="259"/>
      <c r="F5" s="258" t="s">
        <v>314</v>
      </c>
      <c r="G5" s="258"/>
      <c r="H5" s="258"/>
      <c r="I5" s="258" t="s">
        <v>315</v>
      </c>
      <c r="J5" s="258"/>
      <c r="K5" s="258"/>
      <c r="L5" s="258" t="s">
        <v>316</v>
      </c>
      <c r="M5" s="258"/>
      <c r="N5" s="258"/>
      <c r="O5" s="258" t="s">
        <v>317</v>
      </c>
      <c r="P5" s="258"/>
      <c r="Q5" s="258"/>
    </row>
    <row r="6" spans="1:17" s="72" customFormat="1" ht="33.75" x14ac:dyDescent="0.25">
      <c r="A6" s="71" t="s">
        <v>558</v>
      </c>
      <c r="B6" s="66">
        <f>'Snapshot (Value)'!C10</f>
        <v>45940</v>
      </c>
      <c r="C6" s="66">
        <f>'Snapshot (Value)'!D10</f>
        <v>45940</v>
      </c>
      <c r="D6" s="71" t="s">
        <v>322</v>
      </c>
      <c r="E6" s="71" t="s">
        <v>328</v>
      </c>
      <c r="F6" s="66">
        <f>C6</f>
        <v>45940</v>
      </c>
      <c r="G6" s="71" t="s">
        <v>322</v>
      </c>
      <c r="H6" s="71" t="s">
        <v>328</v>
      </c>
      <c r="I6" s="66">
        <f>C6</f>
        <v>45940</v>
      </c>
      <c r="J6" s="71" t="s">
        <v>322</v>
      </c>
      <c r="K6" s="71" t="s">
        <v>328</v>
      </c>
      <c r="L6" s="66">
        <f>C6</f>
        <v>45940</v>
      </c>
      <c r="M6" s="71" t="s">
        <v>322</v>
      </c>
      <c r="N6" s="71" t="s">
        <v>328</v>
      </c>
      <c r="O6" s="66">
        <f>C6</f>
        <v>45940</v>
      </c>
      <c r="P6" s="71" t="s">
        <v>322</v>
      </c>
      <c r="Q6" s="71" t="s">
        <v>328</v>
      </c>
    </row>
    <row r="7" spans="1:17" x14ac:dyDescent="0.25">
      <c r="A7" s="97" t="str">
        <f>'Data Vlaue (Cr)'!C2</f>
        <v>360ONE</v>
      </c>
      <c r="B7" s="140">
        <f>VLOOKUP($A7,'Data shares'!$C:$FB,7)</f>
        <v>1095.0999999999999</v>
      </c>
      <c r="C7" s="140">
        <f>VLOOKUP($A7,'Data shares'!$C:$FB,3)</f>
        <v>1094.3</v>
      </c>
      <c r="D7" s="140">
        <f>VLOOKUP($A7,'Data shares'!$C:$FB,4)</f>
        <v>1083.2</v>
      </c>
      <c r="E7" s="50">
        <f>(C7-D7)/D7*100</f>
        <v>1.0247415066469634</v>
      </c>
      <c r="F7" s="49">
        <f>VLOOKUP($A7,'Data shares'!$C:$FB,98)</f>
        <v>4059000</v>
      </c>
      <c r="G7" s="49">
        <f>VLOOKUP($A7,'Data shares'!$C:$FB,99)</f>
        <v>4044000</v>
      </c>
      <c r="H7" s="50">
        <f>(F7-G7)/G7*100</f>
        <v>0.37091988130563802</v>
      </c>
      <c r="I7" s="49">
        <f>VLOOKUP($A7,'Data shares'!$C:$FB,66)</f>
        <v>1488500</v>
      </c>
      <c r="J7" s="49">
        <f>VLOOKUP($A7,'Data shares'!$C:$FB,67)</f>
        <v>1249000</v>
      </c>
      <c r="K7" s="50">
        <f>(I7-J7)/I7*100</f>
        <v>16.090023513604297</v>
      </c>
      <c r="L7" s="50">
        <f>VLOOKUP($A7,'Data shares'!$C:$FB,118)</f>
        <v>0.72</v>
      </c>
      <c r="M7" s="50">
        <f>VLOOKUP($A7,'Data shares'!$C:$FB,119)</f>
        <v>0.72</v>
      </c>
      <c r="N7" s="50">
        <f>VLOOKUP($A7,'Data shares'!$C:$FB,121)*100</f>
        <v>0</v>
      </c>
      <c r="O7" s="50">
        <f>VLOOKUP($A7,'Data shares'!$C:$FB,124)</f>
        <v>0.17</v>
      </c>
      <c r="P7" s="50">
        <f>VLOOKUP($A7,'Data shares'!$C:$FB,125)</f>
        <v>0.28999999999999998</v>
      </c>
      <c r="Q7" s="50">
        <f>VLOOKUP($A7,'Data shares'!$C:$FB,127)*100</f>
        <v>-41.38</v>
      </c>
    </row>
    <row r="8" spans="1:17" x14ac:dyDescent="0.25">
      <c r="A8" s="97" t="str">
        <f>'Data Vlaue (Cr)'!C3</f>
        <v>ABB</v>
      </c>
      <c r="B8" s="140">
        <f>VLOOKUP($A8,'Data shares'!$C:$FB,7)</f>
        <v>5186</v>
      </c>
      <c r="C8" s="140">
        <f>VLOOKUP($A8,'Data shares'!$C:$FB,3)</f>
        <v>5199</v>
      </c>
      <c r="D8" s="140">
        <f>VLOOKUP($A8,'Data shares'!$C:$FB,4)</f>
        <v>5161</v>
      </c>
      <c r="E8" s="50">
        <f t="shared" ref="E8:E71" si="0">(C8-D8)/D8*100</f>
        <v>0.7362914163921721</v>
      </c>
      <c r="F8" s="49">
        <f>VLOOKUP($A8,'Data shares'!$C:$FB,98)</f>
        <v>4563125</v>
      </c>
      <c r="G8" s="49">
        <f>VLOOKUP($A8,'Data shares'!$C:$FB,99)</f>
        <v>4606875</v>
      </c>
      <c r="H8" s="50">
        <f t="shared" ref="H8:H71" si="1">(F8-G8)/G8*100</f>
        <v>-0.94966761633428298</v>
      </c>
      <c r="I8" s="49">
        <f>VLOOKUP($A8,'Data shares'!$C:$FB,66)</f>
        <v>1791375</v>
      </c>
      <c r="J8" s="49">
        <f>VLOOKUP($A8,'Data shares'!$C:$FB,67)</f>
        <v>2727750</v>
      </c>
      <c r="K8" s="50">
        <f t="shared" ref="K8:K71" si="2">(I8-J8)/I8*100</f>
        <v>-52.271299979066356</v>
      </c>
      <c r="L8" s="50">
        <f>VLOOKUP($A8,'Data shares'!$C:$FB,118)</f>
        <v>0.65</v>
      </c>
      <c r="M8" s="50">
        <f>VLOOKUP($A8,'Data shares'!$C:$FB,119)</f>
        <v>0.63</v>
      </c>
      <c r="N8" s="50">
        <f>VLOOKUP($A8,'Data shares'!$C:$FB,121)*100</f>
        <v>3.17</v>
      </c>
      <c r="O8" s="50">
        <f>VLOOKUP($A8,'Data shares'!$C:$FB,124)</f>
        <v>0.35</v>
      </c>
      <c r="P8" s="50">
        <f>VLOOKUP($A8,'Data shares'!$C:$FB,125)</f>
        <v>0.55000000000000004</v>
      </c>
      <c r="Q8" s="50">
        <f>VLOOKUP($A8,'Data shares'!$C:$FB,127)*100</f>
        <v>-36.36</v>
      </c>
    </row>
    <row r="9" spans="1:17" x14ac:dyDescent="0.25">
      <c r="A9" s="97" t="str">
        <f>'Data Vlaue (Cr)'!C4</f>
        <v>ABCAPITAL</v>
      </c>
      <c r="B9" s="140">
        <f>VLOOKUP($A9,'Data shares'!$C:$FB,7)</f>
        <v>293.35000000000002</v>
      </c>
      <c r="C9" s="140">
        <f>VLOOKUP($A9,'Data shares'!$C:$FB,3)</f>
        <v>295</v>
      </c>
      <c r="D9" s="140">
        <f>VLOOKUP($A9,'Data shares'!$C:$FB,4)</f>
        <v>299.7</v>
      </c>
      <c r="E9" s="50">
        <f t="shared" si="0"/>
        <v>-1.5682349015682311</v>
      </c>
      <c r="F9" s="49">
        <f>VLOOKUP($A9,'Data shares'!$C:$FB,98)</f>
        <v>107498700</v>
      </c>
      <c r="G9" s="49">
        <f>VLOOKUP($A9,'Data shares'!$C:$FB,99)</f>
        <v>102895200</v>
      </c>
      <c r="H9" s="50">
        <f t="shared" si="1"/>
        <v>4.473969631236443</v>
      </c>
      <c r="I9" s="49">
        <f>VLOOKUP($A9,'Data shares'!$C:$FB,66)</f>
        <v>35640700</v>
      </c>
      <c r="J9" s="49">
        <f>VLOOKUP($A9,'Data shares'!$C:$FB,67)</f>
        <v>27924800</v>
      </c>
      <c r="K9" s="50">
        <f t="shared" si="2"/>
        <v>21.649125858919717</v>
      </c>
      <c r="L9" s="50">
        <f>VLOOKUP($A9,'Data shares'!$C:$FB,118)</f>
        <v>0.54</v>
      </c>
      <c r="M9" s="50">
        <f>VLOOKUP($A9,'Data shares'!$C:$FB,119)</f>
        <v>0.57999999999999996</v>
      </c>
      <c r="N9" s="50">
        <f>VLOOKUP($A9,'Data shares'!$C:$FB,121)*100</f>
        <v>-6.9</v>
      </c>
      <c r="O9" s="50">
        <f>VLOOKUP($A9,'Data shares'!$C:$FB,124)</f>
        <v>0.38</v>
      </c>
      <c r="P9" s="50">
        <f>VLOOKUP($A9,'Data shares'!$C:$FB,125)</f>
        <v>0.44</v>
      </c>
      <c r="Q9" s="50">
        <f>VLOOKUP($A9,'Data shares'!$C:$FB,127)*100</f>
        <v>-13.639999999999999</v>
      </c>
    </row>
    <row r="10" spans="1:17" x14ac:dyDescent="0.25">
      <c r="A10" s="97" t="str">
        <f>'Data Vlaue (Cr)'!C5</f>
        <v>ADANIENSOL</v>
      </c>
      <c r="B10" s="140">
        <f>VLOOKUP($A10,'Data shares'!$C:$FB,7)</f>
        <v>925.85</v>
      </c>
      <c r="C10" s="140">
        <f>VLOOKUP($A10,'Data shares'!$C:$FB,3)</f>
        <v>931.2</v>
      </c>
      <c r="D10" s="140">
        <f>VLOOKUP($A10,'Data shares'!$C:$FB,4)</f>
        <v>934.65</v>
      </c>
      <c r="E10" s="50">
        <f t="shared" si="0"/>
        <v>-0.36912213127908111</v>
      </c>
      <c r="F10" s="49">
        <f>VLOOKUP($A10,'Data shares'!$C:$FB,98)</f>
        <v>23994225</v>
      </c>
      <c r="G10" s="49">
        <f>VLOOKUP($A10,'Data shares'!$C:$FB,99)</f>
        <v>23959125</v>
      </c>
      <c r="H10" s="50">
        <f t="shared" si="1"/>
        <v>0.14649950697281308</v>
      </c>
      <c r="I10" s="49">
        <f>VLOOKUP($A10,'Data shares'!$C:$FB,66)</f>
        <v>7223175</v>
      </c>
      <c r="J10" s="49">
        <f>VLOOKUP($A10,'Data shares'!$C:$FB,67)</f>
        <v>7107750</v>
      </c>
      <c r="K10" s="50">
        <f t="shared" si="2"/>
        <v>1.59798149705635</v>
      </c>
      <c r="L10" s="50">
        <f>VLOOKUP($A10,'Data shares'!$C:$FB,118)</f>
        <v>0.6</v>
      </c>
      <c r="M10" s="50">
        <f>VLOOKUP($A10,'Data shares'!$C:$FB,119)</f>
        <v>0.62</v>
      </c>
      <c r="N10" s="50">
        <f>VLOOKUP($A10,'Data shares'!$C:$FB,121)*100</f>
        <v>-3.2300000000000004</v>
      </c>
      <c r="O10" s="50">
        <f>VLOOKUP($A10,'Data shares'!$C:$FB,124)</f>
        <v>0.32</v>
      </c>
      <c r="P10" s="50">
        <f>VLOOKUP($A10,'Data shares'!$C:$FB,125)</f>
        <v>0.28000000000000003</v>
      </c>
      <c r="Q10" s="50">
        <f>VLOOKUP($A10,'Data shares'!$C:$FB,127)*100</f>
        <v>14.29</v>
      </c>
    </row>
    <row r="11" spans="1:17" x14ac:dyDescent="0.25">
      <c r="A11" s="97" t="str">
        <f>'Data Vlaue (Cr)'!C6</f>
        <v>ADANIENT</v>
      </c>
      <c r="B11" s="140">
        <f>VLOOKUP($A11,'Data shares'!$C:$FB,7)</f>
        <v>2550.9</v>
      </c>
      <c r="C11" s="140">
        <f>VLOOKUP($A11,'Data shares'!$C:$FB,3)</f>
        <v>2564.6999999999998</v>
      </c>
      <c r="D11" s="140">
        <f>VLOOKUP($A11,'Data shares'!$C:$FB,4)</f>
        <v>2557.9</v>
      </c>
      <c r="E11" s="50">
        <f t="shared" si="0"/>
        <v>0.26584307439695559</v>
      </c>
      <c r="F11" s="49">
        <f>VLOOKUP($A11,'Data shares'!$C:$FB,98)</f>
        <v>27175500</v>
      </c>
      <c r="G11" s="49">
        <f>VLOOKUP($A11,'Data shares'!$C:$FB,99)</f>
        <v>27064800</v>
      </c>
      <c r="H11" s="50">
        <f t="shared" si="1"/>
        <v>0.40901835594573022</v>
      </c>
      <c r="I11" s="49">
        <f>VLOOKUP($A11,'Data shares'!$C:$FB,66)</f>
        <v>11472600</v>
      </c>
      <c r="J11" s="49">
        <f>VLOOKUP($A11,'Data shares'!$C:$FB,67)</f>
        <v>12392400</v>
      </c>
      <c r="K11" s="50">
        <f t="shared" si="2"/>
        <v>-8.0173631086240267</v>
      </c>
      <c r="L11" s="50">
        <f>VLOOKUP($A11,'Data shares'!$C:$FB,118)</f>
        <v>0.56999999999999995</v>
      </c>
      <c r="M11" s="50">
        <f>VLOOKUP($A11,'Data shares'!$C:$FB,119)</f>
        <v>0.56999999999999995</v>
      </c>
      <c r="N11" s="50">
        <f>VLOOKUP($A11,'Data shares'!$C:$FB,121)*100</f>
        <v>0</v>
      </c>
      <c r="O11" s="50">
        <f>VLOOKUP($A11,'Data shares'!$C:$FB,124)</f>
        <v>0.36</v>
      </c>
      <c r="P11" s="50">
        <f>VLOOKUP($A11,'Data shares'!$C:$FB,125)</f>
        <v>0.34</v>
      </c>
      <c r="Q11" s="50">
        <f>VLOOKUP($A11,'Data shares'!$C:$FB,127)*100</f>
        <v>5.88</v>
      </c>
    </row>
    <row r="12" spans="1:17" x14ac:dyDescent="0.25">
      <c r="A12" s="97" t="str">
        <f>'Data Vlaue (Cr)'!C7</f>
        <v>ADANIGREEN</v>
      </c>
      <c r="B12" s="140">
        <f>VLOOKUP($A12,'Data shares'!$C:$FB,7)</f>
        <v>1064.3</v>
      </c>
      <c r="C12" s="140">
        <f>VLOOKUP($A12,'Data shares'!$C:$FB,3)</f>
        <v>1070.2</v>
      </c>
      <c r="D12" s="140">
        <f>VLOOKUP($A12,'Data shares'!$C:$FB,4)</f>
        <v>1056.5999999999999</v>
      </c>
      <c r="E12" s="50">
        <f t="shared" si="0"/>
        <v>1.2871474540980634</v>
      </c>
      <c r="F12" s="49">
        <f>VLOOKUP($A12,'Data shares'!$C:$FB,98)</f>
        <v>36364200</v>
      </c>
      <c r="G12" s="49">
        <f>VLOOKUP($A12,'Data shares'!$C:$FB,99)</f>
        <v>36378000</v>
      </c>
      <c r="H12" s="50">
        <f t="shared" si="1"/>
        <v>-3.7935015668810822E-2</v>
      </c>
      <c r="I12" s="49">
        <f>VLOOKUP($A12,'Data shares'!$C:$FB,66)</f>
        <v>17619000</v>
      </c>
      <c r="J12" s="49">
        <f>VLOOKUP($A12,'Data shares'!$C:$FB,67)</f>
        <v>11973000</v>
      </c>
      <c r="K12" s="50">
        <f t="shared" si="2"/>
        <v>32.044951472841824</v>
      </c>
      <c r="L12" s="50">
        <f>VLOOKUP($A12,'Data shares'!$C:$FB,118)</f>
        <v>0.51</v>
      </c>
      <c r="M12" s="50">
        <f>VLOOKUP($A12,'Data shares'!$C:$FB,119)</f>
        <v>0.49</v>
      </c>
      <c r="N12" s="50">
        <f>VLOOKUP($A12,'Data shares'!$C:$FB,121)*100</f>
        <v>4.08</v>
      </c>
      <c r="O12" s="50">
        <f>VLOOKUP($A12,'Data shares'!$C:$FB,124)</f>
        <v>0.31</v>
      </c>
      <c r="P12" s="50">
        <f>VLOOKUP($A12,'Data shares'!$C:$FB,125)</f>
        <v>0.32</v>
      </c>
      <c r="Q12" s="50">
        <f>VLOOKUP($A12,'Data shares'!$C:$FB,127)*100</f>
        <v>-3.1300000000000003</v>
      </c>
    </row>
    <row r="13" spans="1:17" x14ac:dyDescent="0.25">
      <c r="A13" s="97" t="str">
        <f>'Data Vlaue (Cr)'!C8</f>
        <v>ADANIPORTS</v>
      </c>
      <c r="B13" s="140">
        <f>VLOOKUP($A13,'Data shares'!$C:$FB,7)</f>
        <v>1409.4</v>
      </c>
      <c r="C13" s="140">
        <f>VLOOKUP($A13,'Data shares'!$C:$FB,3)</f>
        <v>1417.3</v>
      </c>
      <c r="D13" s="140">
        <f>VLOOKUP($A13,'Data shares'!$C:$FB,4)</f>
        <v>1403.9</v>
      </c>
      <c r="E13" s="50">
        <f t="shared" si="0"/>
        <v>0.95448393760238348</v>
      </c>
      <c r="F13" s="49">
        <f>VLOOKUP($A13,'Data shares'!$C:$FB,98)</f>
        <v>34877350</v>
      </c>
      <c r="G13" s="49">
        <f>VLOOKUP($A13,'Data shares'!$C:$FB,99)</f>
        <v>34826050</v>
      </c>
      <c r="H13" s="50">
        <f t="shared" si="1"/>
        <v>0.14730352710112116</v>
      </c>
      <c r="I13" s="49">
        <f>VLOOKUP($A13,'Data shares'!$C:$FB,66)</f>
        <v>19906775</v>
      </c>
      <c r="J13" s="49">
        <f>VLOOKUP($A13,'Data shares'!$C:$FB,67)</f>
        <v>9720400</v>
      </c>
      <c r="K13" s="50">
        <f t="shared" si="2"/>
        <v>51.170392994344894</v>
      </c>
      <c r="L13" s="50">
        <f>VLOOKUP($A13,'Data shares'!$C:$FB,118)</f>
        <v>0.59</v>
      </c>
      <c r="M13" s="50">
        <f>VLOOKUP($A13,'Data shares'!$C:$FB,119)</f>
        <v>0.59</v>
      </c>
      <c r="N13" s="50">
        <f>VLOOKUP($A13,'Data shares'!$C:$FB,121)*100</f>
        <v>0</v>
      </c>
      <c r="O13" s="50">
        <f>VLOOKUP($A13,'Data shares'!$C:$FB,124)</f>
        <v>0.33</v>
      </c>
      <c r="P13" s="50">
        <f>VLOOKUP($A13,'Data shares'!$C:$FB,125)</f>
        <v>0.42</v>
      </c>
      <c r="Q13" s="50">
        <f>VLOOKUP($A13,'Data shares'!$C:$FB,127)*100</f>
        <v>-21.43</v>
      </c>
    </row>
    <row r="14" spans="1:17" x14ac:dyDescent="0.25">
      <c r="A14" s="97" t="str">
        <f>'Data Vlaue (Cr)'!C9</f>
        <v>ALKEM</v>
      </c>
      <c r="B14" s="140">
        <f>VLOOKUP($A14,'Data shares'!$C:$FB,7)</f>
        <v>5454.5</v>
      </c>
      <c r="C14" s="140">
        <f>VLOOKUP($A14,'Data shares'!$C:$FB,3)</f>
        <v>5483.5</v>
      </c>
      <c r="D14" s="140">
        <f>VLOOKUP($A14,'Data shares'!$C:$FB,4)</f>
        <v>5512.5</v>
      </c>
      <c r="E14" s="50">
        <f>(C14-D14)/D14*100</f>
        <v>-0.526077097505669</v>
      </c>
      <c r="F14" s="49">
        <f>VLOOKUP($A14,'Data shares'!$C:$FB,98)</f>
        <v>1868750</v>
      </c>
      <c r="G14" s="49">
        <f>VLOOKUP($A14,'Data shares'!$C:$FB,99)</f>
        <v>1844625</v>
      </c>
      <c r="H14" s="50">
        <f t="shared" si="1"/>
        <v>1.3078538998441418</v>
      </c>
      <c r="I14" s="49">
        <f>VLOOKUP($A14,'Data shares'!$C:$FB,66)</f>
        <v>510125</v>
      </c>
      <c r="J14" s="49">
        <f>VLOOKUP($A14,'Data shares'!$C:$FB,67)</f>
        <v>412250</v>
      </c>
      <c r="K14" s="50">
        <f t="shared" si="2"/>
        <v>19.186473903455038</v>
      </c>
      <c r="L14" s="50">
        <f>VLOOKUP($A14,'Data shares'!$C:$FB,118)</f>
        <v>0.6</v>
      </c>
      <c r="M14" s="50">
        <f>VLOOKUP($A14,'Data shares'!$C:$FB,119)</f>
        <v>0.6</v>
      </c>
      <c r="N14" s="50">
        <f>VLOOKUP($A14,'Data shares'!$C:$FB,121)*100</f>
        <v>0</v>
      </c>
      <c r="O14" s="50">
        <f>VLOOKUP($A14,'Data shares'!$C:$FB,124)</f>
        <v>0.28000000000000003</v>
      </c>
      <c r="P14" s="50">
        <f>VLOOKUP($A14,'Data shares'!$C:$FB,125)</f>
        <v>0.26</v>
      </c>
      <c r="Q14" s="50">
        <f>VLOOKUP($A14,'Data shares'!$C:$FB,127)*100</f>
        <v>7.6899999999999995</v>
      </c>
    </row>
    <row r="15" spans="1:17" x14ac:dyDescent="0.25">
      <c r="A15" s="97" t="str">
        <f>'Data Vlaue (Cr)'!C10</f>
        <v>AMBER</v>
      </c>
      <c r="B15" s="140">
        <f>VLOOKUP($A15,'Data shares'!$C:$FB,7)</f>
        <v>8284.5</v>
      </c>
      <c r="C15" s="140">
        <f>VLOOKUP($A15,'Data shares'!$C:$FB,3)</f>
        <v>8245.5</v>
      </c>
      <c r="D15" s="140">
        <f>VLOOKUP($A15,'Data shares'!$C:$FB,4)</f>
        <v>8138</v>
      </c>
      <c r="E15" s="50">
        <f t="shared" si="0"/>
        <v>1.3209633816662572</v>
      </c>
      <c r="F15" s="49">
        <f>VLOOKUP($A15,'Data shares'!$C:$FB,98)</f>
        <v>1422800</v>
      </c>
      <c r="G15" s="49">
        <f>VLOOKUP($A15,'Data shares'!$C:$FB,99)</f>
        <v>1520000</v>
      </c>
      <c r="H15" s="50">
        <f t="shared" si="1"/>
        <v>-6.3947368421052628</v>
      </c>
      <c r="I15" s="49">
        <f>VLOOKUP($A15,'Data shares'!$C:$FB,66)</f>
        <v>1326300</v>
      </c>
      <c r="J15" s="49">
        <f>VLOOKUP($A15,'Data shares'!$C:$FB,67)</f>
        <v>2594400</v>
      </c>
      <c r="K15" s="50">
        <f t="shared" si="2"/>
        <v>-95.611852522053837</v>
      </c>
      <c r="L15" s="50">
        <f>VLOOKUP($A15,'Data shares'!$C:$FB,118)</f>
        <v>0.57999999999999996</v>
      </c>
      <c r="M15" s="50">
        <f>VLOOKUP($A15,'Data shares'!$C:$FB,119)</f>
        <v>0.51</v>
      </c>
      <c r="N15" s="50">
        <f>VLOOKUP($A15,'Data shares'!$C:$FB,121)*100</f>
        <v>13.73</v>
      </c>
      <c r="O15" s="50">
        <f>VLOOKUP($A15,'Data shares'!$C:$FB,124)</f>
        <v>0.25</v>
      </c>
      <c r="P15" s="50">
        <f>VLOOKUP($A15,'Data shares'!$C:$FB,125)</f>
        <v>0.34</v>
      </c>
      <c r="Q15" s="50">
        <f>VLOOKUP($A15,'Data shares'!$C:$FB,127)*100</f>
        <v>-26.47</v>
      </c>
    </row>
    <row r="16" spans="1:17" x14ac:dyDescent="0.25">
      <c r="A16" s="97" t="str">
        <f>'Data Vlaue (Cr)'!C11</f>
        <v>AMBUJACEM</v>
      </c>
      <c r="B16" s="140">
        <f>VLOOKUP($A16,'Data shares'!$C:$FB,7)</f>
        <v>569.25</v>
      </c>
      <c r="C16" s="140">
        <f>VLOOKUP($A16,'Data shares'!$C:$FB,3)</f>
        <v>572.04999999999995</v>
      </c>
      <c r="D16" s="140">
        <f>VLOOKUP($A16,'Data shares'!$C:$FB,4)</f>
        <v>568.1</v>
      </c>
      <c r="E16" s="50">
        <f t="shared" si="0"/>
        <v>0.69530012321773138</v>
      </c>
      <c r="F16" s="49">
        <f>VLOOKUP($A16,'Data shares'!$C:$FB,98)</f>
        <v>60790800</v>
      </c>
      <c r="G16" s="49">
        <f>VLOOKUP($A16,'Data shares'!$C:$FB,99)</f>
        <v>61364100</v>
      </c>
      <c r="H16" s="50">
        <f t="shared" si="1"/>
        <v>-0.93425960781629658</v>
      </c>
      <c r="I16" s="49">
        <f>VLOOKUP($A16,'Data shares'!$C:$FB,66)</f>
        <v>10464300</v>
      </c>
      <c r="J16" s="49">
        <f>VLOOKUP($A16,'Data shares'!$C:$FB,67)</f>
        <v>7100100</v>
      </c>
      <c r="K16" s="50">
        <f t="shared" si="2"/>
        <v>32.149307645996387</v>
      </c>
      <c r="L16" s="50">
        <f>VLOOKUP($A16,'Data shares'!$C:$FB,118)</f>
        <v>0.69</v>
      </c>
      <c r="M16" s="50">
        <f>VLOOKUP($A16,'Data shares'!$C:$FB,119)</f>
        <v>0.72</v>
      </c>
      <c r="N16" s="50">
        <f>VLOOKUP($A16,'Data shares'!$C:$FB,121)*100</f>
        <v>-4.17</v>
      </c>
      <c r="O16" s="50">
        <f>VLOOKUP($A16,'Data shares'!$C:$FB,124)</f>
        <v>0.41</v>
      </c>
      <c r="P16" s="50">
        <f>VLOOKUP($A16,'Data shares'!$C:$FB,125)</f>
        <v>0.37</v>
      </c>
      <c r="Q16" s="50">
        <f>VLOOKUP($A16,'Data shares'!$C:$FB,127)*100</f>
        <v>10.81</v>
      </c>
    </row>
    <row r="17" spans="1:17" x14ac:dyDescent="0.25">
      <c r="A17" s="97" t="str">
        <f>'Data Vlaue (Cr)'!C12</f>
        <v>ANGELONE</v>
      </c>
      <c r="B17" s="140">
        <f>VLOOKUP($A17,'Data shares'!$C:$FB,7)</f>
        <v>2303.3000000000002</v>
      </c>
      <c r="C17" s="140">
        <f>VLOOKUP($A17,'Data shares'!$C:$FB,3)</f>
        <v>2312.1999999999998</v>
      </c>
      <c r="D17" s="140">
        <f>VLOOKUP($A17,'Data shares'!$C:$FB,4)</f>
        <v>2273.1999999999998</v>
      </c>
      <c r="E17" s="50">
        <f t="shared" si="0"/>
        <v>1.7156431462255852</v>
      </c>
      <c r="F17" s="49">
        <f>VLOOKUP($A17,'Data shares'!$C:$FB,98)</f>
        <v>7478000</v>
      </c>
      <c r="G17" s="49">
        <f>VLOOKUP($A17,'Data shares'!$C:$FB,99)</f>
        <v>7745000</v>
      </c>
      <c r="H17" s="50">
        <f t="shared" si="1"/>
        <v>-3.4473854099418979</v>
      </c>
      <c r="I17" s="49">
        <f>VLOOKUP($A17,'Data shares'!$C:$FB,66)</f>
        <v>9373750</v>
      </c>
      <c r="J17" s="49">
        <f>VLOOKUP($A17,'Data shares'!$C:$FB,67)</f>
        <v>8715000</v>
      </c>
      <c r="K17" s="50">
        <f t="shared" si="2"/>
        <v>7.0276036804907323</v>
      </c>
      <c r="L17" s="50">
        <f>VLOOKUP($A17,'Data shares'!$C:$FB,118)</f>
        <v>0.77</v>
      </c>
      <c r="M17" s="50">
        <f>VLOOKUP($A17,'Data shares'!$C:$FB,119)</f>
        <v>0.71</v>
      </c>
      <c r="N17" s="50">
        <f>VLOOKUP($A17,'Data shares'!$C:$FB,121)*100</f>
        <v>8.4500000000000011</v>
      </c>
      <c r="O17" s="50">
        <f>VLOOKUP($A17,'Data shares'!$C:$FB,124)</f>
        <v>0.41</v>
      </c>
      <c r="P17" s="50">
        <f>VLOOKUP($A17,'Data shares'!$C:$FB,125)</f>
        <v>0.35</v>
      </c>
      <c r="Q17" s="50">
        <f>VLOOKUP($A17,'Data shares'!$C:$FB,127)*100</f>
        <v>17.14</v>
      </c>
    </row>
    <row r="18" spans="1:17" x14ac:dyDescent="0.25">
      <c r="A18" s="97" t="str">
        <f>'Data Vlaue (Cr)'!C13</f>
        <v>APLAPOLLO</v>
      </c>
      <c r="B18" s="140">
        <f>VLOOKUP($A18,'Data shares'!$C:$FB,7)</f>
        <v>1738.6</v>
      </c>
      <c r="C18" s="140">
        <f>VLOOKUP($A18,'Data shares'!$C:$FB,3)</f>
        <v>1746.2</v>
      </c>
      <c r="D18" s="140">
        <f>VLOOKUP($A18,'Data shares'!$C:$FB,4)</f>
        <v>1745.4</v>
      </c>
      <c r="E18" s="50">
        <f t="shared" si="0"/>
        <v>4.5834765669757908E-2</v>
      </c>
      <c r="F18" s="49">
        <f>VLOOKUP($A18,'Data shares'!$C:$FB,98)</f>
        <v>11254250</v>
      </c>
      <c r="G18" s="49">
        <f>VLOOKUP($A18,'Data shares'!$C:$FB,99)</f>
        <v>11251450</v>
      </c>
      <c r="H18" s="50">
        <f t="shared" si="1"/>
        <v>2.4885681401063862E-2</v>
      </c>
      <c r="I18" s="49">
        <f>VLOOKUP($A18,'Data shares'!$C:$FB,66)</f>
        <v>943600</v>
      </c>
      <c r="J18" s="49">
        <f>VLOOKUP($A18,'Data shares'!$C:$FB,67)</f>
        <v>1652700</v>
      </c>
      <c r="K18" s="50">
        <f t="shared" si="2"/>
        <v>-75.14836795252225</v>
      </c>
      <c r="L18" s="50">
        <f>VLOOKUP($A18,'Data shares'!$C:$FB,118)</f>
        <v>0.57999999999999996</v>
      </c>
      <c r="M18" s="50">
        <f>VLOOKUP($A18,'Data shares'!$C:$FB,119)</f>
        <v>0.56999999999999995</v>
      </c>
      <c r="N18" s="50">
        <f>VLOOKUP($A18,'Data shares'!$C:$FB,121)*100</f>
        <v>1.7500000000000002</v>
      </c>
      <c r="O18" s="50">
        <f>VLOOKUP($A18,'Data shares'!$C:$FB,124)</f>
        <v>0.28999999999999998</v>
      </c>
      <c r="P18" s="50">
        <f>VLOOKUP($A18,'Data shares'!$C:$FB,125)</f>
        <v>0.23</v>
      </c>
      <c r="Q18" s="50">
        <f>VLOOKUP($A18,'Data shares'!$C:$FB,127)*100</f>
        <v>26.090000000000003</v>
      </c>
    </row>
    <row r="19" spans="1:17" x14ac:dyDescent="0.25">
      <c r="A19" s="97" t="str">
        <f>'Data Vlaue (Cr)'!C14</f>
        <v>APOLLOHOSP</v>
      </c>
      <c r="B19" s="140">
        <f>VLOOKUP($A19,'Data shares'!$C:$FB,7)</f>
        <v>7681</v>
      </c>
      <c r="C19" s="140">
        <f>VLOOKUP($A19,'Data shares'!$C:$FB,3)</f>
        <v>7721</v>
      </c>
      <c r="D19" s="140">
        <f>VLOOKUP($A19,'Data shares'!$C:$FB,4)</f>
        <v>7734</v>
      </c>
      <c r="E19" s="50">
        <f t="shared" si="0"/>
        <v>-0.16808895784846134</v>
      </c>
      <c r="F19" s="49">
        <f>VLOOKUP($A19,'Data shares'!$C:$FB,98)</f>
        <v>4009750</v>
      </c>
      <c r="G19" s="49">
        <f>VLOOKUP($A19,'Data shares'!$C:$FB,99)</f>
        <v>3952000</v>
      </c>
      <c r="H19" s="50">
        <f t="shared" si="1"/>
        <v>1.4612854251012146</v>
      </c>
      <c r="I19" s="49">
        <f>VLOOKUP($A19,'Data shares'!$C:$FB,66)</f>
        <v>1691000</v>
      </c>
      <c r="J19" s="49">
        <f>VLOOKUP($A19,'Data shares'!$C:$FB,67)</f>
        <v>2271500</v>
      </c>
      <c r="K19" s="50">
        <f t="shared" si="2"/>
        <v>-34.328799526907154</v>
      </c>
      <c r="L19" s="50">
        <f>VLOOKUP($A19,'Data shares'!$C:$FB,118)</f>
        <v>0.59</v>
      </c>
      <c r="M19" s="50">
        <f>VLOOKUP($A19,'Data shares'!$C:$FB,119)</f>
        <v>0.62</v>
      </c>
      <c r="N19" s="50">
        <f>VLOOKUP($A19,'Data shares'!$C:$FB,121)*100</f>
        <v>-4.84</v>
      </c>
      <c r="O19" s="50">
        <f>VLOOKUP($A19,'Data shares'!$C:$FB,124)</f>
        <v>0.49</v>
      </c>
      <c r="P19" s="50">
        <f>VLOOKUP($A19,'Data shares'!$C:$FB,125)</f>
        <v>0.56000000000000005</v>
      </c>
      <c r="Q19" s="50">
        <f>VLOOKUP($A19,'Data shares'!$C:$FB,127)*100</f>
        <v>-12.5</v>
      </c>
    </row>
    <row r="20" spans="1:17" x14ac:dyDescent="0.25">
      <c r="A20" s="97" t="str">
        <f>'Data Vlaue (Cr)'!C15</f>
        <v>ASHOKLEY</v>
      </c>
      <c r="B20" s="140">
        <f>VLOOKUP($A20,'Data shares'!$C:$FB,7)</f>
        <v>137.55000000000001</v>
      </c>
      <c r="C20" s="140">
        <f>VLOOKUP($A20,'Data shares'!$C:$FB,3)</f>
        <v>137.72</v>
      </c>
      <c r="D20" s="140">
        <f>VLOOKUP($A20,'Data shares'!$C:$FB,4)</f>
        <v>138.72999999999999</v>
      </c>
      <c r="E20" s="50">
        <f t="shared" si="0"/>
        <v>-0.72803286960281921</v>
      </c>
      <c r="F20" s="49">
        <f>VLOOKUP($A20,'Data shares'!$C:$FB,98)</f>
        <v>247740000</v>
      </c>
      <c r="G20" s="49">
        <f>VLOOKUP($A20,'Data shares'!$C:$FB,99)</f>
        <v>237300000</v>
      </c>
      <c r="H20" s="50">
        <f t="shared" si="1"/>
        <v>4.3994943109987359</v>
      </c>
      <c r="I20" s="49">
        <f>VLOOKUP($A20,'Data shares'!$C:$FB,66)</f>
        <v>73300000</v>
      </c>
      <c r="J20" s="49">
        <f>VLOOKUP($A20,'Data shares'!$C:$FB,67)</f>
        <v>79090000</v>
      </c>
      <c r="K20" s="50">
        <f t="shared" si="2"/>
        <v>-7.8990450204638476</v>
      </c>
      <c r="L20" s="50">
        <f>VLOOKUP($A20,'Data shares'!$C:$FB,118)</f>
        <v>0.45</v>
      </c>
      <c r="M20" s="50">
        <f>VLOOKUP($A20,'Data shares'!$C:$FB,119)</f>
        <v>0.45</v>
      </c>
      <c r="N20" s="50">
        <f>VLOOKUP($A20,'Data shares'!$C:$FB,121)*100</f>
        <v>0</v>
      </c>
      <c r="O20" s="50">
        <f>VLOOKUP($A20,'Data shares'!$C:$FB,124)</f>
        <v>0.47</v>
      </c>
      <c r="P20" s="50">
        <f>VLOOKUP($A20,'Data shares'!$C:$FB,125)</f>
        <v>0.26</v>
      </c>
      <c r="Q20" s="50">
        <f>VLOOKUP($A20,'Data shares'!$C:$FB,127)*100</f>
        <v>80.77</v>
      </c>
    </row>
    <row r="21" spans="1:17" x14ac:dyDescent="0.25">
      <c r="A21" s="97" t="str">
        <f>'Data Vlaue (Cr)'!C16</f>
        <v>ASIANPAINT</v>
      </c>
      <c r="B21" s="140">
        <f>VLOOKUP($A21,'Data shares'!$C:$FB,7)</f>
        <v>2340.1999999999998</v>
      </c>
      <c r="C21" s="140">
        <f>VLOOKUP($A21,'Data shares'!$C:$FB,3)</f>
        <v>2351.1999999999998</v>
      </c>
      <c r="D21" s="140">
        <f>VLOOKUP($A21,'Data shares'!$C:$FB,4)</f>
        <v>2347.4</v>
      </c>
      <c r="E21" s="50">
        <f t="shared" si="0"/>
        <v>0.16188123029733861</v>
      </c>
      <c r="F21" s="49">
        <f>VLOOKUP($A21,'Data shares'!$C:$FB,98)</f>
        <v>23140500</v>
      </c>
      <c r="G21" s="49">
        <f>VLOOKUP($A21,'Data shares'!$C:$FB,99)</f>
        <v>23316000</v>
      </c>
      <c r="H21" s="50">
        <f t="shared" si="1"/>
        <v>-0.75270200720535252</v>
      </c>
      <c r="I21" s="49">
        <f>VLOOKUP($A21,'Data shares'!$C:$FB,66)</f>
        <v>7820250</v>
      </c>
      <c r="J21" s="49">
        <f>VLOOKUP($A21,'Data shares'!$C:$FB,67)</f>
        <v>6886500</v>
      </c>
      <c r="K21" s="50">
        <f t="shared" si="2"/>
        <v>11.94015536587705</v>
      </c>
      <c r="L21" s="50">
        <f>VLOOKUP($A21,'Data shares'!$C:$FB,118)</f>
        <v>0.57999999999999996</v>
      </c>
      <c r="M21" s="50">
        <f>VLOOKUP($A21,'Data shares'!$C:$FB,119)</f>
        <v>0.59</v>
      </c>
      <c r="N21" s="50">
        <f>VLOOKUP($A21,'Data shares'!$C:$FB,121)*100</f>
        <v>-1.69</v>
      </c>
      <c r="O21" s="50">
        <f>VLOOKUP($A21,'Data shares'!$C:$FB,124)</f>
        <v>0.33</v>
      </c>
      <c r="P21" s="50">
        <f>VLOOKUP($A21,'Data shares'!$C:$FB,125)</f>
        <v>0.34</v>
      </c>
      <c r="Q21" s="50">
        <f>VLOOKUP($A21,'Data shares'!$C:$FB,127)*100</f>
        <v>-2.94</v>
      </c>
    </row>
    <row r="22" spans="1:17" x14ac:dyDescent="0.25">
      <c r="A22" s="97" t="str">
        <f>'Data Vlaue (Cr)'!C17</f>
        <v>ASTRAL</v>
      </c>
      <c r="B22" s="140">
        <f>VLOOKUP($A22,'Data shares'!$C:$FB,7)</f>
        <v>1427.1</v>
      </c>
      <c r="C22" s="140">
        <f>VLOOKUP($A22,'Data shares'!$C:$FB,3)</f>
        <v>1433</v>
      </c>
      <c r="D22" s="140">
        <f>VLOOKUP($A22,'Data shares'!$C:$FB,4)</f>
        <v>1409.6</v>
      </c>
      <c r="E22" s="50">
        <f t="shared" si="0"/>
        <v>1.6600454029511984</v>
      </c>
      <c r="F22" s="49">
        <f>VLOOKUP($A22,'Data shares'!$C:$FB,98)</f>
        <v>13017325</v>
      </c>
      <c r="G22" s="49">
        <f>VLOOKUP($A22,'Data shares'!$C:$FB,99)</f>
        <v>12724500</v>
      </c>
      <c r="H22" s="50">
        <f t="shared" si="1"/>
        <v>2.3012692050768204</v>
      </c>
      <c r="I22" s="49">
        <f>VLOOKUP($A22,'Data shares'!$C:$FB,66)</f>
        <v>8944125</v>
      </c>
      <c r="J22" s="49">
        <f>VLOOKUP($A22,'Data shares'!$C:$FB,67)</f>
        <v>4504150</v>
      </c>
      <c r="K22" s="50">
        <f t="shared" si="2"/>
        <v>49.641244951294844</v>
      </c>
      <c r="L22" s="50">
        <f>VLOOKUP($A22,'Data shares'!$C:$FB,118)</f>
        <v>0.47</v>
      </c>
      <c r="M22" s="50">
        <f>VLOOKUP($A22,'Data shares'!$C:$FB,119)</f>
        <v>0.48</v>
      </c>
      <c r="N22" s="50">
        <f>VLOOKUP($A22,'Data shares'!$C:$FB,121)*100</f>
        <v>-2.08</v>
      </c>
      <c r="O22" s="50">
        <f>VLOOKUP($A22,'Data shares'!$C:$FB,124)</f>
        <v>0.33</v>
      </c>
      <c r="P22" s="50">
        <f>VLOOKUP($A22,'Data shares'!$C:$FB,125)</f>
        <v>0.54</v>
      </c>
      <c r="Q22" s="50">
        <f>VLOOKUP($A22,'Data shares'!$C:$FB,127)*100</f>
        <v>-38.89</v>
      </c>
    </row>
    <row r="23" spans="1:17" x14ac:dyDescent="0.25">
      <c r="A23" s="97" t="str">
        <f>'Data Vlaue (Cr)'!C18</f>
        <v>AUBANK</v>
      </c>
      <c r="B23" s="140">
        <f>VLOOKUP($A23,'Data shares'!$C:$FB,7)</f>
        <v>763.25</v>
      </c>
      <c r="C23" s="140">
        <f>VLOOKUP($A23,'Data shares'!$C:$FB,3)</f>
        <v>767.6</v>
      </c>
      <c r="D23" s="140">
        <f>VLOOKUP($A23,'Data shares'!$C:$FB,4)</f>
        <v>762.65</v>
      </c>
      <c r="E23" s="50">
        <f t="shared" si="0"/>
        <v>0.64905264538124241</v>
      </c>
      <c r="F23" s="49">
        <f>VLOOKUP($A23,'Data shares'!$C:$FB,98)</f>
        <v>32794000</v>
      </c>
      <c r="G23" s="49">
        <f>VLOOKUP($A23,'Data shares'!$C:$FB,99)</f>
        <v>30106000</v>
      </c>
      <c r="H23" s="50">
        <f t="shared" si="1"/>
        <v>8.9284528001062924</v>
      </c>
      <c r="I23" s="49">
        <f>VLOOKUP($A23,'Data shares'!$C:$FB,66)</f>
        <v>18527000</v>
      </c>
      <c r="J23" s="49">
        <f>VLOOKUP($A23,'Data shares'!$C:$FB,67)</f>
        <v>12477000</v>
      </c>
      <c r="K23" s="50">
        <f t="shared" si="2"/>
        <v>32.655043989852651</v>
      </c>
      <c r="L23" s="50">
        <f>VLOOKUP($A23,'Data shares'!$C:$FB,118)</f>
        <v>0.56999999999999995</v>
      </c>
      <c r="M23" s="50">
        <f>VLOOKUP($A23,'Data shares'!$C:$FB,119)</f>
        <v>0.75</v>
      </c>
      <c r="N23" s="50">
        <f>VLOOKUP($A23,'Data shares'!$C:$FB,121)*100</f>
        <v>-24</v>
      </c>
      <c r="O23" s="50">
        <f>VLOOKUP($A23,'Data shares'!$C:$FB,124)</f>
        <v>0.3</v>
      </c>
      <c r="P23" s="50">
        <f>VLOOKUP($A23,'Data shares'!$C:$FB,125)</f>
        <v>0.44</v>
      </c>
      <c r="Q23" s="50">
        <f>VLOOKUP($A23,'Data shares'!$C:$FB,127)*100</f>
        <v>-31.819999999999997</v>
      </c>
    </row>
    <row r="24" spans="1:17" x14ac:dyDescent="0.25">
      <c r="A24" s="97" t="str">
        <f>'Data Vlaue (Cr)'!C19</f>
        <v>AUROPHARMA</v>
      </c>
      <c r="B24" s="140">
        <f>VLOOKUP($A24,'Data shares'!$C:$FB,7)</f>
        <v>1130.3</v>
      </c>
      <c r="C24" s="140">
        <f>VLOOKUP($A24,'Data shares'!$C:$FB,3)</f>
        <v>1136.5</v>
      </c>
      <c r="D24" s="140">
        <f>VLOOKUP($A24,'Data shares'!$C:$FB,4)</f>
        <v>1126.9000000000001</v>
      </c>
      <c r="E24" s="50">
        <f t="shared" si="0"/>
        <v>0.85189457804595881</v>
      </c>
      <c r="F24" s="49">
        <f>VLOOKUP($A24,'Data shares'!$C:$FB,98)</f>
        <v>26973100</v>
      </c>
      <c r="G24" s="49">
        <f>VLOOKUP($A24,'Data shares'!$C:$FB,99)</f>
        <v>26223450</v>
      </c>
      <c r="H24" s="50">
        <f t="shared" si="1"/>
        <v>2.8587008955724742</v>
      </c>
      <c r="I24" s="49">
        <f>VLOOKUP($A24,'Data shares'!$C:$FB,66)</f>
        <v>17376150</v>
      </c>
      <c r="J24" s="49">
        <f>VLOOKUP($A24,'Data shares'!$C:$FB,67)</f>
        <v>42793300</v>
      </c>
      <c r="K24" s="50">
        <f t="shared" si="2"/>
        <v>-146.27607381381949</v>
      </c>
      <c r="L24" s="50">
        <f>VLOOKUP($A24,'Data shares'!$C:$FB,118)</f>
        <v>0.76</v>
      </c>
      <c r="M24" s="50">
        <f>VLOOKUP($A24,'Data shares'!$C:$FB,119)</f>
        <v>0.81</v>
      </c>
      <c r="N24" s="50">
        <f>VLOOKUP($A24,'Data shares'!$C:$FB,121)*100</f>
        <v>-6.17</v>
      </c>
      <c r="O24" s="50">
        <f>VLOOKUP($A24,'Data shares'!$C:$FB,124)</f>
        <v>0.45</v>
      </c>
      <c r="P24" s="50">
        <f>VLOOKUP($A24,'Data shares'!$C:$FB,125)</f>
        <v>0.48</v>
      </c>
      <c r="Q24" s="50">
        <f>VLOOKUP($A24,'Data shares'!$C:$FB,127)*100</f>
        <v>-6.25</v>
      </c>
    </row>
    <row r="25" spans="1:17" x14ac:dyDescent="0.25">
      <c r="A25" s="97" t="str">
        <f>'Data Vlaue (Cr)'!C20</f>
        <v>AXISBANK</v>
      </c>
      <c r="B25" s="140">
        <f>VLOOKUP($A25,'Data shares'!$C:$FB,7)</f>
        <v>1180.4000000000001</v>
      </c>
      <c r="C25" s="140">
        <f>VLOOKUP($A25,'Data shares'!$C:$FB,3)</f>
        <v>1183.8</v>
      </c>
      <c r="D25" s="140">
        <f>VLOOKUP($A25,'Data shares'!$C:$FB,4)</f>
        <v>1173.0999999999999</v>
      </c>
      <c r="E25" s="50">
        <f t="shared" si="0"/>
        <v>0.91211320433041054</v>
      </c>
      <c r="F25" s="49">
        <f>VLOOKUP($A25,'Data shares'!$C:$FB,98)</f>
        <v>123714375</v>
      </c>
      <c r="G25" s="49">
        <f>VLOOKUP($A25,'Data shares'!$C:$FB,99)</f>
        <v>125468125</v>
      </c>
      <c r="H25" s="50">
        <f t="shared" si="1"/>
        <v>-1.39776536869424</v>
      </c>
      <c r="I25" s="49">
        <f>VLOOKUP($A25,'Data shares'!$C:$FB,66)</f>
        <v>59223125</v>
      </c>
      <c r="J25" s="49">
        <f>VLOOKUP($A25,'Data shares'!$C:$FB,67)</f>
        <v>65233125</v>
      </c>
      <c r="K25" s="50">
        <f t="shared" si="2"/>
        <v>-10.148062939941113</v>
      </c>
      <c r="L25" s="50">
        <f>VLOOKUP($A25,'Data shares'!$C:$FB,118)</f>
        <v>0.45</v>
      </c>
      <c r="M25" s="50">
        <f>VLOOKUP($A25,'Data shares'!$C:$FB,119)</f>
        <v>0.41</v>
      </c>
      <c r="N25" s="50">
        <f>VLOOKUP($A25,'Data shares'!$C:$FB,121)*100</f>
        <v>9.76</v>
      </c>
      <c r="O25" s="50">
        <f>VLOOKUP($A25,'Data shares'!$C:$FB,124)</f>
        <v>0.59</v>
      </c>
      <c r="P25" s="50">
        <f>VLOOKUP($A25,'Data shares'!$C:$FB,125)</f>
        <v>0.53</v>
      </c>
      <c r="Q25" s="50">
        <f>VLOOKUP($A25,'Data shares'!$C:$FB,127)*100</f>
        <v>11.32</v>
      </c>
    </row>
    <row r="26" spans="1:17" x14ac:dyDescent="0.25">
      <c r="A26" s="97" t="str">
        <f>'Data Vlaue (Cr)'!C21</f>
        <v>BAJAJ-AUTO</v>
      </c>
      <c r="B26" s="140">
        <f>VLOOKUP($A26,'Data shares'!$C:$FB,7)</f>
        <v>8946.5</v>
      </c>
      <c r="C26" s="140">
        <f>VLOOKUP($A26,'Data shares'!$C:$FB,3)</f>
        <v>8993.5</v>
      </c>
      <c r="D26" s="140">
        <f>VLOOKUP($A26,'Data shares'!$C:$FB,4)</f>
        <v>8851</v>
      </c>
      <c r="E26" s="50">
        <f t="shared" si="0"/>
        <v>1.6099875720257599</v>
      </c>
      <c r="F26" s="49">
        <f>VLOOKUP($A26,'Data shares'!$C:$FB,98)</f>
        <v>5747775</v>
      </c>
      <c r="G26" s="49">
        <f>VLOOKUP($A26,'Data shares'!$C:$FB,99)</f>
        <v>5678925</v>
      </c>
      <c r="H26" s="50">
        <f t="shared" si="1"/>
        <v>1.2123773425428228</v>
      </c>
      <c r="I26" s="49">
        <f>VLOOKUP($A26,'Data shares'!$C:$FB,66)</f>
        <v>5317875</v>
      </c>
      <c r="J26" s="49">
        <f>VLOOKUP($A26,'Data shares'!$C:$FB,67)</f>
        <v>2575725</v>
      </c>
      <c r="K26" s="50">
        <f t="shared" si="2"/>
        <v>51.56476976235809</v>
      </c>
      <c r="L26" s="50">
        <f>VLOOKUP($A26,'Data shares'!$C:$FB,118)</f>
        <v>0.67</v>
      </c>
      <c r="M26" s="50">
        <f>VLOOKUP($A26,'Data shares'!$C:$FB,119)</f>
        <v>0.57999999999999996</v>
      </c>
      <c r="N26" s="50">
        <f>VLOOKUP($A26,'Data shares'!$C:$FB,121)*100</f>
        <v>15.52</v>
      </c>
      <c r="O26" s="50">
        <f>VLOOKUP($A26,'Data shares'!$C:$FB,124)</f>
        <v>0.37</v>
      </c>
      <c r="P26" s="50">
        <f>VLOOKUP($A26,'Data shares'!$C:$FB,125)</f>
        <v>0.49</v>
      </c>
      <c r="Q26" s="50">
        <f>VLOOKUP($A26,'Data shares'!$C:$FB,127)*100</f>
        <v>-24.490000000000002</v>
      </c>
    </row>
    <row r="27" spans="1:17" x14ac:dyDescent="0.25">
      <c r="A27" s="97" t="str">
        <f>'Data Vlaue (Cr)'!C22</f>
        <v>BAJAJFINSV</v>
      </c>
      <c r="B27" s="140">
        <f>VLOOKUP($A27,'Data shares'!$C:$FB,7)</f>
        <v>2004.3</v>
      </c>
      <c r="C27" s="140">
        <f>VLOOKUP($A27,'Data shares'!$C:$FB,3)</f>
        <v>2015.7</v>
      </c>
      <c r="D27" s="140">
        <f>VLOOKUP($A27,'Data shares'!$C:$FB,4)</f>
        <v>2025.1</v>
      </c>
      <c r="E27" s="50">
        <f t="shared" si="0"/>
        <v>-0.46417460866129395</v>
      </c>
      <c r="F27" s="49">
        <f>VLOOKUP($A27,'Data shares'!$C:$FB,98)</f>
        <v>26152000</v>
      </c>
      <c r="G27" s="49">
        <f>VLOOKUP($A27,'Data shares'!$C:$FB,99)</f>
        <v>25504500</v>
      </c>
      <c r="H27" s="50">
        <f t="shared" si="1"/>
        <v>2.5387676684506655</v>
      </c>
      <c r="I27" s="49">
        <f>VLOOKUP($A27,'Data shares'!$C:$FB,66)</f>
        <v>6465000</v>
      </c>
      <c r="J27" s="49">
        <f>VLOOKUP($A27,'Data shares'!$C:$FB,67)</f>
        <v>5271000</v>
      </c>
      <c r="K27" s="50">
        <f t="shared" si="2"/>
        <v>18.468677494199536</v>
      </c>
      <c r="L27" s="50">
        <f>VLOOKUP($A27,'Data shares'!$C:$FB,118)</f>
        <v>0.62</v>
      </c>
      <c r="M27" s="50">
        <f>VLOOKUP($A27,'Data shares'!$C:$FB,119)</f>
        <v>0.64</v>
      </c>
      <c r="N27" s="50">
        <f>VLOOKUP($A27,'Data shares'!$C:$FB,121)*100</f>
        <v>-3.1300000000000003</v>
      </c>
      <c r="O27" s="50">
        <f>VLOOKUP($A27,'Data shares'!$C:$FB,124)</f>
        <v>0.51</v>
      </c>
      <c r="P27" s="50">
        <f>VLOOKUP($A27,'Data shares'!$C:$FB,125)</f>
        <v>0.66</v>
      </c>
      <c r="Q27" s="50">
        <f>VLOOKUP($A27,'Data shares'!$C:$FB,127)*100</f>
        <v>-22.73</v>
      </c>
    </row>
    <row r="28" spans="1:17" x14ac:dyDescent="0.25">
      <c r="A28" s="97" t="str">
        <f>'Data Vlaue (Cr)'!C23</f>
        <v>BAJFINANCE</v>
      </c>
      <c r="B28" s="140">
        <f>VLOOKUP($A28,'Data shares'!$C:$FB,7)</f>
        <v>1023.85</v>
      </c>
      <c r="C28" s="140">
        <f>VLOOKUP($A28,'Data shares'!$C:$FB,3)</f>
        <v>1029.3</v>
      </c>
      <c r="D28" s="140">
        <f>VLOOKUP($A28,'Data shares'!$C:$FB,4)</f>
        <v>1028.3499999999999</v>
      </c>
      <c r="E28" s="50">
        <f t="shared" si="0"/>
        <v>9.2380998687221827E-2</v>
      </c>
      <c r="F28" s="49">
        <f>VLOOKUP($A28,'Data shares'!$C:$FB,98)</f>
        <v>123231750</v>
      </c>
      <c r="G28" s="49">
        <f>VLOOKUP($A28,'Data shares'!$C:$FB,99)</f>
        <v>121425750</v>
      </c>
      <c r="H28" s="50">
        <f t="shared" si="1"/>
        <v>1.4873286761662992</v>
      </c>
      <c r="I28" s="49">
        <f>VLOOKUP($A28,'Data shares'!$C:$FB,66)</f>
        <v>27846750</v>
      </c>
      <c r="J28" s="49">
        <f>VLOOKUP($A28,'Data shares'!$C:$FB,67)</f>
        <v>23292750</v>
      </c>
      <c r="K28" s="50">
        <f t="shared" si="2"/>
        <v>16.353793530663363</v>
      </c>
      <c r="L28" s="50">
        <f>VLOOKUP($A28,'Data shares'!$C:$FB,118)</f>
        <v>0.72</v>
      </c>
      <c r="M28" s="50">
        <f>VLOOKUP($A28,'Data shares'!$C:$FB,119)</f>
        <v>0.75</v>
      </c>
      <c r="N28" s="50">
        <f>VLOOKUP($A28,'Data shares'!$C:$FB,121)*100</f>
        <v>-4</v>
      </c>
      <c r="O28" s="50">
        <f>VLOOKUP($A28,'Data shares'!$C:$FB,124)</f>
        <v>0.47</v>
      </c>
      <c r="P28" s="50">
        <f>VLOOKUP($A28,'Data shares'!$C:$FB,125)</f>
        <v>0.76</v>
      </c>
      <c r="Q28" s="50">
        <f>VLOOKUP($A28,'Data shares'!$C:$FB,127)*100</f>
        <v>-38.159999999999997</v>
      </c>
    </row>
    <row r="29" spans="1:17" x14ac:dyDescent="0.25">
      <c r="A29" s="97" t="str">
        <f>'Data Vlaue (Cr)'!C24</f>
        <v>BANDHANBNK</v>
      </c>
      <c r="B29" s="140">
        <f>VLOOKUP($A29,'Data shares'!$C:$FB,7)</f>
        <v>169.32</v>
      </c>
      <c r="C29" s="140">
        <f>VLOOKUP($A29,'Data shares'!$C:$FB,3)</f>
        <v>170.24</v>
      </c>
      <c r="D29" s="140">
        <f>VLOOKUP($A29,'Data shares'!$C:$FB,4)</f>
        <v>164.19</v>
      </c>
      <c r="E29" s="50">
        <f t="shared" si="0"/>
        <v>3.6847554662281574</v>
      </c>
      <c r="F29" s="49">
        <f>VLOOKUP($A29,'Data shares'!$C:$FB,98)</f>
        <v>155361600</v>
      </c>
      <c r="G29" s="49">
        <f>VLOOKUP($A29,'Data shares'!$C:$FB,99)</f>
        <v>154083600</v>
      </c>
      <c r="H29" s="50">
        <f t="shared" si="1"/>
        <v>0.82941987336744472</v>
      </c>
      <c r="I29" s="49">
        <f>VLOOKUP($A29,'Data shares'!$C:$FB,66)</f>
        <v>117244800</v>
      </c>
      <c r="J29" s="49">
        <f>VLOOKUP($A29,'Data shares'!$C:$FB,67)</f>
        <v>36565200</v>
      </c>
      <c r="K29" s="50">
        <f t="shared" si="2"/>
        <v>68.812945222304094</v>
      </c>
      <c r="L29" s="50">
        <f>VLOOKUP($A29,'Data shares'!$C:$FB,118)</f>
        <v>0.85</v>
      </c>
      <c r="M29" s="50">
        <f>VLOOKUP($A29,'Data shares'!$C:$FB,119)</f>
        <v>0.82</v>
      </c>
      <c r="N29" s="50">
        <f>VLOOKUP($A29,'Data shares'!$C:$FB,121)*100</f>
        <v>3.66</v>
      </c>
      <c r="O29" s="50">
        <f>VLOOKUP($A29,'Data shares'!$C:$FB,124)</f>
        <v>0.49</v>
      </c>
      <c r="P29" s="50">
        <f>VLOOKUP($A29,'Data shares'!$C:$FB,125)</f>
        <v>0.4</v>
      </c>
      <c r="Q29" s="50">
        <f>VLOOKUP($A29,'Data shares'!$C:$FB,127)*100</f>
        <v>22.5</v>
      </c>
    </row>
    <row r="30" spans="1:17" x14ac:dyDescent="0.25">
      <c r="A30" s="97" t="str">
        <f>'Data Vlaue (Cr)'!C25</f>
        <v>BANKBARODA</v>
      </c>
      <c r="B30" s="176">
        <f>VLOOKUP($A30,'Data shares'!$C:$FB,7)</f>
        <v>266.95</v>
      </c>
      <c r="C30" s="176">
        <f>VLOOKUP($A30,'Data shares'!$C:$FB,3)</f>
        <v>267.64999999999998</v>
      </c>
      <c r="D30" s="176">
        <f>VLOOKUP($A30,'Data shares'!$C:$FB,4)</f>
        <v>264.95</v>
      </c>
      <c r="E30" s="50">
        <f t="shared" si="0"/>
        <v>1.0190602000377387</v>
      </c>
      <c r="F30" s="49">
        <f>VLOOKUP($A30,'Data shares'!$C:$FB,98)</f>
        <v>202029750</v>
      </c>
      <c r="G30" s="49">
        <f>VLOOKUP($A30,'Data shares'!$C:$FB,99)</f>
        <v>202240350</v>
      </c>
      <c r="H30" s="50">
        <f t="shared" si="1"/>
        <v>-0.10413352231639235</v>
      </c>
      <c r="I30" s="49">
        <f>VLOOKUP($A30,'Data shares'!$C:$FB,66)</f>
        <v>138314475</v>
      </c>
      <c r="J30" s="49">
        <f>VLOOKUP($A30,'Data shares'!$C:$FB,67)</f>
        <v>79580475</v>
      </c>
      <c r="K30" s="50">
        <f t="shared" si="2"/>
        <v>42.464102184532749</v>
      </c>
      <c r="L30" s="50">
        <f>VLOOKUP($A30,'Data shares'!$C:$FB,118)</f>
        <v>0.77</v>
      </c>
      <c r="M30" s="50">
        <f>VLOOKUP($A30,'Data shares'!$C:$FB,119)</f>
        <v>0.77</v>
      </c>
      <c r="N30" s="50">
        <f>VLOOKUP($A30,'Data shares'!$C:$FB,121)*100</f>
        <v>0</v>
      </c>
      <c r="O30" s="50">
        <f>VLOOKUP($A30,'Data shares'!$C:$FB,124)</f>
        <v>0.41</v>
      </c>
      <c r="P30" s="50">
        <f>VLOOKUP($A30,'Data shares'!$C:$FB,125)</f>
        <v>0.45</v>
      </c>
      <c r="Q30" s="50">
        <f>VLOOKUP($A30,'Data shares'!$C:$FB,127)*100</f>
        <v>-8.89</v>
      </c>
    </row>
    <row r="31" spans="1:17" x14ac:dyDescent="0.25">
      <c r="A31" s="97" t="str">
        <f>'Data Vlaue (Cr)'!C26</f>
        <v>BANKINDIA</v>
      </c>
      <c r="B31" s="140">
        <f>VLOOKUP($A31,'Data shares'!$C:$FB,7)</f>
        <v>126.77</v>
      </c>
      <c r="C31" s="140">
        <f>VLOOKUP($A31,'Data shares'!$C:$FB,3)</f>
        <v>127.3</v>
      </c>
      <c r="D31" s="140">
        <f>VLOOKUP($A31,'Data shares'!$C:$FB,4)</f>
        <v>126.53</v>
      </c>
      <c r="E31" s="50">
        <f t="shared" si="0"/>
        <v>0.60855133169998898</v>
      </c>
      <c r="F31" s="49">
        <f>VLOOKUP($A31,'Data shares'!$C:$FB,98)</f>
        <v>113620000</v>
      </c>
      <c r="G31" s="49">
        <f>VLOOKUP($A31,'Data shares'!$C:$FB,99)</f>
        <v>111066800</v>
      </c>
      <c r="H31" s="50">
        <f t="shared" si="1"/>
        <v>2.2987967601479466</v>
      </c>
      <c r="I31" s="49">
        <f>VLOOKUP($A31,'Data shares'!$C:$FB,66)</f>
        <v>51620400</v>
      </c>
      <c r="J31" s="49">
        <f>VLOOKUP($A31,'Data shares'!$C:$FB,67)</f>
        <v>25006800</v>
      </c>
      <c r="K31" s="50">
        <f t="shared" si="2"/>
        <v>51.55636143850105</v>
      </c>
      <c r="L31" s="50">
        <f>VLOOKUP($A31,'Data shares'!$C:$FB,118)</f>
        <v>0.65</v>
      </c>
      <c r="M31" s="50">
        <f>VLOOKUP($A31,'Data shares'!$C:$FB,119)</f>
        <v>0.63</v>
      </c>
      <c r="N31" s="50">
        <f>VLOOKUP($A31,'Data shares'!$C:$FB,121)*100</f>
        <v>3.17</v>
      </c>
      <c r="O31" s="50">
        <f>VLOOKUP($A31,'Data shares'!$C:$FB,124)</f>
        <v>0.34</v>
      </c>
      <c r="P31" s="50">
        <f>VLOOKUP($A31,'Data shares'!$C:$FB,125)</f>
        <v>0.33</v>
      </c>
      <c r="Q31" s="50">
        <f>VLOOKUP($A31,'Data shares'!$C:$FB,127)*100</f>
        <v>3.0300000000000002</v>
      </c>
    </row>
    <row r="32" spans="1:17" x14ac:dyDescent="0.25">
      <c r="A32" s="97" t="str">
        <f>'Data Vlaue (Cr)'!C27</f>
        <v>BANKNIFTY</v>
      </c>
      <c r="B32" s="140">
        <f>VLOOKUP($A32,'Data shares'!$C:$FB,7)</f>
        <v>56609.75</v>
      </c>
      <c r="C32" s="140">
        <f>VLOOKUP($A32,'Data shares'!$C:$FB,3)</f>
        <v>56862.2</v>
      </c>
      <c r="D32" s="140">
        <f>VLOOKUP($A32,'Data shares'!$C:$FB,4)</f>
        <v>56413.2</v>
      </c>
      <c r="E32" s="50">
        <f t="shared" si="0"/>
        <v>0.79591301326639874</v>
      </c>
      <c r="F32" s="49">
        <f>VLOOKUP($A32,'Data shares'!$C:$FB,98)</f>
        <v>40408310</v>
      </c>
      <c r="G32" s="49">
        <f>VLOOKUP($A32,'Data shares'!$C:$FB,99)</f>
        <v>38324730</v>
      </c>
      <c r="H32" s="50">
        <f t="shared" si="1"/>
        <v>5.4366462594778886</v>
      </c>
      <c r="I32" s="49">
        <f>VLOOKUP($A32,'Data shares'!$C:$FB,66)</f>
        <v>120178765</v>
      </c>
      <c r="J32" s="49">
        <f>VLOOKUP($A32,'Data shares'!$C:$FB,67)</f>
        <v>85088255</v>
      </c>
      <c r="K32" s="50">
        <f t="shared" si="2"/>
        <v>29.198594277449928</v>
      </c>
      <c r="L32" s="50">
        <f>VLOOKUP($A32,'Data shares'!$C:$FB,118)</f>
        <v>1.1399999999999999</v>
      </c>
      <c r="M32" s="50">
        <f>VLOOKUP($A32,'Data shares'!$C:$FB,119)</f>
        <v>1.08</v>
      </c>
      <c r="N32" s="50">
        <f>VLOOKUP($A32,'Data shares'!$C:$FB,121)*100</f>
        <v>5.56</v>
      </c>
      <c r="O32" s="50">
        <f>VLOOKUP($A32,'Data shares'!$C:$FB,124)</f>
        <v>0.82</v>
      </c>
      <c r="P32" s="50">
        <f>VLOOKUP($A32,'Data shares'!$C:$FB,125)</f>
        <v>0.89</v>
      </c>
      <c r="Q32" s="50">
        <f>VLOOKUP($A32,'Data shares'!$C:$FB,127)*100</f>
        <v>-7.870000000000001</v>
      </c>
    </row>
    <row r="33" spans="1:17" x14ac:dyDescent="0.25">
      <c r="A33" s="97" t="str">
        <f>'Data Vlaue (Cr)'!C28</f>
        <v>BDL</v>
      </c>
      <c r="B33" s="140">
        <f>VLOOKUP($A33,'Data shares'!$C:$FB,7)</f>
        <v>1537.1</v>
      </c>
      <c r="C33" s="140">
        <f>VLOOKUP($A33,'Data shares'!$C:$FB,3)</f>
        <v>1539.7</v>
      </c>
      <c r="D33" s="140">
        <f>VLOOKUP($A33,'Data shares'!$C:$FB,4)</f>
        <v>1524.9</v>
      </c>
      <c r="E33" s="50">
        <f t="shared" si="0"/>
        <v>0.970555446258768</v>
      </c>
      <c r="F33" s="49">
        <f>VLOOKUP($A33,'Data shares'!$C:$FB,98)</f>
        <v>9812075</v>
      </c>
      <c r="G33" s="49">
        <f>VLOOKUP($A33,'Data shares'!$C:$FB,99)</f>
        <v>10041850</v>
      </c>
      <c r="H33" s="50">
        <f t="shared" si="1"/>
        <v>-2.2881739918441326</v>
      </c>
      <c r="I33" s="49">
        <f>VLOOKUP($A33,'Data shares'!$C:$FB,66)</f>
        <v>6124300</v>
      </c>
      <c r="J33" s="49">
        <f>VLOOKUP($A33,'Data shares'!$C:$FB,67)</f>
        <v>5244850</v>
      </c>
      <c r="K33" s="50">
        <f t="shared" si="2"/>
        <v>14.36000849076629</v>
      </c>
      <c r="L33" s="50">
        <f>VLOOKUP($A33,'Data shares'!$C:$FB,118)</f>
        <v>0.59</v>
      </c>
      <c r="M33" s="50">
        <f>VLOOKUP($A33,'Data shares'!$C:$FB,119)</f>
        <v>0.56000000000000005</v>
      </c>
      <c r="N33" s="50">
        <f>VLOOKUP($A33,'Data shares'!$C:$FB,121)*100</f>
        <v>5.36</v>
      </c>
      <c r="O33" s="50">
        <f>VLOOKUP($A33,'Data shares'!$C:$FB,124)</f>
        <v>0.32</v>
      </c>
      <c r="P33" s="50">
        <f>VLOOKUP($A33,'Data shares'!$C:$FB,125)</f>
        <v>0.22</v>
      </c>
      <c r="Q33" s="50">
        <f>VLOOKUP($A33,'Data shares'!$C:$FB,127)*100</f>
        <v>45.45</v>
      </c>
    </row>
    <row r="34" spans="1:17" x14ac:dyDescent="0.25">
      <c r="A34" s="97" t="str">
        <f>'Data Vlaue (Cr)'!C29</f>
        <v>BEL</v>
      </c>
      <c r="B34" s="140">
        <f>VLOOKUP($A34,'Data shares'!$C:$FB,7)</f>
        <v>413.5</v>
      </c>
      <c r="C34" s="140">
        <f>VLOOKUP($A34,'Data shares'!$C:$FB,3)</f>
        <v>414.95</v>
      </c>
      <c r="D34" s="140">
        <f>VLOOKUP($A34,'Data shares'!$C:$FB,4)</f>
        <v>411.65</v>
      </c>
      <c r="E34" s="50">
        <f t="shared" si="0"/>
        <v>0.80165188874043758</v>
      </c>
      <c r="F34" s="49">
        <f>VLOOKUP($A34,'Data shares'!$C:$FB,98)</f>
        <v>210518100</v>
      </c>
      <c r="G34" s="49">
        <f>VLOOKUP($A34,'Data shares'!$C:$FB,99)</f>
        <v>211760700</v>
      </c>
      <c r="H34" s="50">
        <f t="shared" si="1"/>
        <v>-0.58679443352803429</v>
      </c>
      <c r="I34" s="49">
        <f>VLOOKUP($A34,'Data shares'!$C:$FB,66)</f>
        <v>176303850</v>
      </c>
      <c r="J34" s="49">
        <f>VLOOKUP($A34,'Data shares'!$C:$FB,67)</f>
        <v>128877000</v>
      </c>
      <c r="K34" s="50">
        <f t="shared" si="2"/>
        <v>26.900632062203972</v>
      </c>
      <c r="L34" s="50">
        <f>VLOOKUP($A34,'Data shares'!$C:$FB,118)</f>
        <v>0.64</v>
      </c>
      <c r="M34" s="50">
        <f>VLOOKUP($A34,'Data shares'!$C:$FB,119)</f>
        <v>0.64</v>
      </c>
      <c r="N34" s="50">
        <f>VLOOKUP($A34,'Data shares'!$C:$FB,121)*100</f>
        <v>0</v>
      </c>
      <c r="O34" s="50">
        <f>VLOOKUP($A34,'Data shares'!$C:$FB,124)</f>
        <v>0.49</v>
      </c>
      <c r="P34" s="50">
        <f>VLOOKUP($A34,'Data shares'!$C:$FB,125)</f>
        <v>0.5</v>
      </c>
      <c r="Q34" s="50">
        <f>VLOOKUP($A34,'Data shares'!$C:$FB,127)*100</f>
        <v>-2</v>
      </c>
    </row>
    <row r="35" spans="1:17" x14ac:dyDescent="0.25">
      <c r="A35" s="97" t="str">
        <f>'Data Vlaue (Cr)'!C30</f>
        <v>BHARATFORG</v>
      </c>
      <c r="B35" s="140">
        <f>VLOOKUP($A35,'Data shares'!$C:$FB,7)</f>
        <v>1220</v>
      </c>
      <c r="C35" s="140">
        <f>VLOOKUP($A35,'Data shares'!$C:$FB,3)</f>
        <v>1214.8</v>
      </c>
      <c r="D35" s="140">
        <f>VLOOKUP($A35,'Data shares'!$C:$FB,4)</f>
        <v>1206.4000000000001</v>
      </c>
      <c r="E35" s="50">
        <f t="shared" si="0"/>
        <v>0.69628647214852979</v>
      </c>
      <c r="F35" s="49">
        <f>VLOOKUP($A35,'Data shares'!$C:$FB,98)</f>
        <v>16423500</v>
      </c>
      <c r="G35" s="49">
        <f>VLOOKUP($A35,'Data shares'!$C:$FB,99)</f>
        <v>16302500</v>
      </c>
      <c r="H35" s="50">
        <f t="shared" si="1"/>
        <v>0.74221745131114858</v>
      </c>
      <c r="I35" s="49">
        <f>VLOOKUP($A35,'Data shares'!$C:$FB,66)</f>
        <v>5952000</v>
      </c>
      <c r="J35" s="49">
        <f>VLOOKUP($A35,'Data shares'!$C:$FB,67)</f>
        <v>5743000</v>
      </c>
      <c r="K35" s="50">
        <f t="shared" si="2"/>
        <v>3.5114247311827955</v>
      </c>
      <c r="L35" s="50">
        <f>VLOOKUP($A35,'Data shares'!$C:$FB,118)</f>
        <v>0.64</v>
      </c>
      <c r="M35" s="50">
        <f>VLOOKUP($A35,'Data shares'!$C:$FB,119)</f>
        <v>0.67</v>
      </c>
      <c r="N35" s="50">
        <f>VLOOKUP($A35,'Data shares'!$C:$FB,121)*100</f>
        <v>-4.4799999999999995</v>
      </c>
      <c r="O35" s="50">
        <f>VLOOKUP($A35,'Data shares'!$C:$FB,124)</f>
        <v>0.35</v>
      </c>
      <c r="P35" s="50">
        <f>VLOOKUP($A35,'Data shares'!$C:$FB,125)</f>
        <v>0.43</v>
      </c>
      <c r="Q35" s="50">
        <f>VLOOKUP($A35,'Data shares'!$C:$FB,127)*100</f>
        <v>-18.600000000000001</v>
      </c>
    </row>
    <row r="36" spans="1:17" x14ac:dyDescent="0.25">
      <c r="A36" s="97" t="str">
        <f>'Data Vlaue (Cr)'!C31</f>
        <v>BHARTIARTL</v>
      </c>
      <c r="B36" s="140">
        <f>VLOOKUP($A36,'Data shares'!$C:$FB,7)</f>
        <v>1939.9</v>
      </c>
      <c r="C36" s="140">
        <f>VLOOKUP($A36,'Data shares'!$C:$FB,3)</f>
        <v>1950.5</v>
      </c>
      <c r="D36" s="140">
        <f>VLOOKUP($A36,'Data shares'!$C:$FB,4)</f>
        <v>1948.7</v>
      </c>
      <c r="E36" s="50">
        <f t="shared" si="0"/>
        <v>9.2369271822238141E-2</v>
      </c>
      <c r="F36" s="49">
        <f>VLOOKUP($A36,'Data shares'!$C:$FB,98)</f>
        <v>68647950</v>
      </c>
      <c r="G36" s="49">
        <f>VLOOKUP($A36,'Data shares'!$C:$FB,99)</f>
        <v>66244450</v>
      </c>
      <c r="H36" s="50">
        <f t="shared" si="1"/>
        <v>3.6282284780083462</v>
      </c>
      <c r="I36" s="49">
        <f>VLOOKUP($A36,'Data shares'!$C:$FB,66)</f>
        <v>21015425</v>
      </c>
      <c r="J36" s="49">
        <f>VLOOKUP($A36,'Data shares'!$C:$FB,67)</f>
        <v>31544750</v>
      </c>
      <c r="K36" s="50">
        <f t="shared" si="2"/>
        <v>-50.102841127409981</v>
      </c>
      <c r="L36" s="50">
        <f>VLOOKUP($A36,'Data shares'!$C:$FB,118)</f>
        <v>0.48</v>
      </c>
      <c r="M36" s="50">
        <f>VLOOKUP($A36,'Data shares'!$C:$FB,119)</f>
        <v>0.52</v>
      </c>
      <c r="N36" s="50">
        <f>VLOOKUP($A36,'Data shares'!$C:$FB,121)*100</f>
        <v>-7.6899999999999995</v>
      </c>
      <c r="O36" s="50">
        <f>VLOOKUP($A36,'Data shares'!$C:$FB,124)</f>
        <v>0.51</v>
      </c>
      <c r="P36" s="50">
        <f>VLOOKUP($A36,'Data shares'!$C:$FB,125)</f>
        <v>0.52</v>
      </c>
      <c r="Q36" s="50">
        <f>VLOOKUP($A36,'Data shares'!$C:$FB,127)*100</f>
        <v>-1.92</v>
      </c>
    </row>
    <row r="37" spans="1:17" x14ac:dyDescent="0.25">
      <c r="A37" s="97" t="str">
        <f>'Data Vlaue (Cr)'!C32</f>
        <v>BHEL</v>
      </c>
      <c r="B37" s="140">
        <f>VLOOKUP($A37,'Data shares'!$C:$FB,7)</f>
        <v>239.64</v>
      </c>
      <c r="C37" s="140">
        <f>VLOOKUP($A37,'Data shares'!$C:$FB,3)</f>
        <v>240.26</v>
      </c>
      <c r="D37" s="140">
        <f>VLOOKUP($A37,'Data shares'!$C:$FB,4)</f>
        <v>240.47</v>
      </c>
      <c r="E37" s="50">
        <f t="shared" si="0"/>
        <v>-8.7328980746042312E-2</v>
      </c>
      <c r="F37" s="49">
        <f>VLOOKUP($A37,'Data shares'!$C:$FB,98)</f>
        <v>93930375</v>
      </c>
      <c r="G37" s="49">
        <f>VLOOKUP($A37,'Data shares'!$C:$FB,99)</f>
        <v>93681000</v>
      </c>
      <c r="H37" s="50">
        <f t="shared" si="1"/>
        <v>0.26619592019726518</v>
      </c>
      <c r="I37" s="49">
        <f>VLOOKUP($A37,'Data shares'!$C:$FB,66)</f>
        <v>46270875</v>
      </c>
      <c r="J37" s="49">
        <f>VLOOKUP($A37,'Data shares'!$C:$FB,67)</f>
        <v>32794125</v>
      </c>
      <c r="K37" s="50">
        <f t="shared" si="2"/>
        <v>29.1257729619334</v>
      </c>
      <c r="L37" s="50">
        <f>VLOOKUP($A37,'Data shares'!$C:$FB,118)</f>
        <v>0.7</v>
      </c>
      <c r="M37" s="50">
        <f>VLOOKUP($A37,'Data shares'!$C:$FB,119)</f>
        <v>0.7</v>
      </c>
      <c r="N37" s="50">
        <f>VLOOKUP($A37,'Data shares'!$C:$FB,121)*100</f>
        <v>0</v>
      </c>
      <c r="O37" s="50">
        <f>VLOOKUP($A37,'Data shares'!$C:$FB,124)</f>
        <v>0.54</v>
      </c>
      <c r="P37" s="50">
        <f>VLOOKUP($A37,'Data shares'!$C:$FB,125)</f>
        <v>0.51</v>
      </c>
      <c r="Q37" s="50">
        <f>VLOOKUP($A37,'Data shares'!$C:$FB,127)*100</f>
        <v>5.88</v>
      </c>
    </row>
    <row r="38" spans="1:17" x14ac:dyDescent="0.25">
      <c r="A38" s="97" t="str">
        <f>'Data Vlaue (Cr)'!C33</f>
        <v>BIOCON</v>
      </c>
      <c r="B38" s="140">
        <f>VLOOKUP($A38,'Data shares'!$C:$FB,7)</f>
        <v>353.45</v>
      </c>
      <c r="C38" s="140">
        <f>VLOOKUP($A38,'Data shares'!$C:$FB,3)</f>
        <v>354.7</v>
      </c>
      <c r="D38" s="140">
        <f>VLOOKUP($A38,'Data shares'!$C:$FB,4)</f>
        <v>354.25</v>
      </c>
      <c r="E38" s="50">
        <f t="shared" si="0"/>
        <v>0.1270289343683807</v>
      </c>
      <c r="F38" s="49">
        <f>VLOOKUP($A38,'Data shares'!$C:$FB,98)</f>
        <v>67137500</v>
      </c>
      <c r="G38" s="49">
        <f>VLOOKUP($A38,'Data shares'!$C:$FB,99)</f>
        <v>64955000</v>
      </c>
      <c r="H38" s="50">
        <f t="shared" si="1"/>
        <v>3.3600184743283816</v>
      </c>
      <c r="I38" s="49">
        <f>VLOOKUP($A38,'Data shares'!$C:$FB,66)</f>
        <v>58707500</v>
      </c>
      <c r="J38" s="49">
        <f>VLOOKUP($A38,'Data shares'!$C:$FB,67)</f>
        <v>31752500</v>
      </c>
      <c r="K38" s="50">
        <f t="shared" si="2"/>
        <v>45.914065494187284</v>
      </c>
      <c r="L38" s="50">
        <f>VLOOKUP($A38,'Data shares'!$C:$FB,118)</f>
        <v>0.63</v>
      </c>
      <c r="M38" s="50">
        <f>VLOOKUP($A38,'Data shares'!$C:$FB,119)</f>
        <v>0.63</v>
      </c>
      <c r="N38" s="50">
        <f>VLOOKUP($A38,'Data shares'!$C:$FB,121)*100</f>
        <v>0</v>
      </c>
      <c r="O38" s="50">
        <f>VLOOKUP($A38,'Data shares'!$C:$FB,124)</f>
        <v>0.39</v>
      </c>
      <c r="P38" s="50">
        <f>VLOOKUP($A38,'Data shares'!$C:$FB,125)</f>
        <v>0.33</v>
      </c>
      <c r="Q38" s="50">
        <f>VLOOKUP($A38,'Data shares'!$C:$FB,127)*100</f>
        <v>18.18</v>
      </c>
    </row>
    <row r="39" spans="1:17" x14ac:dyDescent="0.25">
      <c r="A39" s="97" t="str">
        <f>'Data Vlaue (Cr)'!C34</f>
        <v>BLUESTARCO</v>
      </c>
      <c r="B39" s="140">
        <f>VLOOKUP($A39,'Data shares'!$C:$FB,7)</f>
        <v>1949.1</v>
      </c>
      <c r="C39" s="140">
        <f>VLOOKUP($A39,'Data shares'!$C:$FB,3)</f>
        <v>1958</v>
      </c>
      <c r="D39" s="140">
        <f>VLOOKUP($A39,'Data shares'!$C:$FB,4)</f>
        <v>1899</v>
      </c>
      <c r="E39" s="50">
        <f t="shared" si="0"/>
        <v>3.1068983675618744</v>
      </c>
      <c r="F39" s="49">
        <f>VLOOKUP($A39,'Data shares'!$C:$FB,98)</f>
        <v>2665000</v>
      </c>
      <c r="G39" s="49">
        <f>VLOOKUP($A39,'Data shares'!$C:$FB,99)</f>
        <v>2506400</v>
      </c>
      <c r="H39" s="50">
        <f t="shared" si="1"/>
        <v>6.3278008298755184</v>
      </c>
      <c r="I39" s="49">
        <f>VLOOKUP($A39,'Data shares'!$C:$FB,66)</f>
        <v>5622175</v>
      </c>
      <c r="J39" s="49">
        <f>VLOOKUP($A39,'Data shares'!$C:$FB,67)</f>
        <v>718250</v>
      </c>
      <c r="K39" s="50">
        <f t="shared" si="2"/>
        <v>87.224695069079132</v>
      </c>
      <c r="L39" s="50">
        <f>VLOOKUP($A39,'Data shares'!$C:$FB,118)</f>
        <v>0.62</v>
      </c>
      <c r="M39" s="50">
        <f>VLOOKUP($A39,'Data shares'!$C:$FB,119)</f>
        <v>0.72</v>
      </c>
      <c r="N39" s="50">
        <f>VLOOKUP($A39,'Data shares'!$C:$FB,121)*100</f>
        <v>-13.889999999999999</v>
      </c>
      <c r="O39" s="50">
        <f>VLOOKUP($A39,'Data shares'!$C:$FB,124)</f>
        <v>0.28999999999999998</v>
      </c>
      <c r="P39" s="50">
        <f>VLOOKUP($A39,'Data shares'!$C:$FB,125)</f>
        <v>0.44</v>
      </c>
      <c r="Q39" s="50">
        <f>VLOOKUP($A39,'Data shares'!$C:$FB,127)*100</f>
        <v>-34.089999999999996</v>
      </c>
    </row>
    <row r="40" spans="1:17" x14ac:dyDescent="0.25">
      <c r="A40" s="97" t="str">
        <f>'Data Vlaue (Cr)'!C35</f>
        <v>BOSCHLTD</v>
      </c>
      <c r="B40" s="140">
        <f>VLOOKUP($A40,'Data shares'!$C:$FB,7)</f>
        <v>38625</v>
      </c>
      <c r="C40" s="140">
        <f>VLOOKUP($A40,'Data shares'!$C:$FB,3)</f>
        <v>38805</v>
      </c>
      <c r="D40" s="140">
        <f>VLOOKUP($A40,'Data shares'!$C:$FB,4)</f>
        <v>38665</v>
      </c>
      <c r="E40" s="50">
        <f t="shared" si="0"/>
        <v>0.36208457261088839</v>
      </c>
      <c r="F40" s="49">
        <f>VLOOKUP($A40,'Data shares'!$C:$FB,98)</f>
        <v>343950</v>
      </c>
      <c r="G40" s="49">
        <f>VLOOKUP($A40,'Data shares'!$C:$FB,99)</f>
        <v>335725</v>
      </c>
      <c r="H40" s="50">
        <f t="shared" si="1"/>
        <v>2.4499218110060319</v>
      </c>
      <c r="I40" s="49">
        <f>VLOOKUP($A40,'Data shares'!$C:$FB,66)</f>
        <v>126575</v>
      </c>
      <c r="J40" s="49">
        <f>VLOOKUP($A40,'Data shares'!$C:$FB,67)</f>
        <v>148550</v>
      </c>
      <c r="K40" s="50">
        <f t="shared" si="2"/>
        <v>-17.361248271775629</v>
      </c>
      <c r="L40" s="50">
        <f>VLOOKUP($A40,'Data shares'!$C:$FB,118)</f>
        <v>0.6</v>
      </c>
      <c r="M40" s="50">
        <f>VLOOKUP($A40,'Data shares'!$C:$FB,119)</f>
        <v>0.62</v>
      </c>
      <c r="N40" s="50">
        <f>VLOOKUP($A40,'Data shares'!$C:$FB,121)*100</f>
        <v>-3.2300000000000004</v>
      </c>
      <c r="O40" s="50">
        <f>VLOOKUP($A40,'Data shares'!$C:$FB,124)</f>
        <v>0.28999999999999998</v>
      </c>
      <c r="P40" s="50">
        <f>VLOOKUP($A40,'Data shares'!$C:$FB,125)</f>
        <v>1.02</v>
      </c>
      <c r="Q40" s="50">
        <f>VLOOKUP($A40,'Data shares'!$C:$FB,127)*100</f>
        <v>-71.569999999999993</v>
      </c>
    </row>
    <row r="41" spans="1:17" x14ac:dyDescent="0.25">
      <c r="A41" s="97" t="str">
        <f>'Data Vlaue (Cr)'!C36</f>
        <v>BPCL</v>
      </c>
      <c r="B41" s="140">
        <f>VLOOKUP($A41,'Data shares'!$C:$FB,7)</f>
        <v>338.7</v>
      </c>
      <c r="C41" s="140">
        <f>VLOOKUP($A41,'Data shares'!$C:$FB,3)</f>
        <v>339.95</v>
      </c>
      <c r="D41" s="140">
        <f>VLOOKUP($A41,'Data shares'!$C:$FB,4)</f>
        <v>345.85</v>
      </c>
      <c r="E41" s="50">
        <f t="shared" si="0"/>
        <v>-1.7059418823189343</v>
      </c>
      <c r="F41" s="49">
        <f>VLOOKUP($A41,'Data shares'!$C:$FB,98)</f>
        <v>60288850</v>
      </c>
      <c r="G41" s="49">
        <f>VLOOKUP($A41,'Data shares'!$C:$FB,99)</f>
        <v>60028150</v>
      </c>
      <c r="H41" s="50">
        <f t="shared" si="1"/>
        <v>0.43429624267947625</v>
      </c>
      <c r="I41" s="49">
        <f>VLOOKUP($A41,'Data shares'!$C:$FB,66)</f>
        <v>31388675</v>
      </c>
      <c r="J41" s="49">
        <f>VLOOKUP($A41,'Data shares'!$C:$FB,67)</f>
        <v>46357200</v>
      </c>
      <c r="K41" s="50">
        <f t="shared" si="2"/>
        <v>-47.687661234505754</v>
      </c>
      <c r="L41" s="50">
        <f>VLOOKUP($A41,'Data shares'!$C:$FB,118)</f>
        <v>0.78</v>
      </c>
      <c r="M41" s="50">
        <f>VLOOKUP($A41,'Data shares'!$C:$FB,119)</f>
        <v>0.89</v>
      </c>
      <c r="N41" s="50">
        <f>VLOOKUP($A41,'Data shares'!$C:$FB,121)*100</f>
        <v>-12.36</v>
      </c>
      <c r="O41" s="50">
        <f>VLOOKUP($A41,'Data shares'!$C:$FB,124)</f>
        <v>0.55000000000000004</v>
      </c>
      <c r="P41" s="50">
        <f>VLOOKUP($A41,'Data shares'!$C:$FB,125)</f>
        <v>0.41</v>
      </c>
      <c r="Q41" s="50">
        <f>VLOOKUP($A41,'Data shares'!$C:$FB,127)*100</f>
        <v>34.150000000000006</v>
      </c>
    </row>
    <row r="42" spans="1:17" x14ac:dyDescent="0.25">
      <c r="A42" s="97" t="str">
        <f>'Data Vlaue (Cr)'!C37</f>
        <v>BRITANNIA</v>
      </c>
      <c r="B42" s="140">
        <f>VLOOKUP($A42,'Data shares'!$C:$FB,7)</f>
        <v>5871.5</v>
      </c>
      <c r="C42" s="140">
        <f>VLOOKUP($A42,'Data shares'!$C:$FB,3)</f>
        <v>5895.5</v>
      </c>
      <c r="D42" s="140">
        <f>VLOOKUP($A42,'Data shares'!$C:$FB,4)</f>
        <v>5899.5</v>
      </c>
      <c r="E42" s="50">
        <f t="shared" si="0"/>
        <v>-6.7802356131875588E-2</v>
      </c>
      <c r="F42" s="49">
        <f>VLOOKUP($A42,'Data shares'!$C:$FB,98)</f>
        <v>5205250</v>
      </c>
      <c r="G42" s="49">
        <f>VLOOKUP($A42,'Data shares'!$C:$FB,99)</f>
        <v>5211750</v>
      </c>
      <c r="H42" s="50">
        <f t="shared" si="1"/>
        <v>-0.12471818487072481</v>
      </c>
      <c r="I42" s="49">
        <f>VLOOKUP($A42,'Data shares'!$C:$FB,66)</f>
        <v>856750</v>
      </c>
      <c r="J42" s="49">
        <f>VLOOKUP($A42,'Data shares'!$C:$FB,67)</f>
        <v>1460125</v>
      </c>
      <c r="K42" s="50">
        <f t="shared" si="2"/>
        <v>-70.426028596440034</v>
      </c>
      <c r="L42" s="50">
        <f>VLOOKUP($A42,'Data shares'!$C:$FB,118)</f>
        <v>0.5</v>
      </c>
      <c r="M42" s="50">
        <f>VLOOKUP($A42,'Data shares'!$C:$FB,119)</f>
        <v>0.51</v>
      </c>
      <c r="N42" s="50">
        <f>VLOOKUP($A42,'Data shares'!$C:$FB,121)*100</f>
        <v>-1.96</v>
      </c>
      <c r="O42" s="50">
        <f>VLOOKUP($A42,'Data shares'!$C:$FB,124)</f>
        <v>0.34</v>
      </c>
      <c r="P42" s="50">
        <f>VLOOKUP($A42,'Data shares'!$C:$FB,125)</f>
        <v>0.34</v>
      </c>
      <c r="Q42" s="50">
        <f>VLOOKUP($A42,'Data shares'!$C:$FB,127)*100</f>
        <v>0</v>
      </c>
    </row>
    <row r="43" spans="1:17" x14ac:dyDescent="0.25">
      <c r="A43" s="97" t="str">
        <f>'Data Vlaue (Cr)'!C38</f>
        <v>BSE</v>
      </c>
      <c r="B43" s="140">
        <f>VLOOKUP($A43,'Data shares'!$C:$FB,7)</f>
        <v>2385</v>
      </c>
      <c r="C43" s="140">
        <f>VLOOKUP($A43,'Data shares'!$C:$FB,3)</f>
        <v>2393.4</v>
      </c>
      <c r="D43" s="140">
        <f>VLOOKUP($A43,'Data shares'!$C:$FB,4)</f>
        <v>2344</v>
      </c>
      <c r="E43" s="50">
        <f t="shared" si="0"/>
        <v>2.1075085324232119</v>
      </c>
      <c r="F43" s="49">
        <f>VLOOKUP($A43,'Data shares'!$C:$FB,98)</f>
        <v>30337125</v>
      </c>
      <c r="G43" s="49">
        <f>VLOOKUP($A43,'Data shares'!$C:$FB,99)</f>
        <v>30070125</v>
      </c>
      <c r="H43" s="50">
        <f t="shared" si="1"/>
        <v>0.88792447653609685</v>
      </c>
      <c r="I43" s="49">
        <f>VLOOKUP($A43,'Data shares'!$C:$FB,66)</f>
        <v>56261250</v>
      </c>
      <c r="J43" s="49">
        <f>VLOOKUP($A43,'Data shares'!$C:$FB,67)</f>
        <v>61701750</v>
      </c>
      <c r="K43" s="50">
        <f t="shared" si="2"/>
        <v>-9.6700659868026388</v>
      </c>
      <c r="L43" s="50">
        <f>VLOOKUP($A43,'Data shares'!$C:$FB,118)</f>
        <v>1.02</v>
      </c>
      <c r="M43" s="50">
        <f>VLOOKUP($A43,'Data shares'!$C:$FB,119)</f>
        <v>1.04</v>
      </c>
      <c r="N43" s="50">
        <f>VLOOKUP($A43,'Data shares'!$C:$FB,121)*100</f>
        <v>-1.92</v>
      </c>
      <c r="O43" s="50">
        <f>VLOOKUP($A43,'Data shares'!$C:$FB,124)</f>
        <v>0.46</v>
      </c>
      <c r="P43" s="50">
        <f>VLOOKUP($A43,'Data shares'!$C:$FB,125)</f>
        <v>0.57999999999999996</v>
      </c>
      <c r="Q43" s="50">
        <f>VLOOKUP($A43,'Data shares'!$C:$FB,127)*100</f>
        <v>-20.69</v>
      </c>
    </row>
    <row r="44" spans="1:17" x14ac:dyDescent="0.25">
      <c r="A44" s="97" t="str">
        <f>'Data Vlaue (Cr)'!C39</f>
        <v>CAMS</v>
      </c>
      <c r="B44" s="140">
        <f>VLOOKUP($A44,'Data shares'!$C:$FB,7)</f>
        <v>3860.8</v>
      </c>
      <c r="C44" s="140">
        <f>VLOOKUP($A44,'Data shares'!$C:$FB,3)</f>
        <v>3872.3</v>
      </c>
      <c r="D44" s="140">
        <f>VLOOKUP($A44,'Data shares'!$C:$FB,4)</f>
        <v>3849.4</v>
      </c>
      <c r="E44" s="50">
        <f t="shared" si="0"/>
        <v>0.59489790616719718</v>
      </c>
      <c r="F44" s="49">
        <f>VLOOKUP($A44,'Data shares'!$C:$FB,98)</f>
        <v>3985650</v>
      </c>
      <c r="G44" s="49">
        <f>VLOOKUP($A44,'Data shares'!$C:$FB,99)</f>
        <v>3964050</v>
      </c>
      <c r="H44" s="50">
        <f t="shared" si="1"/>
        <v>0.54489726416165285</v>
      </c>
      <c r="I44" s="49">
        <f>VLOOKUP($A44,'Data shares'!$C:$FB,66)</f>
        <v>2343300</v>
      </c>
      <c r="J44" s="49">
        <f>VLOOKUP($A44,'Data shares'!$C:$FB,67)</f>
        <v>2360400</v>
      </c>
      <c r="K44" s="50">
        <f t="shared" si="2"/>
        <v>-0.72974011010113937</v>
      </c>
      <c r="L44" s="50">
        <f>VLOOKUP($A44,'Data shares'!$C:$FB,118)</f>
        <v>0.62</v>
      </c>
      <c r="M44" s="50">
        <f>VLOOKUP($A44,'Data shares'!$C:$FB,119)</f>
        <v>0.61</v>
      </c>
      <c r="N44" s="50">
        <f>VLOOKUP($A44,'Data shares'!$C:$FB,121)*100</f>
        <v>1.6400000000000001</v>
      </c>
      <c r="O44" s="50">
        <f>VLOOKUP($A44,'Data shares'!$C:$FB,124)</f>
        <v>0.24</v>
      </c>
      <c r="P44" s="50">
        <f>VLOOKUP($A44,'Data shares'!$C:$FB,125)</f>
        <v>0.22</v>
      </c>
      <c r="Q44" s="50">
        <f>VLOOKUP($A44,'Data shares'!$C:$FB,127)*100</f>
        <v>9.09</v>
      </c>
    </row>
    <row r="45" spans="1:17" x14ac:dyDescent="0.25">
      <c r="A45" s="97" t="str">
        <f>'Data Vlaue (Cr)'!C40</f>
        <v>CANBK</v>
      </c>
      <c r="B45" s="140">
        <f>VLOOKUP($A45,'Data shares'!$C:$FB,7)</f>
        <v>127.39</v>
      </c>
      <c r="C45" s="140">
        <f>VLOOKUP($A45,'Data shares'!$C:$FB,3)</f>
        <v>127.76</v>
      </c>
      <c r="D45" s="140">
        <f>VLOOKUP($A45,'Data shares'!$C:$FB,4)</f>
        <v>126.84</v>
      </c>
      <c r="E45" s="50">
        <f t="shared" si="0"/>
        <v>0.72532324187953456</v>
      </c>
      <c r="F45" s="49">
        <f>VLOOKUP($A45,'Data shares'!$C:$FB,98)</f>
        <v>449185500</v>
      </c>
      <c r="G45" s="49">
        <f>VLOOKUP($A45,'Data shares'!$C:$FB,99)</f>
        <v>457454250</v>
      </c>
      <c r="H45" s="50">
        <f t="shared" si="1"/>
        <v>-1.8075578049608239</v>
      </c>
      <c r="I45" s="49">
        <f>VLOOKUP($A45,'Data shares'!$C:$FB,66)</f>
        <v>317270250</v>
      </c>
      <c r="J45" s="49">
        <f>VLOOKUP($A45,'Data shares'!$C:$FB,67)</f>
        <v>168250500</v>
      </c>
      <c r="K45" s="50">
        <f t="shared" si="2"/>
        <v>46.969342382401123</v>
      </c>
      <c r="L45" s="50">
        <f>VLOOKUP($A45,'Data shares'!$C:$FB,118)</f>
        <v>0.85</v>
      </c>
      <c r="M45" s="50">
        <f>VLOOKUP($A45,'Data shares'!$C:$FB,119)</f>
        <v>0.79</v>
      </c>
      <c r="N45" s="50">
        <f>VLOOKUP($A45,'Data shares'!$C:$FB,121)*100</f>
        <v>7.59</v>
      </c>
      <c r="O45" s="50">
        <f>VLOOKUP($A45,'Data shares'!$C:$FB,124)</f>
        <v>0.47</v>
      </c>
      <c r="P45" s="50">
        <f>VLOOKUP($A45,'Data shares'!$C:$FB,125)</f>
        <v>0.54</v>
      </c>
      <c r="Q45" s="50">
        <f>VLOOKUP($A45,'Data shares'!$C:$FB,127)*100</f>
        <v>-12.959999999999999</v>
      </c>
    </row>
    <row r="46" spans="1:17" x14ac:dyDescent="0.25">
      <c r="A46" s="97" t="str">
        <f>'Data Vlaue (Cr)'!C41</f>
        <v>CDSL</v>
      </c>
      <c r="B46" s="140">
        <f>VLOOKUP($A46,'Data shares'!$C:$FB,7)</f>
        <v>1605.3</v>
      </c>
      <c r="C46" s="140">
        <f>VLOOKUP($A46,'Data shares'!$C:$FB,3)</f>
        <v>1614.6</v>
      </c>
      <c r="D46" s="140">
        <f>VLOOKUP($A46,'Data shares'!$C:$FB,4)</f>
        <v>1567.4</v>
      </c>
      <c r="E46" s="50">
        <f t="shared" si="0"/>
        <v>3.0113563863723245</v>
      </c>
      <c r="F46" s="49">
        <f>VLOOKUP($A46,'Data shares'!$C:$FB,98)</f>
        <v>17299975</v>
      </c>
      <c r="G46" s="49">
        <f>VLOOKUP($A46,'Data shares'!$C:$FB,99)</f>
        <v>17673325</v>
      </c>
      <c r="H46" s="50">
        <f t="shared" si="1"/>
        <v>-2.1125057112908863</v>
      </c>
      <c r="I46" s="49">
        <f>VLOOKUP($A46,'Data shares'!$C:$FB,66)</f>
        <v>32985425</v>
      </c>
      <c r="J46" s="49">
        <f>VLOOKUP($A46,'Data shares'!$C:$FB,67)</f>
        <v>13303800</v>
      </c>
      <c r="K46" s="50">
        <f t="shared" si="2"/>
        <v>59.667641086934609</v>
      </c>
      <c r="L46" s="50">
        <f>VLOOKUP($A46,'Data shares'!$C:$FB,118)</f>
        <v>0.67</v>
      </c>
      <c r="M46" s="50">
        <f>VLOOKUP($A46,'Data shares'!$C:$FB,119)</f>
        <v>0.65</v>
      </c>
      <c r="N46" s="50">
        <f>VLOOKUP($A46,'Data shares'!$C:$FB,121)*100</f>
        <v>3.08</v>
      </c>
      <c r="O46" s="50">
        <f>VLOOKUP($A46,'Data shares'!$C:$FB,124)</f>
        <v>0.27</v>
      </c>
      <c r="P46" s="50">
        <f>VLOOKUP($A46,'Data shares'!$C:$FB,125)</f>
        <v>0.35</v>
      </c>
      <c r="Q46" s="50">
        <f>VLOOKUP($A46,'Data shares'!$C:$FB,127)*100</f>
        <v>-22.86</v>
      </c>
    </row>
    <row r="47" spans="1:17" x14ac:dyDescent="0.25">
      <c r="A47" s="97" t="str">
        <f>'Data Vlaue (Cr)'!C42</f>
        <v>CGPOWER</v>
      </c>
      <c r="B47" s="140">
        <f>VLOOKUP($A47,'Data shares'!$C:$FB,7)</f>
        <v>753.4</v>
      </c>
      <c r="C47" s="140">
        <f>VLOOKUP($A47,'Data shares'!$C:$FB,3)</f>
        <v>756</v>
      </c>
      <c r="D47" s="140">
        <f>VLOOKUP($A47,'Data shares'!$C:$FB,4)</f>
        <v>763.25</v>
      </c>
      <c r="E47" s="50">
        <f t="shared" si="0"/>
        <v>-0.94988535866360957</v>
      </c>
      <c r="F47" s="49">
        <f>VLOOKUP($A47,'Data shares'!$C:$FB,98)</f>
        <v>28114600</v>
      </c>
      <c r="G47" s="49">
        <f>VLOOKUP($A47,'Data shares'!$C:$FB,99)</f>
        <v>27061450</v>
      </c>
      <c r="H47" s="50">
        <f t="shared" si="1"/>
        <v>3.8916983384112829</v>
      </c>
      <c r="I47" s="49">
        <f>VLOOKUP($A47,'Data shares'!$C:$FB,66)</f>
        <v>11459700</v>
      </c>
      <c r="J47" s="49">
        <f>VLOOKUP($A47,'Data shares'!$C:$FB,67)</f>
        <v>17282200</v>
      </c>
      <c r="K47" s="50">
        <f t="shared" si="2"/>
        <v>-50.808485387924641</v>
      </c>
      <c r="L47" s="50">
        <f>VLOOKUP($A47,'Data shares'!$C:$FB,118)</f>
        <v>0.62</v>
      </c>
      <c r="M47" s="50">
        <f>VLOOKUP($A47,'Data shares'!$C:$FB,119)</f>
        <v>0.59</v>
      </c>
      <c r="N47" s="50">
        <f>VLOOKUP($A47,'Data shares'!$C:$FB,121)*100</f>
        <v>5.08</v>
      </c>
      <c r="O47" s="50">
        <f>VLOOKUP($A47,'Data shares'!$C:$FB,124)</f>
        <v>0.39</v>
      </c>
      <c r="P47" s="50">
        <f>VLOOKUP($A47,'Data shares'!$C:$FB,125)</f>
        <v>0.25</v>
      </c>
      <c r="Q47" s="50">
        <f>VLOOKUP($A47,'Data shares'!$C:$FB,127)*100</f>
        <v>56.000000000000007</v>
      </c>
    </row>
    <row r="48" spans="1:17" x14ac:dyDescent="0.25">
      <c r="A48" s="97" t="str">
        <f>'Data Vlaue (Cr)'!C43</f>
        <v>CHOLAFIN</v>
      </c>
      <c r="B48" s="140">
        <f>VLOOKUP($A48,'Data shares'!$C:$FB,7)</f>
        <v>1614.2</v>
      </c>
      <c r="C48" s="140">
        <f>VLOOKUP($A48,'Data shares'!$C:$FB,3)</f>
        <v>1611.6</v>
      </c>
      <c r="D48" s="140">
        <f>VLOOKUP($A48,'Data shares'!$C:$FB,4)</f>
        <v>1617.4</v>
      </c>
      <c r="E48" s="50">
        <f t="shared" si="0"/>
        <v>-0.35860022257945973</v>
      </c>
      <c r="F48" s="49">
        <f>VLOOKUP($A48,'Data shares'!$C:$FB,98)</f>
        <v>19998125</v>
      </c>
      <c r="G48" s="49">
        <f>VLOOKUP($A48,'Data shares'!$C:$FB,99)</f>
        <v>19940000</v>
      </c>
      <c r="H48" s="50">
        <f t="shared" si="1"/>
        <v>0.29149949849548651</v>
      </c>
      <c r="I48" s="49">
        <f>VLOOKUP($A48,'Data shares'!$C:$FB,66)</f>
        <v>5520000</v>
      </c>
      <c r="J48" s="49">
        <f>VLOOKUP($A48,'Data shares'!$C:$FB,67)</f>
        <v>6890000</v>
      </c>
      <c r="K48" s="50">
        <f t="shared" si="2"/>
        <v>-24.818840579710145</v>
      </c>
      <c r="L48" s="50">
        <f>VLOOKUP($A48,'Data shares'!$C:$FB,118)</f>
        <v>0.73</v>
      </c>
      <c r="M48" s="50">
        <f>VLOOKUP($A48,'Data shares'!$C:$FB,119)</f>
        <v>0.73</v>
      </c>
      <c r="N48" s="50">
        <f>VLOOKUP($A48,'Data shares'!$C:$FB,121)*100</f>
        <v>0</v>
      </c>
      <c r="O48" s="50">
        <f>VLOOKUP($A48,'Data shares'!$C:$FB,124)</f>
        <v>0.39</v>
      </c>
      <c r="P48" s="50">
        <f>VLOOKUP($A48,'Data shares'!$C:$FB,125)</f>
        <v>0.47</v>
      </c>
      <c r="Q48" s="50">
        <f>VLOOKUP($A48,'Data shares'!$C:$FB,127)*100</f>
        <v>-17.02</v>
      </c>
    </row>
    <row r="49" spans="1:17" x14ac:dyDescent="0.25">
      <c r="A49" s="97" t="str">
        <f>'Data Vlaue (Cr)'!C44</f>
        <v>CIPLA</v>
      </c>
      <c r="B49" s="140">
        <f>VLOOKUP($A49,'Data shares'!$C:$FB,7)</f>
        <v>1561.8</v>
      </c>
      <c r="C49" s="140">
        <f>VLOOKUP($A49,'Data shares'!$C:$FB,3)</f>
        <v>1572.2</v>
      </c>
      <c r="D49" s="140">
        <f>VLOOKUP($A49,'Data shares'!$C:$FB,4)</f>
        <v>1517.3</v>
      </c>
      <c r="E49" s="50">
        <f t="shared" si="0"/>
        <v>3.618269294140914</v>
      </c>
      <c r="F49" s="49">
        <f>VLOOKUP($A49,'Data shares'!$C:$FB,98)</f>
        <v>18391125</v>
      </c>
      <c r="G49" s="49">
        <f>VLOOKUP($A49,'Data shares'!$C:$FB,99)</f>
        <v>16362000</v>
      </c>
      <c r="H49" s="50">
        <f t="shared" si="1"/>
        <v>12.401448478181152</v>
      </c>
      <c r="I49" s="49">
        <f>VLOOKUP($A49,'Data shares'!$C:$FB,66)</f>
        <v>32216625</v>
      </c>
      <c r="J49" s="49">
        <f>VLOOKUP($A49,'Data shares'!$C:$FB,67)</f>
        <v>8125875</v>
      </c>
      <c r="K49" s="50">
        <f t="shared" si="2"/>
        <v>74.777385899360965</v>
      </c>
      <c r="L49" s="50">
        <f>VLOOKUP($A49,'Data shares'!$C:$FB,118)</f>
        <v>0.8</v>
      </c>
      <c r="M49" s="50">
        <f>VLOOKUP($A49,'Data shares'!$C:$FB,119)</f>
        <v>0.56999999999999995</v>
      </c>
      <c r="N49" s="50">
        <f>VLOOKUP($A49,'Data shares'!$C:$FB,121)*100</f>
        <v>40.35</v>
      </c>
      <c r="O49" s="50">
        <f>VLOOKUP($A49,'Data shares'!$C:$FB,124)</f>
        <v>0.38</v>
      </c>
      <c r="P49" s="50">
        <f>VLOOKUP($A49,'Data shares'!$C:$FB,125)</f>
        <v>0.32</v>
      </c>
      <c r="Q49" s="50">
        <f>VLOOKUP($A49,'Data shares'!$C:$FB,127)*100</f>
        <v>18.75</v>
      </c>
    </row>
    <row r="50" spans="1:17" x14ac:dyDescent="0.25">
      <c r="A50" s="97" t="str">
        <f>'Data Vlaue (Cr)'!C45</f>
        <v>COALINDIA</v>
      </c>
      <c r="B50" s="140">
        <f>VLOOKUP($A50,'Data shares'!$C:$FB,7)</f>
        <v>384.5</v>
      </c>
      <c r="C50" s="140">
        <f>VLOOKUP($A50,'Data shares'!$C:$FB,3)</f>
        <v>385.7</v>
      </c>
      <c r="D50" s="140">
        <f>VLOOKUP($A50,'Data shares'!$C:$FB,4)</f>
        <v>385.45</v>
      </c>
      <c r="E50" s="50">
        <f t="shared" si="0"/>
        <v>6.485925541574783E-2</v>
      </c>
      <c r="F50" s="49">
        <f>VLOOKUP($A50,'Data shares'!$C:$FB,98)</f>
        <v>120406500</v>
      </c>
      <c r="G50" s="49">
        <f>VLOOKUP($A50,'Data shares'!$C:$FB,99)</f>
        <v>117598500</v>
      </c>
      <c r="H50" s="50">
        <f t="shared" si="1"/>
        <v>2.3877855584892664</v>
      </c>
      <c r="I50" s="49">
        <f>VLOOKUP($A50,'Data shares'!$C:$FB,66)</f>
        <v>30369600</v>
      </c>
      <c r="J50" s="49">
        <f>VLOOKUP($A50,'Data shares'!$C:$FB,67)</f>
        <v>34118550</v>
      </c>
      <c r="K50" s="50">
        <f t="shared" si="2"/>
        <v>-12.34441678520626</v>
      </c>
      <c r="L50" s="50">
        <f>VLOOKUP($A50,'Data shares'!$C:$FB,118)</f>
        <v>0.66</v>
      </c>
      <c r="M50" s="50">
        <f>VLOOKUP($A50,'Data shares'!$C:$FB,119)</f>
        <v>0.67</v>
      </c>
      <c r="N50" s="50">
        <f>VLOOKUP($A50,'Data shares'!$C:$FB,121)*100</f>
        <v>-1.49</v>
      </c>
      <c r="O50" s="50">
        <f>VLOOKUP($A50,'Data shares'!$C:$FB,124)</f>
        <v>0.47</v>
      </c>
      <c r="P50" s="50">
        <f>VLOOKUP($A50,'Data shares'!$C:$FB,125)</f>
        <v>0.45</v>
      </c>
      <c r="Q50" s="50">
        <f>VLOOKUP($A50,'Data shares'!$C:$FB,127)*100</f>
        <v>4.4400000000000004</v>
      </c>
    </row>
    <row r="51" spans="1:17" x14ac:dyDescent="0.25">
      <c r="A51" s="97" t="str">
        <f>'Data Vlaue (Cr)'!C46</f>
        <v>COFORGE</v>
      </c>
      <c r="B51" s="140">
        <f>VLOOKUP($A51,'Data shares'!$C:$FB,7)</f>
        <v>1722.3</v>
      </c>
      <c r="C51" s="140">
        <f>VLOOKUP($A51,'Data shares'!$C:$FB,3)</f>
        <v>1731.1</v>
      </c>
      <c r="D51" s="140">
        <f>VLOOKUP($A51,'Data shares'!$C:$FB,4)</f>
        <v>1729.4</v>
      </c>
      <c r="E51" s="50">
        <f t="shared" si="0"/>
        <v>9.8299988435284966E-2</v>
      </c>
      <c r="F51" s="49">
        <f>VLOOKUP($A51,'Data shares'!$C:$FB,98)</f>
        <v>19714125</v>
      </c>
      <c r="G51" s="49">
        <f>VLOOKUP($A51,'Data shares'!$C:$FB,99)</f>
        <v>20287500</v>
      </c>
      <c r="H51" s="50">
        <f t="shared" si="1"/>
        <v>-2.8262476894639557</v>
      </c>
      <c r="I51" s="49">
        <f>VLOOKUP($A51,'Data shares'!$C:$FB,66)</f>
        <v>13305750</v>
      </c>
      <c r="J51" s="49">
        <f>VLOOKUP($A51,'Data shares'!$C:$FB,67)</f>
        <v>13551375</v>
      </c>
      <c r="K51" s="50">
        <f t="shared" si="2"/>
        <v>-1.8460064257933599</v>
      </c>
      <c r="L51" s="50">
        <f>VLOOKUP($A51,'Data shares'!$C:$FB,118)</f>
        <v>0.69</v>
      </c>
      <c r="M51" s="50">
        <f>VLOOKUP($A51,'Data shares'!$C:$FB,119)</f>
        <v>0.63</v>
      </c>
      <c r="N51" s="50">
        <f>VLOOKUP($A51,'Data shares'!$C:$FB,121)*100</f>
        <v>9.5200000000000014</v>
      </c>
      <c r="O51" s="50">
        <f>VLOOKUP($A51,'Data shares'!$C:$FB,124)</f>
        <v>0.52</v>
      </c>
      <c r="P51" s="50">
        <f>VLOOKUP($A51,'Data shares'!$C:$FB,125)</f>
        <v>0.56000000000000005</v>
      </c>
      <c r="Q51" s="50">
        <f>VLOOKUP($A51,'Data shares'!$C:$FB,127)*100</f>
        <v>-7.1400000000000006</v>
      </c>
    </row>
    <row r="52" spans="1:17" x14ac:dyDescent="0.25">
      <c r="A52" s="97" t="str">
        <f>'Data Vlaue (Cr)'!C47</f>
        <v>COLPAL</v>
      </c>
      <c r="B52" s="140">
        <f>VLOOKUP($A52,'Data shares'!$C:$FB,7)</f>
        <v>2227.8000000000002</v>
      </c>
      <c r="C52" s="140">
        <f>VLOOKUP($A52,'Data shares'!$C:$FB,3)</f>
        <v>2238.8000000000002</v>
      </c>
      <c r="D52" s="140">
        <f>VLOOKUP($A52,'Data shares'!$C:$FB,4)</f>
        <v>2218.6999999999998</v>
      </c>
      <c r="E52" s="50">
        <f t="shared" si="0"/>
        <v>0.90593590841485405</v>
      </c>
      <c r="F52" s="49">
        <f>VLOOKUP($A52,'Data shares'!$C:$FB,98)</f>
        <v>8404875</v>
      </c>
      <c r="G52" s="49">
        <f>VLOOKUP($A52,'Data shares'!$C:$FB,99)</f>
        <v>8253900</v>
      </c>
      <c r="H52" s="50">
        <f t="shared" si="1"/>
        <v>1.8291353178497438</v>
      </c>
      <c r="I52" s="49">
        <f>VLOOKUP($A52,'Data shares'!$C:$FB,66)</f>
        <v>2343375</v>
      </c>
      <c r="J52" s="49">
        <f>VLOOKUP($A52,'Data shares'!$C:$FB,67)</f>
        <v>1425375</v>
      </c>
      <c r="K52" s="50">
        <f t="shared" si="2"/>
        <v>39.174267882861258</v>
      </c>
      <c r="L52" s="50">
        <f>VLOOKUP($A52,'Data shares'!$C:$FB,118)</f>
        <v>0.81</v>
      </c>
      <c r="M52" s="50">
        <f>VLOOKUP($A52,'Data shares'!$C:$FB,119)</f>
        <v>0.78</v>
      </c>
      <c r="N52" s="50">
        <f>VLOOKUP($A52,'Data shares'!$C:$FB,121)*100</f>
        <v>3.85</v>
      </c>
      <c r="O52" s="50">
        <f>VLOOKUP($A52,'Data shares'!$C:$FB,124)</f>
        <v>0.3</v>
      </c>
      <c r="P52" s="50">
        <f>VLOOKUP($A52,'Data shares'!$C:$FB,125)</f>
        <v>0.28999999999999998</v>
      </c>
      <c r="Q52" s="50">
        <f>VLOOKUP($A52,'Data shares'!$C:$FB,127)*100</f>
        <v>3.45</v>
      </c>
    </row>
    <row r="53" spans="1:17" x14ac:dyDescent="0.25">
      <c r="A53" s="97" t="str">
        <f>'Data Vlaue (Cr)'!C48</f>
        <v>CONCOR</v>
      </c>
      <c r="B53" s="140">
        <f>VLOOKUP($A53,'Data shares'!$C:$FB,7)</f>
        <v>541.4</v>
      </c>
      <c r="C53" s="140">
        <f>VLOOKUP($A53,'Data shares'!$C:$FB,3)</f>
        <v>542.65</v>
      </c>
      <c r="D53" s="140">
        <f>VLOOKUP($A53,'Data shares'!$C:$FB,4)</f>
        <v>540.1</v>
      </c>
      <c r="E53" s="50">
        <f t="shared" si="0"/>
        <v>0.47213478985372237</v>
      </c>
      <c r="F53" s="49">
        <f>VLOOKUP($A53,'Data shares'!$C:$FB,98)</f>
        <v>42998750</v>
      </c>
      <c r="G53" s="49">
        <f>VLOOKUP($A53,'Data shares'!$C:$FB,99)</f>
        <v>43018750</v>
      </c>
      <c r="H53" s="50">
        <f t="shared" si="1"/>
        <v>-4.6491355513584194E-2</v>
      </c>
      <c r="I53" s="49">
        <f>VLOOKUP($A53,'Data shares'!$C:$FB,66)</f>
        <v>17983750</v>
      </c>
      <c r="J53" s="49">
        <f>VLOOKUP($A53,'Data shares'!$C:$FB,67)</f>
        <v>26731250</v>
      </c>
      <c r="K53" s="50">
        <f t="shared" si="2"/>
        <v>-48.641134357405988</v>
      </c>
      <c r="L53" s="50">
        <f>VLOOKUP($A53,'Data shares'!$C:$FB,118)</f>
        <v>0.74</v>
      </c>
      <c r="M53" s="50">
        <f>VLOOKUP($A53,'Data shares'!$C:$FB,119)</f>
        <v>0.72</v>
      </c>
      <c r="N53" s="50">
        <f>VLOOKUP($A53,'Data shares'!$C:$FB,121)*100</f>
        <v>2.78</v>
      </c>
      <c r="O53" s="50">
        <f>VLOOKUP($A53,'Data shares'!$C:$FB,124)</f>
        <v>0.3</v>
      </c>
      <c r="P53" s="50">
        <f>VLOOKUP($A53,'Data shares'!$C:$FB,125)</f>
        <v>0.33</v>
      </c>
      <c r="Q53" s="50">
        <f>VLOOKUP($A53,'Data shares'!$C:$FB,127)*100</f>
        <v>-9.09</v>
      </c>
    </row>
    <row r="54" spans="1:17" x14ac:dyDescent="0.25">
      <c r="A54" s="97" t="str">
        <f>'Data Vlaue (Cr)'!C49</f>
        <v>CROMPTON</v>
      </c>
      <c r="B54" s="140">
        <f>VLOOKUP($A54,'Data shares'!$C:$FB,7)</f>
        <v>287.75</v>
      </c>
      <c r="C54" s="140">
        <f>VLOOKUP($A54,'Data shares'!$C:$FB,3)</f>
        <v>289.14999999999998</v>
      </c>
      <c r="D54" s="140">
        <f>VLOOKUP($A54,'Data shares'!$C:$FB,4)</f>
        <v>286.3</v>
      </c>
      <c r="E54" s="50">
        <f t="shared" si="0"/>
        <v>0.99545930841773178</v>
      </c>
      <c r="F54" s="49">
        <f>VLOOKUP($A54,'Data shares'!$C:$FB,98)</f>
        <v>80735400</v>
      </c>
      <c r="G54" s="49">
        <f>VLOOKUP($A54,'Data shares'!$C:$FB,99)</f>
        <v>80031600</v>
      </c>
      <c r="H54" s="50">
        <f t="shared" si="1"/>
        <v>0.87940263595879631</v>
      </c>
      <c r="I54" s="49">
        <f>VLOOKUP($A54,'Data shares'!$C:$FB,66)</f>
        <v>26521200</v>
      </c>
      <c r="J54" s="49">
        <f>VLOOKUP($A54,'Data shares'!$C:$FB,67)</f>
        <v>19188000</v>
      </c>
      <c r="K54" s="50">
        <f t="shared" si="2"/>
        <v>27.650332564137369</v>
      </c>
      <c r="L54" s="50">
        <f>VLOOKUP($A54,'Data shares'!$C:$FB,118)</f>
        <v>0.56999999999999995</v>
      </c>
      <c r="M54" s="50">
        <f>VLOOKUP($A54,'Data shares'!$C:$FB,119)</f>
        <v>0.55000000000000004</v>
      </c>
      <c r="N54" s="50">
        <f>VLOOKUP($A54,'Data shares'!$C:$FB,121)*100</f>
        <v>3.64</v>
      </c>
      <c r="O54" s="50">
        <f>VLOOKUP($A54,'Data shares'!$C:$FB,124)</f>
        <v>0.26</v>
      </c>
      <c r="P54" s="50">
        <f>VLOOKUP($A54,'Data shares'!$C:$FB,125)</f>
        <v>0.26</v>
      </c>
      <c r="Q54" s="50">
        <f>VLOOKUP($A54,'Data shares'!$C:$FB,127)*100</f>
        <v>0</v>
      </c>
    </row>
    <row r="55" spans="1:17" x14ac:dyDescent="0.25">
      <c r="A55" s="97" t="str">
        <f>'Data Vlaue (Cr)'!C50</f>
        <v>CUMMINSIND</v>
      </c>
      <c r="B55" s="140">
        <f>VLOOKUP($A55,'Data shares'!$C:$FB,7)</f>
        <v>3966</v>
      </c>
      <c r="C55" s="140">
        <f>VLOOKUP($A55,'Data shares'!$C:$FB,3)</f>
        <v>3988.3</v>
      </c>
      <c r="D55" s="140">
        <f>VLOOKUP($A55,'Data shares'!$C:$FB,4)</f>
        <v>3973.2</v>
      </c>
      <c r="E55" s="50">
        <f t="shared" si="0"/>
        <v>0.38004631027887759</v>
      </c>
      <c r="F55" s="49">
        <f>VLOOKUP($A55,'Data shares'!$C:$FB,98)</f>
        <v>4229400</v>
      </c>
      <c r="G55" s="49">
        <f>VLOOKUP($A55,'Data shares'!$C:$FB,99)</f>
        <v>4125200</v>
      </c>
      <c r="H55" s="50">
        <f t="shared" si="1"/>
        <v>2.5259381363327837</v>
      </c>
      <c r="I55" s="49">
        <f>VLOOKUP($A55,'Data shares'!$C:$FB,66)</f>
        <v>4103800</v>
      </c>
      <c r="J55" s="49">
        <f>VLOOKUP($A55,'Data shares'!$C:$FB,67)</f>
        <v>1810000</v>
      </c>
      <c r="K55" s="50">
        <f t="shared" si="2"/>
        <v>55.894536770797799</v>
      </c>
      <c r="L55" s="50">
        <f>VLOOKUP($A55,'Data shares'!$C:$FB,118)</f>
        <v>0.69</v>
      </c>
      <c r="M55" s="50">
        <f>VLOOKUP($A55,'Data shares'!$C:$FB,119)</f>
        <v>0.74</v>
      </c>
      <c r="N55" s="50">
        <f>VLOOKUP($A55,'Data shares'!$C:$FB,121)*100</f>
        <v>-6.76</v>
      </c>
      <c r="O55" s="50">
        <f>VLOOKUP($A55,'Data shares'!$C:$FB,124)</f>
        <v>0.27</v>
      </c>
      <c r="P55" s="50">
        <f>VLOOKUP($A55,'Data shares'!$C:$FB,125)</f>
        <v>0.27</v>
      </c>
      <c r="Q55" s="50">
        <f>VLOOKUP($A55,'Data shares'!$C:$FB,127)*100</f>
        <v>0</v>
      </c>
    </row>
    <row r="56" spans="1:17" x14ac:dyDescent="0.25">
      <c r="A56" s="97" t="str">
        <f>'Data Vlaue (Cr)'!C51</f>
        <v>CYIENT</v>
      </c>
      <c r="B56" s="140">
        <f>VLOOKUP($A56,'Data shares'!$C:$FB,7)</f>
        <v>1176.9000000000001</v>
      </c>
      <c r="C56" s="140">
        <f>VLOOKUP($A56,'Data shares'!$C:$FB,3)</f>
        <v>1179</v>
      </c>
      <c r="D56" s="140">
        <f>VLOOKUP($A56,'Data shares'!$C:$FB,4)</f>
        <v>1181.9000000000001</v>
      </c>
      <c r="E56" s="50">
        <f t="shared" si="0"/>
        <v>-0.24536762839496495</v>
      </c>
      <c r="F56" s="49">
        <f>VLOOKUP($A56,'Data shares'!$C:$FB,98)</f>
        <v>7184625</v>
      </c>
      <c r="G56" s="49">
        <f>VLOOKUP($A56,'Data shares'!$C:$FB,99)</f>
        <v>6775350</v>
      </c>
      <c r="H56" s="50">
        <f t="shared" si="1"/>
        <v>6.0406473466315393</v>
      </c>
      <c r="I56" s="49">
        <f>VLOOKUP($A56,'Data shares'!$C:$FB,66)</f>
        <v>2348125</v>
      </c>
      <c r="J56" s="49">
        <f>VLOOKUP($A56,'Data shares'!$C:$FB,67)</f>
        <v>2170900</v>
      </c>
      <c r="K56" s="50">
        <f t="shared" si="2"/>
        <v>7.5475113122171953</v>
      </c>
      <c r="L56" s="50">
        <f>VLOOKUP($A56,'Data shares'!$C:$FB,118)</f>
        <v>0.54</v>
      </c>
      <c r="M56" s="50">
        <f>VLOOKUP($A56,'Data shares'!$C:$FB,119)</f>
        <v>0.63</v>
      </c>
      <c r="N56" s="50">
        <f>VLOOKUP($A56,'Data shares'!$C:$FB,121)*100</f>
        <v>-14.29</v>
      </c>
      <c r="O56" s="50">
        <f>VLOOKUP($A56,'Data shares'!$C:$FB,124)</f>
        <v>0.19</v>
      </c>
      <c r="P56" s="50">
        <f>VLOOKUP($A56,'Data shares'!$C:$FB,125)</f>
        <v>0.45</v>
      </c>
      <c r="Q56" s="50">
        <f>VLOOKUP($A56,'Data shares'!$C:$FB,127)*100</f>
        <v>-57.78</v>
      </c>
    </row>
    <row r="57" spans="1:17" x14ac:dyDescent="0.25">
      <c r="A57" s="97" t="str">
        <f>'Data Vlaue (Cr)'!C52</f>
        <v>DABUR</v>
      </c>
      <c r="B57" s="140">
        <f>VLOOKUP($A57,'Data shares'!$C:$FB,7)</f>
        <v>489.7</v>
      </c>
      <c r="C57" s="140">
        <f>VLOOKUP($A57,'Data shares'!$C:$FB,3)</f>
        <v>491.35</v>
      </c>
      <c r="D57" s="140">
        <f>VLOOKUP($A57,'Data shares'!$C:$FB,4)</f>
        <v>488.15</v>
      </c>
      <c r="E57" s="50">
        <f t="shared" si="0"/>
        <v>0.65553620813275548</v>
      </c>
      <c r="F57" s="49">
        <f>VLOOKUP($A57,'Data shares'!$C:$FB,98)</f>
        <v>55740000</v>
      </c>
      <c r="G57" s="49">
        <f>VLOOKUP($A57,'Data shares'!$C:$FB,99)</f>
        <v>56068750</v>
      </c>
      <c r="H57" s="50">
        <f t="shared" si="1"/>
        <v>-0.58633374205774169</v>
      </c>
      <c r="I57" s="49">
        <f>VLOOKUP($A57,'Data shares'!$C:$FB,66)</f>
        <v>16525000</v>
      </c>
      <c r="J57" s="49">
        <f>VLOOKUP($A57,'Data shares'!$C:$FB,67)</f>
        <v>23620000</v>
      </c>
      <c r="K57" s="50">
        <f t="shared" si="2"/>
        <v>-42.934947049924354</v>
      </c>
      <c r="L57" s="50">
        <f>VLOOKUP($A57,'Data shares'!$C:$FB,118)</f>
        <v>0.44</v>
      </c>
      <c r="M57" s="50">
        <f>VLOOKUP($A57,'Data shares'!$C:$FB,119)</f>
        <v>0.43</v>
      </c>
      <c r="N57" s="50">
        <f>VLOOKUP($A57,'Data shares'!$C:$FB,121)*100</f>
        <v>2.33</v>
      </c>
      <c r="O57" s="50">
        <f>VLOOKUP($A57,'Data shares'!$C:$FB,124)</f>
        <v>0.39</v>
      </c>
      <c r="P57" s="50">
        <f>VLOOKUP($A57,'Data shares'!$C:$FB,125)</f>
        <v>0.43</v>
      </c>
      <c r="Q57" s="50">
        <f>VLOOKUP($A57,'Data shares'!$C:$FB,127)*100</f>
        <v>-9.3000000000000007</v>
      </c>
    </row>
    <row r="58" spans="1:17" x14ac:dyDescent="0.25">
      <c r="A58" s="97" t="str">
        <f>'Data Vlaue (Cr)'!C53</f>
        <v>DALBHARAT</v>
      </c>
      <c r="B58" s="140">
        <f>VLOOKUP($A58,'Data shares'!$C:$FB,7)</f>
        <v>2227.6999999999998</v>
      </c>
      <c r="C58" s="140">
        <f>VLOOKUP($A58,'Data shares'!$C:$FB,3)</f>
        <v>2237.8000000000002</v>
      </c>
      <c r="D58" s="140">
        <f>VLOOKUP($A58,'Data shares'!$C:$FB,4)</f>
        <v>2243.6</v>
      </c>
      <c r="E58" s="50">
        <f t="shared" si="0"/>
        <v>-0.25851310394008409</v>
      </c>
      <c r="F58" s="49">
        <f>VLOOKUP($A58,'Data shares'!$C:$FB,98)</f>
        <v>3293225</v>
      </c>
      <c r="G58" s="49">
        <f>VLOOKUP($A58,'Data shares'!$C:$FB,99)</f>
        <v>3208725</v>
      </c>
      <c r="H58" s="50">
        <f t="shared" si="1"/>
        <v>2.6334447483034538</v>
      </c>
      <c r="I58" s="49">
        <f>VLOOKUP($A58,'Data shares'!$C:$FB,66)</f>
        <v>781950</v>
      </c>
      <c r="J58" s="49">
        <f>VLOOKUP($A58,'Data shares'!$C:$FB,67)</f>
        <v>1271075</v>
      </c>
      <c r="K58" s="50">
        <f t="shared" si="2"/>
        <v>-62.55195344970906</v>
      </c>
      <c r="L58" s="50">
        <f>VLOOKUP($A58,'Data shares'!$C:$FB,118)</f>
        <v>0.63</v>
      </c>
      <c r="M58" s="50">
        <f>VLOOKUP($A58,'Data shares'!$C:$FB,119)</f>
        <v>0.64</v>
      </c>
      <c r="N58" s="50">
        <f>VLOOKUP($A58,'Data shares'!$C:$FB,121)*100</f>
        <v>-1.5599999999999998</v>
      </c>
      <c r="O58" s="50">
        <f>VLOOKUP($A58,'Data shares'!$C:$FB,124)</f>
        <v>0.72</v>
      </c>
      <c r="P58" s="50">
        <f>VLOOKUP($A58,'Data shares'!$C:$FB,125)</f>
        <v>1.1100000000000001</v>
      </c>
      <c r="Q58" s="50">
        <f>VLOOKUP($A58,'Data shares'!$C:$FB,127)*100</f>
        <v>-35.14</v>
      </c>
    </row>
    <row r="59" spans="1:17" x14ac:dyDescent="0.25">
      <c r="A59" s="97" t="str">
        <f>'Data Vlaue (Cr)'!C54</f>
        <v>DELHIVERY</v>
      </c>
      <c r="B59" s="140">
        <f>VLOOKUP($A59,'Data shares'!$C:$FB,7)</f>
        <v>464.85</v>
      </c>
      <c r="C59" s="140">
        <f>VLOOKUP($A59,'Data shares'!$C:$FB,3)</f>
        <v>467.6</v>
      </c>
      <c r="D59" s="140">
        <f>VLOOKUP($A59,'Data shares'!$C:$FB,4)</f>
        <v>470.7</v>
      </c>
      <c r="E59" s="50">
        <f t="shared" si="0"/>
        <v>-0.65859358402378709</v>
      </c>
      <c r="F59" s="49">
        <f>VLOOKUP($A59,'Data shares'!$C:$FB,98)</f>
        <v>31757875</v>
      </c>
      <c r="G59" s="49">
        <f>VLOOKUP($A59,'Data shares'!$C:$FB,99)</f>
        <v>30627000</v>
      </c>
      <c r="H59" s="50">
        <f t="shared" si="1"/>
        <v>3.692411924119241</v>
      </c>
      <c r="I59" s="49">
        <f>VLOOKUP($A59,'Data shares'!$C:$FB,66)</f>
        <v>15842625</v>
      </c>
      <c r="J59" s="49">
        <f>VLOOKUP($A59,'Data shares'!$C:$FB,67)</f>
        <v>18666700</v>
      </c>
      <c r="K59" s="50">
        <f t="shared" si="2"/>
        <v>-17.825802226588081</v>
      </c>
      <c r="L59" s="50">
        <f>VLOOKUP($A59,'Data shares'!$C:$FB,118)</f>
        <v>0.78</v>
      </c>
      <c r="M59" s="50">
        <f>VLOOKUP($A59,'Data shares'!$C:$FB,119)</f>
        <v>0.83</v>
      </c>
      <c r="N59" s="50">
        <f>VLOOKUP($A59,'Data shares'!$C:$FB,121)*100</f>
        <v>-6.02</v>
      </c>
      <c r="O59" s="50">
        <f>VLOOKUP($A59,'Data shares'!$C:$FB,124)</f>
        <v>0.6</v>
      </c>
      <c r="P59" s="50">
        <f>VLOOKUP($A59,'Data shares'!$C:$FB,125)</f>
        <v>0.49</v>
      </c>
      <c r="Q59" s="50">
        <f>VLOOKUP($A59,'Data shares'!$C:$FB,127)*100</f>
        <v>22.45</v>
      </c>
    </row>
    <row r="60" spans="1:17" x14ac:dyDescent="0.25">
      <c r="A60" s="97" t="str">
        <f>'Data Vlaue (Cr)'!C55</f>
        <v>DIVISLAB</v>
      </c>
      <c r="B60" s="140">
        <f>VLOOKUP($A60,'Data shares'!$C:$FB,7)</f>
        <v>6474.5</v>
      </c>
      <c r="C60" s="140">
        <f>VLOOKUP($A60,'Data shares'!$C:$FB,3)</f>
        <v>6498.5</v>
      </c>
      <c r="D60" s="140">
        <f>VLOOKUP($A60,'Data shares'!$C:$FB,4)</f>
        <v>6165.5</v>
      </c>
      <c r="E60" s="50">
        <f t="shared" si="0"/>
        <v>5.4010218149379607</v>
      </c>
      <c r="F60" s="49">
        <f>VLOOKUP($A60,'Data shares'!$C:$FB,98)</f>
        <v>6040600</v>
      </c>
      <c r="G60" s="49">
        <f>VLOOKUP($A60,'Data shares'!$C:$FB,99)</f>
        <v>4510700</v>
      </c>
      <c r="H60" s="50">
        <f t="shared" si="1"/>
        <v>33.917130378876891</v>
      </c>
      <c r="I60" s="49">
        <f>VLOOKUP($A60,'Data shares'!$C:$FB,66)</f>
        <v>21603100</v>
      </c>
      <c r="J60" s="49">
        <f>VLOOKUP($A60,'Data shares'!$C:$FB,67)</f>
        <v>2996200</v>
      </c>
      <c r="K60" s="50">
        <f t="shared" si="2"/>
        <v>86.130694205924158</v>
      </c>
      <c r="L60" s="50">
        <f>VLOOKUP($A60,'Data shares'!$C:$FB,118)</f>
        <v>0.91</v>
      </c>
      <c r="M60" s="50">
        <f>VLOOKUP($A60,'Data shares'!$C:$FB,119)</f>
        <v>0.86</v>
      </c>
      <c r="N60" s="50">
        <f>VLOOKUP($A60,'Data shares'!$C:$FB,121)*100</f>
        <v>5.81</v>
      </c>
      <c r="O60" s="50">
        <f>VLOOKUP($A60,'Data shares'!$C:$FB,124)</f>
        <v>0.39</v>
      </c>
      <c r="P60" s="50">
        <f>VLOOKUP($A60,'Data shares'!$C:$FB,125)</f>
        <v>0.46</v>
      </c>
      <c r="Q60" s="50">
        <f>VLOOKUP($A60,'Data shares'!$C:$FB,127)*100</f>
        <v>-15.22</v>
      </c>
    </row>
    <row r="61" spans="1:17" x14ac:dyDescent="0.25">
      <c r="A61" s="97" t="str">
        <f>'Data Vlaue (Cr)'!C56</f>
        <v>DIXON</v>
      </c>
      <c r="B61" s="140">
        <f>VLOOKUP($A61,'Data shares'!$C:$FB,7)</f>
        <v>17445</v>
      </c>
      <c r="C61" s="140">
        <f>VLOOKUP($A61,'Data shares'!$C:$FB,3)</f>
        <v>17489</v>
      </c>
      <c r="D61" s="140">
        <f>VLOOKUP($A61,'Data shares'!$C:$FB,4)</f>
        <v>17180</v>
      </c>
      <c r="E61" s="50">
        <f t="shared" si="0"/>
        <v>1.7986030267753201</v>
      </c>
      <c r="F61" s="49">
        <f>VLOOKUP($A61,'Data shares'!$C:$FB,98)</f>
        <v>3074600</v>
      </c>
      <c r="G61" s="49">
        <f>VLOOKUP($A61,'Data shares'!$C:$FB,99)</f>
        <v>3230850</v>
      </c>
      <c r="H61" s="50">
        <f t="shared" si="1"/>
        <v>-4.8361886190940462</v>
      </c>
      <c r="I61" s="49">
        <f>VLOOKUP($A61,'Data shares'!$C:$FB,66)</f>
        <v>2911700</v>
      </c>
      <c r="J61" s="49">
        <f>VLOOKUP($A61,'Data shares'!$C:$FB,67)</f>
        <v>1764450</v>
      </c>
      <c r="K61" s="50">
        <f t="shared" si="2"/>
        <v>39.401380636741422</v>
      </c>
      <c r="L61" s="50">
        <f>VLOOKUP($A61,'Data shares'!$C:$FB,118)</f>
        <v>0.96</v>
      </c>
      <c r="M61" s="50">
        <f>VLOOKUP($A61,'Data shares'!$C:$FB,119)</f>
        <v>0.82</v>
      </c>
      <c r="N61" s="50">
        <f>VLOOKUP($A61,'Data shares'!$C:$FB,121)*100</f>
        <v>17.07</v>
      </c>
      <c r="O61" s="50">
        <f>VLOOKUP($A61,'Data shares'!$C:$FB,124)</f>
        <v>0.53</v>
      </c>
      <c r="P61" s="50">
        <f>VLOOKUP($A61,'Data shares'!$C:$FB,125)</f>
        <v>0.64</v>
      </c>
      <c r="Q61" s="50">
        <f>VLOOKUP($A61,'Data shares'!$C:$FB,127)*100</f>
        <v>-17.190000000000001</v>
      </c>
    </row>
    <row r="62" spans="1:17" x14ac:dyDescent="0.25">
      <c r="A62" s="97" t="str">
        <f>'Data Vlaue (Cr)'!C57</f>
        <v>DLF</v>
      </c>
      <c r="B62" s="140">
        <f>VLOOKUP($A62,'Data shares'!$C:$FB,7)</f>
        <v>740.2</v>
      </c>
      <c r="C62" s="140">
        <f>VLOOKUP($A62,'Data shares'!$C:$FB,3)</f>
        <v>742.6</v>
      </c>
      <c r="D62" s="140">
        <f>VLOOKUP($A62,'Data shares'!$C:$FB,4)</f>
        <v>733.1</v>
      </c>
      <c r="E62" s="50">
        <f t="shared" si="0"/>
        <v>1.2958668667303233</v>
      </c>
      <c r="F62" s="49">
        <f>VLOOKUP($A62,'Data shares'!$C:$FB,98)</f>
        <v>68737350</v>
      </c>
      <c r="G62" s="49">
        <f>VLOOKUP($A62,'Data shares'!$C:$FB,99)</f>
        <v>69640725</v>
      </c>
      <c r="H62" s="50">
        <f t="shared" si="1"/>
        <v>-1.2971935602336133</v>
      </c>
      <c r="I62" s="49">
        <f>VLOOKUP($A62,'Data shares'!$C:$FB,66)</f>
        <v>44042625</v>
      </c>
      <c r="J62" s="49">
        <f>VLOOKUP($A62,'Data shares'!$C:$FB,67)</f>
        <v>19114425</v>
      </c>
      <c r="K62" s="50">
        <f t="shared" si="2"/>
        <v>56.600168586681654</v>
      </c>
      <c r="L62" s="50">
        <f>VLOOKUP($A62,'Data shares'!$C:$FB,118)</f>
        <v>0.65</v>
      </c>
      <c r="M62" s="50">
        <f>VLOOKUP($A62,'Data shares'!$C:$FB,119)</f>
        <v>0.64</v>
      </c>
      <c r="N62" s="50">
        <f>VLOOKUP($A62,'Data shares'!$C:$FB,121)*100</f>
        <v>1.5599999999999998</v>
      </c>
      <c r="O62" s="50">
        <f>VLOOKUP($A62,'Data shares'!$C:$FB,124)</f>
        <v>0.4</v>
      </c>
      <c r="P62" s="50">
        <f>VLOOKUP($A62,'Data shares'!$C:$FB,125)</f>
        <v>0.33</v>
      </c>
      <c r="Q62" s="50">
        <f>VLOOKUP($A62,'Data shares'!$C:$FB,127)*100</f>
        <v>21.21</v>
      </c>
    </row>
    <row r="63" spans="1:17" x14ac:dyDescent="0.25">
      <c r="A63" s="97" t="str">
        <f>'Data Vlaue (Cr)'!C58</f>
        <v>DMART</v>
      </c>
      <c r="B63" s="140">
        <f>VLOOKUP($A63,'Data shares'!$C:$FB,7)</f>
        <v>4320.3999999999996</v>
      </c>
      <c r="C63" s="140">
        <f>VLOOKUP($A63,'Data shares'!$C:$FB,3)</f>
        <v>4337.7</v>
      </c>
      <c r="D63" s="140">
        <f>VLOOKUP($A63,'Data shares'!$C:$FB,4)</f>
        <v>4316.8999999999996</v>
      </c>
      <c r="E63" s="50">
        <f t="shared" si="0"/>
        <v>0.48182723713776521</v>
      </c>
      <c r="F63" s="49">
        <f>VLOOKUP($A63,'Data shares'!$C:$FB,98)</f>
        <v>10623600</v>
      </c>
      <c r="G63" s="49">
        <f>VLOOKUP($A63,'Data shares'!$C:$FB,99)</f>
        <v>9247650</v>
      </c>
      <c r="H63" s="50">
        <f t="shared" si="1"/>
        <v>14.878915183857522</v>
      </c>
      <c r="I63" s="49">
        <f>VLOOKUP($A63,'Data shares'!$C:$FB,66)</f>
        <v>11075400</v>
      </c>
      <c r="J63" s="49">
        <f>VLOOKUP($A63,'Data shares'!$C:$FB,67)</f>
        <v>2647050</v>
      </c>
      <c r="K63" s="50">
        <f t="shared" si="2"/>
        <v>76.099734546833517</v>
      </c>
      <c r="L63" s="50">
        <f>VLOOKUP($A63,'Data shares'!$C:$FB,118)</f>
        <v>0.56999999999999995</v>
      </c>
      <c r="M63" s="50">
        <f>VLOOKUP($A63,'Data shares'!$C:$FB,119)</f>
        <v>0.56000000000000005</v>
      </c>
      <c r="N63" s="50">
        <f>VLOOKUP($A63,'Data shares'!$C:$FB,121)*100</f>
        <v>1.79</v>
      </c>
      <c r="O63" s="50">
        <f>VLOOKUP($A63,'Data shares'!$C:$FB,124)</f>
        <v>0.44</v>
      </c>
      <c r="P63" s="50">
        <f>VLOOKUP($A63,'Data shares'!$C:$FB,125)</f>
        <v>0.38</v>
      </c>
      <c r="Q63" s="50">
        <f>VLOOKUP($A63,'Data shares'!$C:$FB,127)*100</f>
        <v>15.790000000000001</v>
      </c>
    </row>
    <row r="64" spans="1:17" x14ac:dyDescent="0.25">
      <c r="A64" s="97" t="str">
        <f>'Data Vlaue (Cr)'!C59</f>
        <v>DRREDDY</v>
      </c>
      <c r="B64" s="140">
        <f>VLOOKUP($A64,'Data shares'!$C:$FB,7)</f>
        <v>1264.4000000000001</v>
      </c>
      <c r="C64" s="140">
        <f>VLOOKUP($A64,'Data shares'!$C:$FB,3)</f>
        <v>1270.9000000000001</v>
      </c>
      <c r="D64" s="140">
        <f>VLOOKUP($A64,'Data shares'!$C:$FB,4)</f>
        <v>1252.9000000000001</v>
      </c>
      <c r="E64" s="50">
        <f t="shared" si="0"/>
        <v>1.4366669327160986</v>
      </c>
      <c r="F64" s="49">
        <f>VLOOKUP($A64,'Data shares'!$C:$FB,98)</f>
        <v>21013750</v>
      </c>
      <c r="G64" s="49">
        <f>VLOOKUP($A64,'Data shares'!$C:$FB,99)</f>
        <v>21113750</v>
      </c>
      <c r="H64" s="50">
        <f t="shared" si="1"/>
        <v>-0.47362500740039071</v>
      </c>
      <c r="I64" s="49">
        <f>VLOOKUP($A64,'Data shares'!$C:$FB,66)</f>
        <v>12853750</v>
      </c>
      <c r="J64" s="49">
        <f>VLOOKUP($A64,'Data shares'!$C:$FB,67)</f>
        <v>20705000</v>
      </c>
      <c r="K64" s="50">
        <f t="shared" si="2"/>
        <v>-61.081396479626569</v>
      </c>
      <c r="L64" s="50">
        <f>VLOOKUP($A64,'Data shares'!$C:$FB,118)</f>
        <v>0.56000000000000005</v>
      </c>
      <c r="M64" s="50">
        <f>VLOOKUP($A64,'Data shares'!$C:$FB,119)</f>
        <v>0.55000000000000004</v>
      </c>
      <c r="N64" s="50">
        <f>VLOOKUP($A64,'Data shares'!$C:$FB,121)*100</f>
        <v>1.82</v>
      </c>
      <c r="O64" s="50">
        <f>VLOOKUP($A64,'Data shares'!$C:$FB,124)</f>
        <v>0.36</v>
      </c>
      <c r="P64" s="50">
        <f>VLOOKUP($A64,'Data shares'!$C:$FB,125)</f>
        <v>0.28000000000000003</v>
      </c>
      <c r="Q64" s="50">
        <f>VLOOKUP($A64,'Data shares'!$C:$FB,127)*100</f>
        <v>28.57</v>
      </c>
    </row>
    <row r="65" spans="1:17" x14ac:dyDescent="0.25">
      <c r="A65" s="97" t="str">
        <f>'Data Vlaue (Cr)'!C60</f>
        <v>EICHERMOT</v>
      </c>
      <c r="B65" s="140">
        <f>VLOOKUP($A65,'Data shares'!$C:$FB,7)</f>
        <v>6965</v>
      </c>
      <c r="C65" s="140">
        <f>VLOOKUP($A65,'Data shares'!$C:$FB,3)</f>
        <v>6984</v>
      </c>
      <c r="D65" s="140">
        <f>VLOOKUP($A65,'Data shares'!$C:$FB,4)</f>
        <v>6914.5</v>
      </c>
      <c r="E65" s="50">
        <f t="shared" si="0"/>
        <v>1.0051341384048016</v>
      </c>
      <c r="F65" s="49">
        <f>VLOOKUP($A65,'Data shares'!$C:$FB,98)</f>
        <v>6782125</v>
      </c>
      <c r="G65" s="49">
        <f>VLOOKUP($A65,'Data shares'!$C:$FB,99)</f>
        <v>6744675</v>
      </c>
      <c r="H65" s="50">
        <f t="shared" si="1"/>
        <v>0.55525284761682359</v>
      </c>
      <c r="I65" s="49">
        <f>VLOOKUP($A65,'Data shares'!$C:$FB,66)</f>
        <v>3686550</v>
      </c>
      <c r="J65" s="49">
        <f>VLOOKUP($A65,'Data shares'!$C:$FB,67)</f>
        <v>4903325</v>
      </c>
      <c r="K65" s="50">
        <f t="shared" si="2"/>
        <v>-33.005791322510206</v>
      </c>
      <c r="L65" s="50">
        <f>VLOOKUP($A65,'Data shares'!$C:$FB,118)</f>
        <v>0.78</v>
      </c>
      <c r="M65" s="50">
        <f>VLOOKUP($A65,'Data shares'!$C:$FB,119)</f>
        <v>0.75</v>
      </c>
      <c r="N65" s="50">
        <f>VLOOKUP($A65,'Data shares'!$C:$FB,121)*100</f>
        <v>4</v>
      </c>
      <c r="O65" s="50">
        <f>VLOOKUP($A65,'Data shares'!$C:$FB,124)</f>
        <v>0.56999999999999995</v>
      </c>
      <c r="P65" s="50">
        <f>VLOOKUP($A65,'Data shares'!$C:$FB,125)</f>
        <v>0.77</v>
      </c>
      <c r="Q65" s="50">
        <f>VLOOKUP($A65,'Data shares'!$C:$FB,127)*100</f>
        <v>-25.97</v>
      </c>
    </row>
    <row r="66" spans="1:17" x14ac:dyDescent="0.25">
      <c r="A66" s="97" t="str">
        <f>'Data Vlaue (Cr)'!C61</f>
        <v>ETERNAL</v>
      </c>
      <c r="B66" s="140">
        <f>VLOOKUP($A66,'Data shares'!$C:$FB,7)</f>
        <v>348.3</v>
      </c>
      <c r="C66" s="140">
        <f>VLOOKUP($A66,'Data shares'!$C:$FB,3)</f>
        <v>349.4</v>
      </c>
      <c r="D66" s="140">
        <f>VLOOKUP($A66,'Data shares'!$C:$FB,4)</f>
        <v>346.55</v>
      </c>
      <c r="E66" s="50">
        <f t="shared" si="0"/>
        <v>0.82239215120472242</v>
      </c>
      <c r="F66" s="49">
        <f>VLOOKUP($A66,'Data shares'!$C:$FB,98)</f>
        <v>332465075</v>
      </c>
      <c r="G66" s="49">
        <f>VLOOKUP($A66,'Data shares'!$C:$FB,99)</f>
        <v>334133475</v>
      </c>
      <c r="H66" s="50">
        <f t="shared" si="1"/>
        <v>-0.49932141638906424</v>
      </c>
      <c r="I66" s="49">
        <f>VLOOKUP($A66,'Data shares'!$C:$FB,66)</f>
        <v>113291150</v>
      </c>
      <c r="J66" s="49">
        <f>VLOOKUP($A66,'Data shares'!$C:$FB,67)</f>
        <v>179765250</v>
      </c>
      <c r="K66" s="50">
        <f t="shared" si="2"/>
        <v>-58.675456997302966</v>
      </c>
      <c r="L66" s="50">
        <f>VLOOKUP($A66,'Data shares'!$C:$FB,118)</f>
        <v>0.74</v>
      </c>
      <c r="M66" s="50">
        <f>VLOOKUP($A66,'Data shares'!$C:$FB,119)</f>
        <v>0.7</v>
      </c>
      <c r="N66" s="50">
        <f>VLOOKUP($A66,'Data shares'!$C:$FB,121)*100</f>
        <v>5.71</v>
      </c>
      <c r="O66" s="50">
        <f>VLOOKUP($A66,'Data shares'!$C:$FB,124)</f>
        <v>0.69</v>
      </c>
      <c r="P66" s="50">
        <f>VLOOKUP($A66,'Data shares'!$C:$FB,125)</f>
        <v>0.57999999999999996</v>
      </c>
      <c r="Q66" s="50">
        <f>VLOOKUP($A66,'Data shares'!$C:$FB,127)*100</f>
        <v>18.970000000000002</v>
      </c>
    </row>
    <row r="67" spans="1:17" x14ac:dyDescent="0.25">
      <c r="A67" s="97" t="str">
        <f>'Data Vlaue (Cr)'!C62</f>
        <v>EXIDEIND</v>
      </c>
      <c r="B67" s="140">
        <f>VLOOKUP($A67,'Data shares'!$C:$FB,7)</f>
        <v>400.65</v>
      </c>
      <c r="C67" s="140">
        <f>VLOOKUP($A67,'Data shares'!$C:$FB,3)</f>
        <v>402.85</v>
      </c>
      <c r="D67" s="140">
        <f>VLOOKUP($A67,'Data shares'!$C:$FB,4)</f>
        <v>398.65</v>
      </c>
      <c r="E67" s="50">
        <f t="shared" si="0"/>
        <v>1.0535557506584838</v>
      </c>
      <c r="F67" s="49">
        <f>VLOOKUP($A67,'Data shares'!$C:$FB,98)</f>
        <v>49721400</v>
      </c>
      <c r="G67" s="49">
        <f>VLOOKUP($A67,'Data shares'!$C:$FB,99)</f>
        <v>48556800</v>
      </c>
      <c r="H67" s="50">
        <f t="shared" si="1"/>
        <v>2.3984282325029653</v>
      </c>
      <c r="I67" s="49">
        <f>VLOOKUP($A67,'Data shares'!$C:$FB,66)</f>
        <v>29923200</v>
      </c>
      <c r="J67" s="49">
        <f>VLOOKUP($A67,'Data shares'!$C:$FB,67)</f>
        <v>31118400</v>
      </c>
      <c r="K67" s="50">
        <f t="shared" si="2"/>
        <v>-3.994225216554379</v>
      </c>
      <c r="L67" s="50">
        <f>VLOOKUP($A67,'Data shares'!$C:$FB,118)</f>
        <v>0.84</v>
      </c>
      <c r="M67" s="50">
        <f>VLOOKUP($A67,'Data shares'!$C:$FB,119)</f>
        <v>0.76</v>
      </c>
      <c r="N67" s="50">
        <f>VLOOKUP($A67,'Data shares'!$C:$FB,121)*100</f>
        <v>10.530000000000001</v>
      </c>
      <c r="O67" s="50">
        <f>VLOOKUP($A67,'Data shares'!$C:$FB,124)</f>
        <v>0.9</v>
      </c>
      <c r="P67" s="50">
        <f>VLOOKUP($A67,'Data shares'!$C:$FB,125)</f>
        <v>0.89</v>
      </c>
      <c r="Q67" s="50">
        <f>VLOOKUP($A67,'Data shares'!$C:$FB,127)*100</f>
        <v>1.1199999999999999</v>
      </c>
    </row>
    <row r="68" spans="1:17" x14ac:dyDescent="0.25">
      <c r="A68" s="97" t="str">
        <f>'Data Vlaue (Cr)'!C63</f>
        <v>FEDERALBNK</v>
      </c>
      <c r="B68" s="140">
        <f>VLOOKUP($A68,'Data shares'!$C:$FB,7)</f>
        <v>208.3</v>
      </c>
      <c r="C68" s="140">
        <f>VLOOKUP($A68,'Data shares'!$C:$FB,3)</f>
        <v>209.3</v>
      </c>
      <c r="D68" s="140">
        <f>VLOOKUP($A68,'Data shares'!$C:$FB,4)</f>
        <v>207.92</v>
      </c>
      <c r="E68" s="50">
        <f t="shared" si="0"/>
        <v>0.66371681415930361</v>
      </c>
      <c r="F68" s="49">
        <f>VLOOKUP($A68,'Data shares'!$C:$FB,98)</f>
        <v>171670000</v>
      </c>
      <c r="G68" s="49">
        <f>VLOOKUP($A68,'Data shares'!$C:$FB,99)</f>
        <v>169105000</v>
      </c>
      <c r="H68" s="50">
        <f t="shared" si="1"/>
        <v>1.5168090831140415</v>
      </c>
      <c r="I68" s="49">
        <f>VLOOKUP($A68,'Data shares'!$C:$FB,66)</f>
        <v>194020000</v>
      </c>
      <c r="J68" s="49">
        <f>VLOOKUP($A68,'Data shares'!$C:$FB,67)</f>
        <v>241305000</v>
      </c>
      <c r="K68" s="50">
        <f t="shared" si="2"/>
        <v>-24.371198845479846</v>
      </c>
      <c r="L68" s="50">
        <f>VLOOKUP($A68,'Data shares'!$C:$FB,118)</f>
        <v>0.83</v>
      </c>
      <c r="M68" s="50">
        <f>VLOOKUP($A68,'Data shares'!$C:$FB,119)</f>
        <v>0.81</v>
      </c>
      <c r="N68" s="50">
        <f>VLOOKUP($A68,'Data shares'!$C:$FB,121)*100</f>
        <v>2.4699999999999998</v>
      </c>
      <c r="O68" s="50">
        <f>VLOOKUP($A68,'Data shares'!$C:$FB,124)</f>
        <v>0.64</v>
      </c>
      <c r="P68" s="50">
        <f>VLOOKUP($A68,'Data shares'!$C:$FB,125)</f>
        <v>0.45</v>
      </c>
      <c r="Q68" s="50">
        <f>VLOOKUP($A68,'Data shares'!$C:$FB,127)*100</f>
        <v>42.22</v>
      </c>
    </row>
    <row r="69" spans="1:17" x14ac:dyDescent="0.25">
      <c r="A69" s="97" t="str">
        <f>'Data Vlaue (Cr)'!C64</f>
        <v>FINNIFTY</v>
      </c>
      <c r="B69" s="140">
        <f>VLOOKUP($A69,'Data shares'!$C:$FB,7)</f>
        <v>26842.25</v>
      </c>
      <c r="C69" s="140">
        <f>VLOOKUP($A69,'Data shares'!$C:$FB,3)</f>
        <v>26965.599999999999</v>
      </c>
      <c r="D69" s="140">
        <f>VLOOKUP($A69,'Data shares'!$C:$FB,4)</f>
        <v>26833.5</v>
      </c>
      <c r="E69" s="50">
        <f t="shared" si="0"/>
        <v>0.49229507891254792</v>
      </c>
      <c r="F69" s="49">
        <f>VLOOKUP($A69,'Data shares'!$C:$FB,98)</f>
        <v>1964040</v>
      </c>
      <c r="G69" s="49">
        <f>VLOOKUP($A69,'Data shares'!$C:$FB,99)</f>
        <v>1843790</v>
      </c>
      <c r="H69" s="50">
        <f t="shared" si="1"/>
        <v>6.5218924064020296</v>
      </c>
      <c r="I69" s="49">
        <f>VLOOKUP($A69,'Data shares'!$C:$FB,66)</f>
        <v>3907735</v>
      </c>
      <c r="J69" s="49">
        <f>VLOOKUP($A69,'Data shares'!$C:$FB,67)</f>
        <v>2788370</v>
      </c>
      <c r="K69" s="50">
        <f t="shared" si="2"/>
        <v>28.644854372161877</v>
      </c>
      <c r="L69" s="50">
        <f>VLOOKUP($A69,'Data shares'!$C:$FB,118)</f>
        <v>0.67</v>
      </c>
      <c r="M69" s="50">
        <f>VLOOKUP($A69,'Data shares'!$C:$FB,119)</f>
        <v>0.6</v>
      </c>
      <c r="N69" s="50">
        <f>VLOOKUP($A69,'Data shares'!$C:$FB,121)*100</f>
        <v>11.67</v>
      </c>
      <c r="O69" s="50">
        <f>VLOOKUP($A69,'Data shares'!$C:$FB,124)</f>
        <v>0.52</v>
      </c>
      <c r="P69" s="50">
        <f>VLOOKUP($A69,'Data shares'!$C:$FB,125)</f>
        <v>0.63</v>
      </c>
      <c r="Q69" s="50">
        <f>VLOOKUP($A69,'Data shares'!$C:$FB,127)*100</f>
        <v>-17.46</v>
      </c>
    </row>
    <row r="70" spans="1:17" x14ac:dyDescent="0.25">
      <c r="A70" s="97" t="str">
        <f>'Data Vlaue (Cr)'!C65</f>
        <v>FORTIS</v>
      </c>
      <c r="B70" s="140">
        <f>VLOOKUP($A70,'Data shares'!$C:$FB,7)</f>
        <v>1060.3</v>
      </c>
      <c r="C70" s="140">
        <f>VLOOKUP($A70,'Data shares'!$C:$FB,3)</f>
        <v>1066.7</v>
      </c>
      <c r="D70" s="140">
        <f>VLOOKUP($A70,'Data shares'!$C:$FB,4)</f>
        <v>1071.8499999999999</v>
      </c>
      <c r="E70" s="50">
        <f t="shared" si="0"/>
        <v>-0.48047767877966729</v>
      </c>
      <c r="F70" s="49">
        <f>VLOOKUP($A70,'Data shares'!$C:$FB,98)</f>
        <v>15168300</v>
      </c>
      <c r="G70" s="49">
        <f>VLOOKUP($A70,'Data shares'!$C:$FB,99)</f>
        <v>15357400</v>
      </c>
      <c r="H70" s="50">
        <f t="shared" si="1"/>
        <v>-1.2313282196205086</v>
      </c>
      <c r="I70" s="49">
        <f>VLOOKUP($A70,'Data shares'!$C:$FB,66)</f>
        <v>9508475</v>
      </c>
      <c r="J70" s="49">
        <f>VLOOKUP($A70,'Data shares'!$C:$FB,67)</f>
        <v>13835300</v>
      </c>
      <c r="K70" s="50">
        <f t="shared" si="2"/>
        <v>-45.504931127231238</v>
      </c>
      <c r="L70" s="50">
        <f>VLOOKUP($A70,'Data shares'!$C:$FB,118)</f>
        <v>0.85</v>
      </c>
      <c r="M70" s="50">
        <f>VLOOKUP($A70,'Data shares'!$C:$FB,119)</f>
        <v>0.85</v>
      </c>
      <c r="N70" s="50">
        <f>VLOOKUP($A70,'Data shares'!$C:$FB,121)*100</f>
        <v>0</v>
      </c>
      <c r="O70" s="50">
        <f>VLOOKUP($A70,'Data shares'!$C:$FB,124)</f>
        <v>0.69</v>
      </c>
      <c r="P70" s="50">
        <f>VLOOKUP($A70,'Data shares'!$C:$FB,125)</f>
        <v>0.48</v>
      </c>
      <c r="Q70" s="50">
        <f>VLOOKUP($A70,'Data shares'!$C:$FB,127)*100</f>
        <v>43.75</v>
      </c>
    </row>
    <row r="71" spans="1:17" x14ac:dyDescent="0.25">
      <c r="A71" s="97" t="str">
        <f>'Data Vlaue (Cr)'!C66</f>
        <v>GAIL</v>
      </c>
      <c r="B71" s="140">
        <f>VLOOKUP($A71,'Data shares'!$C:$FB,7)</f>
        <v>179.21</v>
      </c>
      <c r="C71" s="140">
        <f>VLOOKUP($A71,'Data shares'!$C:$FB,3)</f>
        <v>179.58</v>
      </c>
      <c r="D71" s="140">
        <f>VLOOKUP($A71,'Data shares'!$C:$FB,4)</f>
        <v>178.99</v>
      </c>
      <c r="E71" s="50">
        <f t="shared" si="0"/>
        <v>0.32962735348343669</v>
      </c>
      <c r="F71" s="49">
        <f>VLOOKUP($A71,'Data shares'!$C:$FB,98)</f>
        <v>163595250</v>
      </c>
      <c r="G71" s="49">
        <f>VLOOKUP($A71,'Data shares'!$C:$FB,99)</f>
        <v>166842900</v>
      </c>
      <c r="H71" s="50">
        <f t="shared" si="1"/>
        <v>-1.9465317373409359</v>
      </c>
      <c r="I71" s="49">
        <f>VLOOKUP($A71,'Data shares'!$C:$FB,66)</f>
        <v>60291000</v>
      </c>
      <c r="J71" s="49">
        <f>VLOOKUP($A71,'Data shares'!$C:$FB,67)</f>
        <v>35878500</v>
      </c>
      <c r="K71" s="50">
        <f t="shared" si="2"/>
        <v>40.49111807732497</v>
      </c>
      <c r="L71" s="50">
        <f>VLOOKUP($A71,'Data shares'!$C:$FB,118)</f>
        <v>0.67</v>
      </c>
      <c r="M71" s="50">
        <f>VLOOKUP($A71,'Data shares'!$C:$FB,119)</f>
        <v>0.65</v>
      </c>
      <c r="N71" s="50">
        <f>VLOOKUP($A71,'Data shares'!$C:$FB,121)*100</f>
        <v>3.08</v>
      </c>
      <c r="O71" s="50">
        <f>VLOOKUP($A71,'Data shares'!$C:$FB,124)</f>
        <v>0.42</v>
      </c>
      <c r="P71" s="50">
        <f>VLOOKUP($A71,'Data shares'!$C:$FB,125)</f>
        <v>0.37</v>
      </c>
      <c r="Q71" s="50">
        <f>VLOOKUP($A71,'Data shares'!$C:$FB,127)*100</f>
        <v>13.51</v>
      </c>
    </row>
    <row r="72" spans="1:17" x14ac:dyDescent="0.25">
      <c r="A72" s="97" t="str">
        <f>'Data Vlaue (Cr)'!C67</f>
        <v>GLENMARK</v>
      </c>
      <c r="B72" s="140">
        <f>VLOOKUP($A72,'Data shares'!$C:$FB,7)</f>
        <v>1939.3</v>
      </c>
      <c r="C72" s="140">
        <f>VLOOKUP($A72,'Data shares'!$C:$FB,3)</f>
        <v>1949.7</v>
      </c>
      <c r="D72" s="140">
        <f>VLOOKUP($A72,'Data shares'!$C:$FB,4)</f>
        <v>1946.4</v>
      </c>
      <c r="E72" s="50">
        <f t="shared" ref="E72:E135" si="3">(C72-D72)/D72*100</f>
        <v>0.16954377311960309</v>
      </c>
      <c r="F72" s="49">
        <f>VLOOKUP($A72,'Data shares'!$C:$FB,98)</f>
        <v>10501125</v>
      </c>
      <c r="G72" s="49">
        <f>VLOOKUP($A72,'Data shares'!$C:$FB,99)</f>
        <v>10272750</v>
      </c>
      <c r="H72" s="50">
        <f t="shared" ref="H72:H135" si="4">(F72-G72)/G72*100</f>
        <v>2.2231145506315251</v>
      </c>
      <c r="I72" s="49">
        <f>VLOOKUP($A72,'Data shares'!$C:$FB,66)</f>
        <v>4190250</v>
      </c>
      <c r="J72" s="49">
        <f>VLOOKUP($A72,'Data shares'!$C:$FB,67)</f>
        <v>2915625</v>
      </c>
      <c r="K72" s="50">
        <f t="shared" ref="K72:K135" si="5">(I72-J72)/I72*100</f>
        <v>30.418829425451943</v>
      </c>
      <c r="L72" s="50">
        <f>VLOOKUP($A72,'Data shares'!$C:$FB,118)</f>
        <v>0.61</v>
      </c>
      <c r="M72" s="50">
        <f>VLOOKUP($A72,'Data shares'!$C:$FB,119)</f>
        <v>0.62</v>
      </c>
      <c r="N72" s="50">
        <f>VLOOKUP($A72,'Data shares'!$C:$FB,121)*100</f>
        <v>-1.6099999999999999</v>
      </c>
      <c r="O72" s="50">
        <f>VLOOKUP($A72,'Data shares'!$C:$FB,124)</f>
        <v>0.34</v>
      </c>
      <c r="P72" s="50">
        <f>VLOOKUP($A72,'Data shares'!$C:$FB,125)</f>
        <v>0.27</v>
      </c>
      <c r="Q72" s="50">
        <f>VLOOKUP($A72,'Data shares'!$C:$FB,127)*100</f>
        <v>25.929999999999996</v>
      </c>
    </row>
    <row r="73" spans="1:17" x14ac:dyDescent="0.25">
      <c r="A73" s="97" t="str">
        <f>'Data Vlaue (Cr)'!C68</f>
        <v>GMRAIRPORT</v>
      </c>
      <c r="B73" s="140">
        <f>VLOOKUP($A73,'Data shares'!$C:$FB,7)</f>
        <v>90.35</v>
      </c>
      <c r="C73" s="140">
        <f>VLOOKUP($A73,'Data shares'!$C:$FB,3)</f>
        <v>90.68</v>
      </c>
      <c r="D73" s="140">
        <f>VLOOKUP($A73,'Data shares'!$C:$FB,4)</f>
        <v>91.15</v>
      </c>
      <c r="E73" s="50">
        <f t="shared" si="3"/>
        <v>-0.51563357103675134</v>
      </c>
      <c r="F73" s="49">
        <f>VLOOKUP($A73,'Data shares'!$C:$FB,98)</f>
        <v>329052600</v>
      </c>
      <c r="G73" s="49">
        <f>VLOOKUP($A73,'Data shares'!$C:$FB,99)</f>
        <v>328264425</v>
      </c>
      <c r="H73" s="50">
        <f t="shared" si="4"/>
        <v>0.2401036907974417</v>
      </c>
      <c r="I73" s="49">
        <f>VLOOKUP($A73,'Data shares'!$C:$FB,66)</f>
        <v>69680250</v>
      </c>
      <c r="J73" s="49">
        <f>VLOOKUP($A73,'Data shares'!$C:$FB,67)</f>
        <v>176321025</v>
      </c>
      <c r="K73" s="50">
        <f t="shared" si="5"/>
        <v>-153.04304304304304</v>
      </c>
      <c r="L73" s="50">
        <f>VLOOKUP($A73,'Data shares'!$C:$FB,118)</f>
        <v>0.51</v>
      </c>
      <c r="M73" s="50">
        <f>VLOOKUP($A73,'Data shares'!$C:$FB,119)</f>
        <v>0.51</v>
      </c>
      <c r="N73" s="50">
        <f>VLOOKUP($A73,'Data shares'!$C:$FB,121)*100</f>
        <v>0</v>
      </c>
      <c r="O73" s="50">
        <f>VLOOKUP($A73,'Data shares'!$C:$FB,124)</f>
        <v>0.33</v>
      </c>
      <c r="P73" s="50">
        <f>VLOOKUP($A73,'Data shares'!$C:$FB,125)</f>
        <v>0.42</v>
      </c>
      <c r="Q73" s="50">
        <f>VLOOKUP($A73,'Data shares'!$C:$FB,127)*100</f>
        <v>-21.43</v>
      </c>
    </row>
    <row r="74" spans="1:17" x14ac:dyDescent="0.25">
      <c r="A74" s="97" t="str">
        <f>'Data Vlaue (Cr)'!C69</f>
        <v>GODREJCP</v>
      </c>
      <c r="B74" s="140">
        <f>VLOOKUP($A74,'Data shares'!$C:$FB,7)</f>
        <v>1129.8</v>
      </c>
      <c r="C74" s="140">
        <f>VLOOKUP($A74,'Data shares'!$C:$FB,3)</f>
        <v>1134.8</v>
      </c>
      <c r="D74" s="140">
        <f>VLOOKUP($A74,'Data shares'!$C:$FB,4)</f>
        <v>1131.3</v>
      </c>
      <c r="E74" s="50">
        <f t="shared" si="3"/>
        <v>0.30937859100150272</v>
      </c>
      <c r="F74" s="49">
        <f>VLOOKUP($A74,'Data shares'!$C:$FB,98)</f>
        <v>17488000</v>
      </c>
      <c r="G74" s="49">
        <f>VLOOKUP($A74,'Data shares'!$C:$FB,99)</f>
        <v>17004500</v>
      </c>
      <c r="H74" s="50">
        <f t="shared" si="4"/>
        <v>2.8433649916198656</v>
      </c>
      <c r="I74" s="49">
        <f>VLOOKUP($A74,'Data shares'!$C:$FB,66)</f>
        <v>4091500</v>
      </c>
      <c r="J74" s="49">
        <f>VLOOKUP($A74,'Data shares'!$C:$FB,67)</f>
        <v>4430000</v>
      </c>
      <c r="K74" s="50">
        <f t="shared" si="5"/>
        <v>-8.2732494195282911</v>
      </c>
      <c r="L74" s="50">
        <f>VLOOKUP($A74,'Data shares'!$C:$FB,118)</f>
        <v>0.51</v>
      </c>
      <c r="M74" s="50">
        <f>VLOOKUP($A74,'Data shares'!$C:$FB,119)</f>
        <v>0.55000000000000004</v>
      </c>
      <c r="N74" s="50">
        <f>VLOOKUP($A74,'Data shares'!$C:$FB,121)*100</f>
        <v>-7.2700000000000005</v>
      </c>
      <c r="O74" s="50">
        <f>VLOOKUP($A74,'Data shares'!$C:$FB,124)</f>
        <v>0.22</v>
      </c>
      <c r="P74" s="50">
        <f>VLOOKUP($A74,'Data shares'!$C:$FB,125)</f>
        <v>0.32</v>
      </c>
      <c r="Q74" s="50">
        <f>VLOOKUP($A74,'Data shares'!$C:$FB,127)*100</f>
        <v>-31.25</v>
      </c>
    </row>
    <row r="75" spans="1:17" x14ac:dyDescent="0.25">
      <c r="A75" s="97" t="str">
        <f>'Data Vlaue (Cr)'!C70</f>
        <v>GODREJPROP</v>
      </c>
      <c r="B75" s="140">
        <f>VLOOKUP($A75,'Data shares'!$C:$FB,7)</f>
        <v>2091.9</v>
      </c>
      <c r="C75" s="140">
        <f>VLOOKUP($A75,'Data shares'!$C:$FB,3)</f>
        <v>2100.1999999999998</v>
      </c>
      <c r="D75" s="140">
        <f>VLOOKUP($A75,'Data shares'!$C:$FB,4)</f>
        <v>2043</v>
      </c>
      <c r="E75" s="50">
        <f t="shared" si="3"/>
        <v>2.7998042094958304</v>
      </c>
      <c r="F75" s="49">
        <f>VLOOKUP($A75,'Data shares'!$C:$FB,98)</f>
        <v>14331350</v>
      </c>
      <c r="G75" s="49">
        <f>VLOOKUP($A75,'Data shares'!$C:$FB,99)</f>
        <v>14536775</v>
      </c>
      <c r="H75" s="50">
        <f t="shared" si="4"/>
        <v>-1.4131401222072983</v>
      </c>
      <c r="I75" s="49">
        <f>VLOOKUP($A75,'Data shares'!$C:$FB,66)</f>
        <v>12329075</v>
      </c>
      <c r="J75" s="49">
        <f>VLOOKUP($A75,'Data shares'!$C:$FB,67)</f>
        <v>5659500</v>
      </c>
      <c r="K75" s="50">
        <f t="shared" si="5"/>
        <v>54.096312983739658</v>
      </c>
      <c r="L75" s="50">
        <f>VLOOKUP($A75,'Data shares'!$C:$FB,118)</f>
        <v>0.66</v>
      </c>
      <c r="M75" s="50">
        <f>VLOOKUP($A75,'Data shares'!$C:$FB,119)</f>
        <v>0.62</v>
      </c>
      <c r="N75" s="50">
        <f>VLOOKUP($A75,'Data shares'!$C:$FB,121)*100</f>
        <v>6.45</v>
      </c>
      <c r="O75" s="50">
        <f>VLOOKUP($A75,'Data shares'!$C:$FB,124)</f>
        <v>0.33</v>
      </c>
      <c r="P75" s="50">
        <f>VLOOKUP($A75,'Data shares'!$C:$FB,125)</f>
        <v>0.41</v>
      </c>
      <c r="Q75" s="50">
        <f>VLOOKUP($A75,'Data shares'!$C:$FB,127)*100</f>
        <v>-19.509999999999998</v>
      </c>
    </row>
    <row r="76" spans="1:17" x14ac:dyDescent="0.25">
      <c r="A76" s="97" t="str">
        <f>'Data Vlaue (Cr)'!C71</f>
        <v>GRASIM</v>
      </c>
      <c r="B76" s="140">
        <f>VLOOKUP($A76,'Data shares'!$C:$FB,7)</f>
        <v>2811</v>
      </c>
      <c r="C76" s="140">
        <f>VLOOKUP($A76,'Data shares'!$C:$FB,3)</f>
        <v>2826.5</v>
      </c>
      <c r="D76" s="140">
        <f>VLOOKUP($A76,'Data shares'!$C:$FB,4)</f>
        <v>2824.7</v>
      </c>
      <c r="E76" s="50">
        <f t="shared" si="3"/>
        <v>6.3723581265273554E-2</v>
      </c>
      <c r="F76" s="49">
        <f>VLOOKUP($A76,'Data shares'!$C:$FB,98)</f>
        <v>17165000</v>
      </c>
      <c r="G76" s="49">
        <f>VLOOKUP($A76,'Data shares'!$C:$FB,99)</f>
        <v>17047750</v>
      </c>
      <c r="H76" s="50">
        <f t="shared" si="4"/>
        <v>0.68777404642841433</v>
      </c>
      <c r="I76" s="49">
        <f>VLOOKUP($A76,'Data shares'!$C:$FB,66)</f>
        <v>2864000</v>
      </c>
      <c r="J76" s="49">
        <f>VLOOKUP($A76,'Data shares'!$C:$FB,67)</f>
        <v>2982750</v>
      </c>
      <c r="K76" s="50">
        <f t="shared" si="5"/>
        <v>-4.1462988826815641</v>
      </c>
      <c r="L76" s="50">
        <f>VLOOKUP($A76,'Data shares'!$C:$FB,118)</f>
        <v>0.6</v>
      </c>
      <c r="M76" s="50">
        <f>VLOOKUP($A76,'Data shares'!$C:$FB,119)</f>
        <v>0.59</v>
      </c>
      <c r="N76" s="50">
        <f>VLOOKUP($A76,'Data shares'!$C:$FB,121)*100</f>
        <v>1.69</v>
      </c>
      <c r="O76" s="50">
        <f>VLOOKUP($A76,'Data shares'!$C:$FB,124)</f>
        <v>0.37</v>
      </c>
      <c r="P76" s="50">
        <f>VLOOKUP($A76,'Data shares'!$C:$FB,125)</f>
        <v>0.38</v>
      </c>
      <c r="Q76" s="50">
        <f>VLOOKUP($A76,'Data shares'!$C:$FB,127)*100</f>
        <v>-2.63</v>
      </c>
    </row>
    <row r="77" spans="1:17" x14ac:dyDescent="0.25">
      <c r="A77" s="97" t="str">
        <f>'Data Vlaue (Cr)'!C72</f>
        <v>HAL</v>
      </c>
      <c r="B77" s="140">
        <f>VLOOKUP($A77,'Data shares'!$C:$FB,7)</f>
        <v>4832.8999999999996</v>
      </c>
      <c r="C77" s="140">
        <f>VLOOKUP($A77,'Data shares'!$C:$FB,3)</f>
        <v>4859.3999999999996</v>
      </c>
      <c r="D77" s="140">
        <f>VLOOKUP($A77,'Data shares'!$C:$FB,4)</f>
        <v>4873.7</v>
      </c>
      <c r="E77" s="50">
        <f t="shared" si="3"/>
        <v>-0.29341157642038251</v>
      </c>
      <c r="F77" s="49">
        <f>VLOOKUP($A77,'Data shares'!$C:$FB,98)</f>
        <v>15838950</v>
      </c>
      <c r="G77" s="49">
        <f>VLOOKUP($A77,'Data shares'!$C:$FB,99)</f>
        <v>15438450</v>
      </c>
      <c r="H77" s="50">
        <f t="shared" si="4"/>
        <v>2.594172342430749</v>
      </c>
      <c r="I77" s="49">
        <f>VLOOKUP($A77,'Data shares'!$C:$FB,66)</f>
        <v>9081600</v>
      </c>
      <c r="J77" s="49">
        <f>VLOOKUP($A77,'Data shares'!$C:$FB,67)</f>
        <v>11230650</v>
      </c>
      <c r="K77" s="50">
        <f t="shared" si="5"/>
        <v>-23.663781712473572</v>
      </c>
      <c r="L77" s="50">
        <f>VLOOKUP($A77,'Data shares'!$C:$FB,118)</f>
        <v>0.61</v>
      </c>
      <c r="M77" s="50">
        <f>VLOOKUP($A77,'Data shares'!$C:$FB,119)</f>
        <v>0.67</v>
      </c>
      <c r="N77" s="50">
        <f>VLOOKUP($A77,'Data shares'!$C:$FB,121)*100</f>
        <v>-8.9599999999999991</v>
      </c>
      <c r="O77" s="50">
        <f>VLOOKUP($A77,'Data shares'!$C:$FB,124)</f>
        <v>0.38</v>
      </c>
      <c r="P77" s="50">
        <f>VLOOKUP($A77,'Data shares'!$C:$FB,125)</f>
        <v>0.35</v>
      </c>
      <c r="Q77" s="50">
        <f>VLOOKUP($A77,'Data shares'!$C:$FB,127)*100</f>
        <v>8.57</v>
      </c>
    </row>
    <row r="78" spans="1:17" x14ac:dyDescent="0.25">
      <c r="A78" s="97" t="str">
        <f>'Data Vlaue (Cr)'!C73</f>
        <v>HAVELLS</v>
      </c>
      <c r="B78" s="140">
        <f>VLOOKUP($A78,'Data shares'!$C:$FB,7)</f>
        <v>1495.9</v>
      </c>
      <c r="C78" s="140">
        <f>VLOOKUP($A78,'Data shares'!$C:$FB,3)</f>
        <v>1504.1</v>
      </c>
      <c r="D78" s="140">
        <f>VLOOKUP($A78,'Data shares'!$C:$FB,4)</f>
        <v>1492.3</v>
      </c>
      <c r="E78" s="50">
        <f t="shared" si="3"/>
        <v>0.79072572539033403</v>
      </c>
      <c r="F78" s="49">
        <f>VLOOKUP($A78,'Data shares'!$C:$FB,98)</f>
        <v>14679500</v>
      </c>
      <c r="G78" s="49">
        <f>VLOOKUP($A78,'Data shares'!$C:$FB,99)</f>
        <v>14880500</v>
      </c>
      <c r="H78" s="50">
        <f t="shared" si="4"/>
        <v>-1.3507610631363194</v>
      </c>
      <c r="I78" s="49">
        <f>VLOOKUP($A78,'Data shares'!$C:$FB,66)</f>
        <v>11004500</v>
      </c>
      <c r="J78" s="49">
        <f>VLOOKUP($A78,'Data shares'!$C:$FB,67)</f>
        <v>6373000</v>
      </c>
      <c r="K78" s="50">
        <f t="shared" si="5"/>
        <v>42.087327911309011</v>
      </c>
      <c r="L78" s="50">
        <f>VLOOKUP($A78,'Data shares'!$C:$FB,118)</f>
        <v>0.61</v>
      </c>
      <c r="M78" s="50">
        <f>VLOOKUP($A78,'Data shares'!$C:$FB,119)</f>
        <v>0.56999999999999995</v>
      </c>
      <c r="N78" s="50">
        <f>VLOOKUP($A78,'Data shares'!$C:$FB,121)*100</f>
        <v>7.02</v>
      </c>
      <c r="O78" s="50">
        <f>VLOOKUP($A78,'Data shares'!$C:$FB,124)</f>
        <v>0.38</v>
      </c>
      <c r="P78" s="50">
        <f>VLOOKUP($A78,'Data shares'!$C:$FB,125)</f>
        <v>0.53</v>
      </c>
      <c r="Q78" s="50">
        <f>VLOOKUP($A78,'Data shares'!$C:$FB,127)*100</f>
        <v>-28.299999999999997</v>
      </c>
    </row>
    <row r="79" spans="1:17" x14ac:dyDescent="0.25">
      <c r="A79" s="97" t="str">
        <f>'Data Vlaue (Cr)'!C74</f>
        <v>HCLTECH</v>
      </c>
      <c r="B79" s="140">
        <f>VLOOKUP($A79,'Data shares'!$C:$FB,7)</f>
        <v>1495.5</v>
      </c>
      <c r="C79" s="140">
        <f>VLOOKUP($A79,'Data shares'!$C:$FB,3)</f>
        <v>1487.8</v>
      </c>
      <c r="D79" s="140">
        <f>VLOOKUP($A79,'Data shares'!$C:$FB,4)</f>
        <v>1479.2</v>
      </c>
      <c r="E79" s="50">
        <f t="shared" si="3"/>
        <v>0.58139534883720312</v>
      </c>
      <c r="F79" s="49">
        <f>VLOOKUP($A79,'Data shares'!$C:$FB,98)</f>
        <v>31489850</v>
      </c>
      <c r="G79" s="49">
        <f>VLOOKUP($A79,'Data shares'!$C:$FB,99)</f>
        <v>31244500</v>
      </c>
      <c r="H79" s="50">
        <f t="shared" si="4"/>
        <v>0.78525820544415814</v>
      </c>
      <c r="I79" s="49">
        <f>VLOOKUP($A79,'Data shares'!$C:$FB,66)</f>
        <v>27876800</v>
      </c>
      <c r="J79" s="49">
        <f>VLOOKUP($A79,'Data shares'!$C:$FB,67)</f>
        <v>38831100</v>
      </c>
      <c r="K79" s="50">
        <f t="shared" si="5"/>
        <v>-39.295399758939332</v>
      </c>
      <c r="L79" s="50">
        <f>VLOOKUP($A79,'Data shares'!$C:$FB,118)</f>
        <v>0.82</v>
      </c>
      <c r="M79" s="50">
        <f>VLOOKUP($A79,'Data shares'!$C:$FB,119)</f>
        <v>0.83</v>
      </c>
      <c r="N79" s="50">
        <f>VLOOKUP($A79,'Data shares'!$C:$FB,121)*100</f>
        <v>-1.2</v>
      </c>
      <c r="O79" s="50">
        <f>VLOOKUP($A79,'Data shares'!$C:$FB,124)</f>
        <v>0.62</v>
      </c>
      <c r="P79" s="50">
        <f>VLOOKUP($A79,'Data shares'!$C:$FB,125)</f>
        <v>0.57999999999999996</v>
      </c>
      <c r="Q79" s="50">
        <f>VLOOKUP($A79,'Data shares'!$C:$FB,127)*100</f>
        <v>6.9</v>
      </c>
    </row>
    <row r="80" spans="1:17" x14ac:dyDescent="0.25">
      <c r="A80" s="97" t="str">
        <f>'Data Vlaue (Cr)'!C75</f>
        <v>HDFCAMC</v>
      </c>
      <c r="B80" s="140">
        <f>VLOOKUP($A80,'Data shares'!$C:$FB,7)</f>
        <v>5520</v>
      </c>
      <c r="C80" s="140">
        <f>VLOOKUP($A80,'Data shares'!$C:$FB,3)</f>
        <v>5549.5</v>
      </c>
      <c r="D80" s="140">
        <f>VLOOKUP($A80,'Data shares'!$C:$FB,4)</f>
        <v>5497.5</v>
      </c>
      <c r="E80" s="50">
        <f t="shared" si="3"/>
        <v>0.94588449295134147</v>
      </c>
      <c r="F80" s="49">
        <f>VLOOKUP($A80,'Data shares'!$C:$FB,98)</f>
        <v>3579900</v>
      </c>
      <c r="G80" s="49">
        <f>VLOOKUP($A80,'Data shares'!$C:$FB,99)</f>
        <v>3532200</v>
      </c>
      <c r="H80" s="50">
        <f t="shared" si="4"/>
        <v>1.3504331578053337</v>
      </c>
      <c r="I80" s="49">
        <f>VLOOKUP($A80,'Data shares'!$C:$FB,66)</f>
        <v>2056500</v>
      </c>
      <c r="J80" s="49">
        <f>VLOOKUP($A80,'Data shares'!$C:$FB,67)</f>
        <v>1929300</v>
      </c>
      <c r="K80" s="50">
        <f t="shared" si="5"/>
        <v>6.1852662290299047</v>
      </c>
      <c r="L80" s="50">
        <f>VLOOKUP($A80,'Data shares'!$C:$FB,118)</f>
        <v>0.76</v>
      </c>
      <c r="M80" s="50">
        <f>VLOOKUP($A80,'Data shares'!$C:$FB,119)</f>
        <v>0.75</v>
      </c>
      <c r="N80" s="50">
        <f>VLOOKUP($A80,'Data shares'!$C:$FB,121)*100</f>
        <v>1.3299999999999998</v>
      </c>
      <c r="O80" s="50">
        <f>VLOOKUP($A80,'Data shares'!$C:$FB,124)</f>
        <v>0.34</v>
      </c>
      <c r="P80" s="50">
        <f>VLOOKUP($A80,'Data shares'!$C:$FB,125)</f>
        <v>0.47</v>
      </c>
      <c r="Q80" s="50">
        <f>VLOOKUP($A80,'Data shares'!$C:$FB,127)*100</f>
        <v>-27.66</v>
      </c>
    </row>
    <row r="81" spans="1:17" x14ac:dyDescent="0.25">
      <c r="A81" s="97" t="str">
        <f>'Data Vlaue (Cr)'!C76</f>
        <v>HDFCBANK</v>
      </c>
      <c r="B81" s="140">
        <f>VLOOKUP($A81,'Data shares'!$C:$FB,7)</f>
        <v>980.9</v>
      </c>
      <c r="C81" s="140">
        <f>VLOOKUP($A81,'Data shares'!$C:$FB,3)</f>
        <v>985.9</v>
      </c>
      <c r="D81" s="140">
        <f>VLOOKUP($A81,'Data shares'!$C:$FB,4)</f>
        <v>979.6</v>
      </c>
      <c r="E81" s="50">
        <f t="shared" si="3"/>
        <v>0.64311964066965643</v>
      </c>
      <c r="F81" s="49">
        <f>VLOOKUP($A81,'Data shares'!$C:$FB,98)</f>
        <v>256532100</v>
      </c>
      <c r="G81" s="49">
        <f>VLOOKUP($A81,'Data shares'!$C:$FB,99)</f>
        <v>256829100</v>
      </c>
      <c r="H81" s="50">
        <f t="shared" si="4"/>
        <v>-0.11564110141724594</v>
      </c>
      <c r="I81" s="49">
        <f>VLOOKUP($A81,'Data shares'!$C:$FB,66)</f>
        <v>86367600</v>
      </c>
      <c r="J81" s="49">
        <f>VLOOKUP($A81,'Data shares'!$C:$FB,67)</f>
        <v>74569000</v>
      </c>
      <c r="K81" s="50">
        <f t="shared" si="5"/>
        <v>13.660909878241378</v>
      </c>
      <c r="L81" s="50">
        <f>VLOOKUP($A81,'Data shares'!$C:$FB,118)</f>
        <v>0.77</v>
      </c>
      <c r="M81" s="50">
        <f>VLOOKUP($A81,'Data shares'!$C:$FB,119)</f>
        <v>0.77</v>
      </c>
      <c r="N81" s="50">
        <f>VLOOKUP($A81,'Data shares'!$C:$FB,121)*100</f>
        <v>0</v>
      </c>
      <c r="O81" s="50">
        <f>VLOOKUP($A81,'Data shares'!$C:$FB,124)</f>
        <v>0.52</v>
      </c>
      <c r="P81" s="50">
        <f>VLOOKUP($A81,'Data shares'!$C:$FB,125)</f>
        <v>0.67</v>
      </c>
      <c r="Q81" s="50">
        <f>VLOOKUP($A81,'Data shares'!$C:$FB,127)*100</f>
        <v>-22.39</v>
      </c>
    </row>
    <row r="82" spans="1:17" x14ac:dyDescent="0.25">
      <c r="A82" s="97" t="str">
        <f>'Data Vlaue (Cr)'!C77</f>
        <v>HDFCLIFE</v>
      </c>
      <c r="B82" s="140">
        <f>VLOOKUP($A82,'Data shares'!$C:$FB,7)</f>
        <v>747.3</v>
      </c>
      <c r="C82" s="140">
        <f>VLOOKUP($A82,'Data shares'!$C:$FB,3)</f>
        <v>750.2</v>
      </c>
      <c r="D82" s="140">
        <f>VLOOKUP($A82,'Data shares'!$C:$FB,4)</f>
        <v>758.25</v>
      </c>
      <c r="E82" s="50">
        <f t="shared" si="3"/>
        <v>-1.06165512693702</v>
      </c>
      <c r="F82" s="49">
        <f>VLOOKUP($A82,'Data shares'!$C:$FB,98)</f>
        <v>45882100</v>
      </c>
      <c r="G82" s="49">
        <f>VLOOKUP($A82,'Data shares'!$C:$FB,99)</f>
        <v>43913100</v>
      </c>
      <c r="H82" s="50">
        <f t="shared" si="4"/>
        <v>4.4838556148393076</v>
      </c>
      <c r="I82" s="49">
        <f>VLOOKUP($A82,'Data shares'!$C:$FB,66)</f>
        <v>14916000</v>
      </c>
      <c r="J82" s="49">
        <f>VLOOKUP($A82,'Data shares'!$C:$FB,67)</f>
        <v>20742700</v>
      </c>
      <c r="K82" s="50">
        <f t="shared" si="5"/>
        <v>-39.06342182890856</v>
      </c>
      <c r="L82" s="50">
        <f>VLOOKUP($A82,'Data shares'!$C:$FB,118)</f>
        <v>0.55000000000000004</v>
      </c>
      <c r="M82" s="50">
        <f>VLOOKUP($A82,'Data shares'!$C:$FB,119)</f>
        <v>0.61</v>
      </c>
      <c r="N82" s="50">
        <f>VLOOKUP($A82,'Data shares'!$C:$FB,121)*100</f>
        <v>-9.84</v>
      </c>
      <c r="O82" s="50">
        <f>VLOOKUP($A82,'Data shares'!$C:$FB,124)</f>
        <v>0.47</v>
      </c>
      <c r="P82" s="50">
        <f>VLOOKUP($A82,'Data shares'!$C:$FB,125)</f>
        <v>0.52</v>
      </c>
      <c r="Q82" s="50">
        <f>VLOOKUP($A82,'Data shares'!$C:$FB,127)*100</f>
        <v>-9.6199999999999992</v>
      </c>
    </row>
    <row r="83" spans="1:17" x14ac:dyDescent="0.25">
      <c r="A83" s="97" t="str">
        <f>'Data Vlaue (Cr)'!C78</f>
        <v>HEROMOTOCO</v>
      </c>
      <c r="B83" s="140">
        <f>VLOOKUP($A83,'Data shares'!$C:$FB,7)</f>
        <v>5500</v>
      </c>
      <c r="C83" s="140">
        <f>VLOOKUP($A83,'Data shares'!$C:$FB,3)</f>
        <v>5529</v>
      </c>
      <c r="D83" s="140">
        <f>VLOOKUP($A83,'Data shares'!$C:$FB,4)</f>
        <v>5543.5</v>
      </c>
      <c r="E83" s="50">
        <f t="shared" si="3"/>
        <v>-0.26156760169567961</v>
      </c>
      <c r="F83" s="49">
        <f>VLOOKUP($A83,'Data shares'!$C:$FB,98)</f>
        <v>9040650</v>
      </c>
      <c r="G83" s="49">
        <f>VLOOKUP($A83,'Data shares'!$C:$FB,99)</f>
        <v>8558850</v>
      </c>
      <c r="H83" s="50">
        <f t="shared" si="4"/>
        <v>5.6292609404300809</v>
      </c>
      <c r="I83" s="49">
        <f>VLOOKUP($A83,'Data shares'!$C:$FB,66)</f>
        <v>8043600</v>
      </c>
      <c r="J83" s="49">
        <f>VLOOKUP($A83,'Data shares'!$C:$FB,67)</f>
        <v>5572800</v>
      </c>
      <c r="K83" s="50">
        <f t="shared" si="5"/>
        <v>30.717589139191411</v>
      </c>
      <c r="L83" s="50">
        <f>VLOOKUP($A83,'Data shares'!$C:$FB,118)</f>
        <v>0.62</v>
      </c>
      <c r="M83" s="50">
        <f>VLOOKUP($A83,'Data shares'!$C:$FB,119)</f>
        <v>0.7</v>
      </c>
      <c r="N83" s="50">
        <f>VLOOKUP($A83,'Data shares'!$C:$FB,121)*100</f>
        <v>-11.43</v>
      </c>
      <c r="O83" s="50">
        <f>VLOOKUP($A83,'Data shares'!$C:$FB,124)</f>
        <v>0.31</v>
      </c>
      <c r="P83" s="50">
        <f>VLOOKUP($A83,'Data shares'!$C:$FB,125)</f>
        <v>0.49</v>
      </c>
      <c r="Q83" s="50">
        <f>VLOOKUP($A83,'Data shares'!$C:$FB,127)*100</f>
        <v>-36.730000000000004</v>
      </c>
    </row>
    <row r="84" spans="1:17" x14ac:dyDescent="0.25">
      <c r="A84" s="97" t="str">
        <f>'Data Vlaue (Cr)'!C79</f>
        <v>HFCL</v>
      </c>
      <c r="B84" s="140">
        <f>VLOOKUP($A84,'Data shares'!$C:$FB,7)</f>
        <v>76.040000000000006</v>
      </c>
      <c r="C84" s="140">
        <f>VLOOKUP($A84,'Data shares'!$C:$FB,3)</f>
        <v>76.44</v>
      </c>
      <c r="D84" s="140">
        <f>VLOOKUP($A84,'Data shares'!$C:$FB,4)</f>
        <v>74.42</v>
      </c>
      <c r="E84" s="50">
        <f t="shared" si="3"/>
        <v>2.7143241064229993</v>
      </c>
      <c r="F84" s="49">
        <f>VLOOKUP($A84,'Data shares'!$C:$FB,98)</f>
        <v>181522350</v>
      </c>
      <c r="G84" s="49">
        <f>VLOOKUP($A84,'Data shares'!$C:$FB,99)</f>
        <v>178329600</v>
      </c>
      <c r="H84" s="50">
        <f t="shared" si="4"/>
        <v>1.7903645833333333</v>
      </c>
      <c r="I84" s="49">
        <f>VLOOKUP($A84,'Data shares'!$C:$FB,66)</f>
        <v>118409100</v>
      </c>
      <c r="J84" s="49">
        <f>VLOOKUP($A84,'Data shares'!$C:$FB,67)</f>
        <v>67479900</v>
      </c>
      <c r="K84" s="50">
        <f t="shared" si="5"/>
        <v>43.011221265933109</v>
      </c>
      <c r="L84" s="50">
        <f>VLOOKUP($A84,'Data shares'!$C:$FB,118)</f>
        <v>0.56999999999999995</v>
      </c>
      <c r="M84" s="50">
        <f>VLOOKUP($A84,'Data shares'!$C:$FB,119)</f>
        <v>0.54</v>
      </c>
      <c r="N84" s="50">
        <f>VLOOKUP($A84,'Data shares'!$C:$FB,121)*100</f>
        <v>5.56</v>
      </c>
      <c r="O84" s="50">
        <f>VLOOKUP($A84,'Data shares'!$C:$FB,124)</f>
        <v>0.31</v>
      </c>
      <c r="P84" s="50">
        <f>VLOOKUP($A84,'Data shares'!$C:$FB,125)</f>
        <v>0.39</v>
      </c>
      <c r="Q84" s="50">
        <f>VLOOKUP($A84,'Data shares'!$C:$FB,127)*100</f>
        <v>-20.51</v>
      </c>
    </row>
    <row r="85" spans="1:17" x14ac:dyDescent="0.25">
      <c r="A85" s="97" t="str">
        <f>'Data Vlaue (Cr)'!C80</f>
        <v>HINDALCO</v>
      </c>
      <c r="B85" s="140">
        <f>VLOOKUP($A85,'Data shares'!$C:$FB,7)</f>
        <v>773.95</v>
      </c>
      <c r="C85" s="140">
        <f>VLOOKUP($A85,'Data shares'!$C:$FB,3)</f>
        <v>777.1</v>
      </c>
      <c r="D85" s="140">
        <f>VLOOKUP($A85,'Data shares'!$C:$FB,4)</f>
        <v>778.25</v>
      </c>
      <c r="E85" s="50">
        <f t="shared" si="3"/>
        <v>-0.14776742691936745</v>
      </c>
      <c r="F85" s="49">
        <f>VLOOKUP($A85,'Data shares'!$C:$FB,98)</f>
        <v>96432000</v>
      </c>
      <c r="G85" s="49">
        <f>VLOOKUP($A85,'Data shares'!$C:$FB,99)</f>
        <v>95929400</v>
      </c>
      <c r="H85" s="50">
        <f t="shared" si="4"/>
        <v>0.52392697129347199</v>
      </c>
      <c r="I85" s="49">
        <f>VLOOKUP($A85,'Data shares'!$C:$FB,66)</f>
        <v>47825400</v>
      </c>
      <c r="J85" s="49">
        <f>VLOOKUP($A85,'Data shares'!$C:$FB,67)</f>
        <v>46894400</v>
      </c>
      <c r="K85" s="50">
        <f t="shared" si="5"/>
        <v>1.9466643248148472</v>
      </c>
      <c r="L85" s="50">
        <f>VLOOKUP($A85,'Data shares'!$C:$FB,118)</f>
        <v>0.72</v>
      </c>
      <c r="M85" s="50">
        <f>VLOOKUP($A85,'Data shares'!$C:$FB,119)</f>
        <v>0.72</v>
      </c>
      <c r="N85" s="50">
        <f>VLOOKUP($A85,'Data shares'!$C:$FB,121)*100</f>
        <v>0</v>
      </c>
      <c r="O85" s="50">
        <f>VLOOKUP($A85,'Data shares'!$C:$FB,124)</f>
        <v>0.52</v>
      </c>
      <c r="P85" s="50">
        <f>VLOOKUP($A85,'Data shares'!$C:$FB,125)</f>
        <v>0.39</v>
      </c>
      <c r="Q85" s="50">
        <f>VLOOKUP($A85,'Data shares'!$C:$FB,127)*100</f>
        <v>33.33</v>
      </c>
    </row>
    <row r="86" spans="1:17" x14ac:dyDescent="0.25">
      <c r="A86" s="97" t="str">
        <f>'Data Vlaue (Cr)'!C81</f>
        <v>HINDPETRO</v>
      </c>
      <c r="B86" s="140">
        <f>VLOOKUP($A86,'Data shares'!$C:$FB,7)</f>
        <v>452.5</v>
      </c>
      <c r="C86" s="140">
        <f>VLOOKUP($A86,'Data shares'!$C:$FB,3)</f>
        <v>454.9</v>
      </c>
      <c r="D86" s="140">
        <f>VLOOKUP($A86,'Data shares'!$C:$FB,4)</f>
        <v>459.65</v>
      </c>
      <c r="E86" s="50">
        <f t="shared" si="3"/>
        <v>-1.0333949744370718</v>
      </c>
      <c r="F86" s="49">
        <f>VLOOKUP($A86,'Data shares'!$C:$FB,98)</f>
        <v>87269400</v>
      </c>
      <c r="G86" s="49">
        <f>VLOOKUP($A86,'Data shares'!$C:$FB,99)</f>
        <v>84308850</v>
      </c>
      <c r="H86" s="50">
        <f t="shared" si="4"/>
        <v>3.5115530575971561</v>
      </c>
      <c r="I86" s="49">
        <f>VLOOKUP($A86,'Data shares'!$C:$FB,66)</f>
        <v>28113075</v>
      </c>
      <c r="J86" s="49">
        <f>VLOOKUP($A86,'Data shares'!$C:$FB,67)</f>
        <v>47921625</v>
      </c>
      <c r="K86" s="50">
        <f t="shared" si="5"/>
        <v>-70.460275156666427</v>
      </c>
      <c r="L86" s="50">
        <f>VLOOKUP($A86,'Data shares'!$C:$FB,118)</f>
        <v>0.46</v>
      </c>
      <c r="M86" s="50">
        <f>VLOOKUP($A86,'Data shares'!$C:$FB,119)</f>
        <v>0.49</v>
      </c>
      <c r="N86" s="50">
        <f>VLOOKUP($A86,'Data shares'!$C:$FB,121)*100</f>
        <v>-6.12</v>
      </c>
      <c r="O86" s="50">
        <f>VLOOKUP($A86,'Data shares'!$C:$FB,124)</f>
        <v>0.57999999999999996</v>
      </c>
      <c r="P86" s="50">
        <f>VLOOKUP($A86,'Data shares'!$C:$FB,125)</f>
        <v>0.47</v>
      </c>
      <c r="Q86" s="50">
        <f>VLOOKUP($A86,'Data shares'!$C:$FB,127)*100</f>
        <v>23.400000000000002</v>
      </c>
    </row>
    <row r="87" spans="1:17" x14ac:dyDescent="0.25">
      <c r="A87" s="97" t="str">
        <f>'Data Vlaue (Cr)'!C82</f>
        <v>HINDUNILVR</v>
      </c>
      <c r="B87" s="140">
        <f>VLOOKUP($A87,'Data shares'!$C:$FB,7)</f>
        <v>2528.9</v>
      </c>
      <c r="C87" s="140">
        <f>VLOOKUP($A87,'Data shares'!$C:$FB,3)</f>
        <v>2534.6999999999998</v>
      </c>
      <c r="D87" s="140">
        <f>VLOOKUP($A87,'Data shares'!$C:$FB,4)</f>
        <v>2524.3000000000002</v>
      </c>
      <c r="E87" s="50">
        <f t="shared" si="3"/>
        <v>0.41199540466662582</v>
      </c>
      <c r="F87" s="49">
        <f>VLOOKUP($A87,'Data shares'!$C:$FB,98)</f>
        <v>21699000</v>
      </c>
      <c r="G87" s="49">
        <f>VLOOKUP($A87,'Data shares'!$C:$FB,99)</f>
        <v>21329100</v>
      </c>
      <c r="H87" s="50">
        <f t="shared" si="4"/>
        <v>1.7342503903118274</v>
      </c>
      <c r="I87" s="49">
        <f>VLOOKUP($A87,'Data shares'!$C:$FB,66)</f>
        <v>7733700</v>
      </c>
      <c r="J87" s="49">
        <f>VLOOKUP($A87,'Data shares'!$C:$FB,67)</f>
        <v>5808600</v>
      </c>
      <c r="K87" s="50">
        <f t="shared" si="5"/>
        <v>24.892354241824741</v>
      </c>
      <c r="L87" s="50">
        <f>VLOOKUP($A87,'Data shares'!$C:$FB,118)</f>
        <v>0.56000000000000005</v>
      </c>
      <c r="M87" s="50">
        <f>VLOOKUP($A87,'Data shares'!$C:$FB,119)</f>
        <v>0.59</v>
      </c>
      <c r="N87" s="50">
        <f>VLOOKUP($A87,'Data shares'!$C:$FB,121)*100</f>
        <v>-5.08</v>
      </c>
      <c r="O87" s="50">
        <f>VLOOKUP($A87,'Data shares'!$C:$FB,124)</f>
        <v>0.54</v>
      </c>
      <c r="P87" s="50">
        <f>VLOOKUP($A87,'Data shares'!$C:$FB,125)</f>
        <v>0.46</v>
      </c>
      <c r="Q87" s="50">
        <f>VLOOKUP($A87,'Data shares'!$C:$FB,127)*100</f>
        <v>17.39</v>
      </c>
    </row>
    <row r="88" spans="1:17" x14ac:dyDescent="0.25">
      <c r="A88" s="97" t="str">
        <f>'Data Vlaue (Cr)'!C83</f>
        <v>HINDZINC</v>
      </c>
      <c r="B88" s="140">
        <f>VLOOKUP($A88,'Data shares'!$C:$FB,7)</f>
        <v>498.3</v>
      </c>
      <c r="C88" s="140">
        <f>VLOOKUP($A88,'Data shares'!$C:$FB,3)</f>
        <v>500.2</v>
      </c>
      <c r="D88" s="140">
        <f>VLOOKUP($A88,'Data shares'!$C:$FB,4)</f>
        <v>515</v>
      </c>
      <c r="E88" s="50">
        <f t="shared" si="3"/>
        <v>-2.8737864077669926</v>
      </c>
      <c r="F88" s="140">
        <f>VLOOKUP($A88,'Data shares'!$C:$FB,98)</f>
        <v>67185125</v>
      </c>
      <c r="G88" s="140">
        <f>VLOOKUP($A88,'Data shares'!$C:$FB,99)</f>
        <v>58450875</v>
      </c>
      <c r="H88" s="50">
        <f t="shared" si="4"/>
        <v>14.942890076495861</v>
      </c>
      <c r="I88" s="49">
        <f>VLOOKUP($A88,'Data shares'!$C:$FB,66)</f>
        <v>109191600</v>
      </c>
      <c r="J88" s="49">
        <f>VLOOKUP($A88,'Data shares'!$C:$FB,67)</f>
        <v>138570775</v>
      </c>
      <c r="K88" s="50">
        <f t="shared" si="5"/>
        <v>-26.906076108418596</v>
      </c>
      <c r="L88" s="50">
        <f>VLOOKUP($A88,'Data shares'!$C:$FB,118)</f>
        <v>0.59</v>
      </c>
      <c r="M88" s="50">
        <f>VLOOKUP($A88,'Data shares'!$C:$FB,119)</f>
        <v>0.74</v>
      </c>
      <c r="N88" s="50">
        <f>VLOOKUP($A88,'Data shares'!$C:$FB,121)*100</f>
        <v>-20.27</v>
      </c>
      <c r="O88" s="50">
        <f>VLOOKUP($A88,'Data shares'!$C:$FB,124)</f>
        <v>0.44</v>
      </c>
      <c r="P88" s="50">
        <f>VLOOKUP($A88,'Data shares'!$C:$FB,125)</f>
        <v>0.31</v>
      </c>
      <c r="Q88" s="50">
        <f>VLOOKUP($A88,'Data shares'!$C:$FB,127)*100</f>
        <v>41.94</v>
      </c>
    </row>
    <row r="89" spans="1:17" x14ac:dyDescent="0.25">
      <c r="A89" s="97" t="str">
        <f>'Data Vlaue (Cr)'!C84</f>
        <v>HUDCO</v>
      </c>
      <c r="B89" s="140">
        <f>VLOOKUP($A89,'Data shares'!$C:$FB,7)</f>
        <v>232.92</v>
      </c>
      <c r="C89" s="140">
        <f>VLOOKUP($A89,'Data shares'!$C:$FB,3)</f>
        <v>234.19</v>
      </c>
      <c r="D89" s="140">
        <f>VLOOKUP($A89,'Data shares'!$C:$FB,4)</f>
        <v>230.92</v>
      </c>
      <c r="E89" s="50">
        <f t="shared" si="3"/>
        <v>1.4160748311103457</v>
      </c>
      <c r="F89" s="49">
        <f>VLOOKUP($A89,'Data shares'!$C:$FB,98)</f>
        <v>50360700</v>
      </c>
      <c r="G89" s="49">
        <f>VLOOKUP($A89,'Data shares'!$C:$FB,99)</f>
        <v>50094300</v>
      </c>
      <c r="H89" s="50">
        <f t="shared" si="4"/>
        <v>0.53179703079991136</v>
      </c>
      <c r="I89" s="49">
        <f>VLOOKUP($A89,'Data shares'!$C:$FB,66)</f>
        <v>41316975</v>
      </c>
      <c r="J89" s="49">
        <f>VLOOKUP($A89,'Data shares'!$C:$FB,67)</f>
        <v>22607925</v>
      </c>
      <c r="K89" s="50">
        <f t="shared" si="5"/>
        <v>45.281751628719192</v>
      </c>
      <c r="L89" s="50">
        <f>VLOOKUP($A89,'Data shares'!$C:$FB,118)</f>
        <v>0.59</v>
      </c>
      <c r="M89" s="50">
        <f>VLOOKUP($A89,'Data shares'!$C:$FB,119)</f>
        <v>0.59</v>
      </c>
      <c r="N89" s="50">
        <f>VLOOKUP($A89,'Data shares'!$C:$FB,121)*100</f>
        <v>0</v>
      </c>
      <c r="O89" s="50">
        <f>VLOOKUP($A89,'Data shares'!$C:$FB,124)</f>
        <v>0.47</v>
      </c>
      <c r="P89" s="50">
        <f>VLOOKUP($A89,'Data shares'!$C:$FB,125)</f>
        <v>0.37</v>
      </c>
      <c r="Q89" s="50">
        <f>VLOOKUP($A89,'Data shares'!$C:$FB,127)*100</f>
        <v>27.029999999999998</v>
      </c>
    </row>
    <row r="90" spans="1:17" x14ac:dyDescent="0.25">
      <c r="A90" s="97" t="str">
        <f>'Data Vlaue (Cr)'!C85</f>
        <v>ICICIBANK</v>
      </c>
      <c r="B90" s="140">
        <f>VLOOKUP($A90,'Data shares'!$C:$FB,7)</f>
        <v>1380.3</v>
      </c>
      <c r="C90" s="140">
        <f>VLOOKUP($A90,'Data shares'!$C:$FB,3)</f>
        <v>1387.9</v>
      </c>
      <c r="D90" s="140">
        <f>VLOOKUP($A90,'Data shares'!$C:$FB,4)</f>
        <v>1380.2</v>
      </c>
      <c r="E90" s="50">
        <f t="shared" si="3"/>
        <v>0.55789016084625742</v>
      </c>
      <c r="F90" s="49">
        <f>VLOOKUP($A90,'Data shares'!$C:$FB,98)</f>
        <v>153748000</v>
      </c>
      <c r="G90" s="49">
        <f>VLOOKUP($A90,'Data shares'!$C:$FB,99)</f>
        <v>151179700</v>
      </c>
      <c r="H90" s="50">
        <f t="shared" si="4"/>
        <v>1.698839196003167</v>
      </c>
      <c r="I90" s="49">
        <f>VLOOKUP($A90,'Data shares'!$C:$FB,66)</f>
        <v>53615800</v>
      </c>
      <c r="J90" s="49">
        <f>VLOOKUP($A90,'Data shares'!$C:$FB,67)</f>
        <v>44970800</v>
      </c>
      <c r="K90" s="50">
        <f t="shared" si="5"/>
        <v>16.123978379507534</v>
      </c>
      <c r="L90" s="50">
        <f>VLOOKUP($A90,'Data shares'!$C:$FB,118)</f>
        <v>0.73</v>
      </c>
      <c r="M90" s="50">
        <f>VLOOKUP($A90,'Data shares'!$C:$FB,119)</f>
        <v>0.73</v>
      </c>
      <c r="N90" s="50">
        <f>VLOOKUP($A90,'Data shares'!$C:$FB,121)*100</f>
        <v>0</v>
      </c>
      <c r="O90" s="50">
        <f>VLOOKUP($A90,'Data shares'!$C:$FB,124)</f>
        <v>0.5</v>
      </c>
      <c r="P90" s="50">
        <f>VLOOKUP($A90,'Data shares'!$C:$FB,125)</f>
        <v>0.56000000000000005</v>
      </c>
      <c r="Q90" s="50">
        <f>VLOOKUP($A90,'Data shares'!$C:$FB,127)*100</f>
        <v>-10.71</v>
      </c>
    </row>
    <row r="91" spans="1:17" x14ac:dyDescent="0.25">
      <c r="A91" s="97" t="str">
        <f>'Data Vlaue (Cr)'!C86</f>
        <v>ICICIGI</v>
      </c>
      <c r="B91" s="140">
        <f>VLOOKUP($A91,'Data shares'!$C:$FB,7)</f>
        <v>1862.8</v>
      </c>
      <c r="C91" s="140">
        <f>VLOOKUP($A91,'Data shares'!$C:$FB,3)</f>
        <v>1866.3</v>
      </c>
      <c r="D91" s="140">
        <f>VLOOKUP($A91,'Data shares'!$C:$FB,4)</f>
        <v>1883.9</v>
      </c>
      <c r="E91" s="50">
        <f t="shared" si="3"/>
        <v>-0.934232177928772</v>
      </c>
      <c r="F91" s="49">
        <f>VLOOKUP($A91,'Data shares'!$C:$FB,98)</f>
        <v>7416825</v>
      </c>
      <c r="G91" s="49">
        <f>VLOOKUP($A91,'Data shares'!$C:$FB,99)</f>
        <v>7163975</v>
      </c>
      <c r="H91" s="50">
        <f t="shared" si="4"/>
        <v>3.5294651363244571</v>
      </c>
      <c r="I91" s="49">
        <f>VLOOKUP($A91,'Data shares'!$C:$FB,66)</f>
        <v>1794325</v>
      </c>
      <c r="J91" s="49">
        <f>VLOOKUP($A91,'Data shares'!$C:$FB,67)</f>
        <v>2311400</v>
      </c>
      <c r="K91" s="50">
        <f t="shared" si="5"/>
        <v>-28.817243253033869</v>
      </c>
      <c r="L91" s="50">
        <f>VLOOKUP($A91,'Data shares'!$C:$FB,118)</f>
        <v>0.64</v>
      </c>
      <c r="M91" s="50">
        <f>VLOOKUP($A91,'Data shares'!$C:$FB,119)</f>
        <v>0.68</v>
      </c>
      <c r="N91" s="50">
        <f>VLOOKUP($A91,'Data shares'!$C:$FB,121)*100</f>
        <v>-5.88</v>
      </c>
      <c r="O91" s="50">
        <f>VLOOKUP($A91,'Data shares'!$C:$FB,124)</f>
        <v>0.56999999999999995</v>
      </c>
      <c r="P91" s="50">
        <f>VLOOKUP($A91,'Data shares'!$C:$FB,125)</f>
        <v>0.46</v>
      </c>
      <c r="Q91" s="50">
        <f>VLOOKUP($A91,'Data shares'!$C:$FB,127)*100</f>
        <v>23.91</v>
      </c>
    </row>
    <row r="92" spans="1:17" x14ac:dyDescent="0.25">
      <c r="A92" s="97" t="str">
        <f>'Data Vlaue (Cr)'!C87</f>
        <v>ICICIPRULI</v>
      </c>
      <c r="B92" s="140">
        <f>VLOOKUP($A92,'Data shares'!$C:$FB,7)</f>
        <v>597.70000000000005</v>
      </c>
      <c r="C92" s="140">
        <f>VLOOKUP($A92,'Data shares'!$C:$FB,3)</f>
        <v>601.1</v>
      </c>
      <c r="D92" s="140">
        <f>VLOOKUP($A92,'Data shares'!$C:$FB,4)</f>
        <v>596.75</v>
      </c>
      <c r="E92" s="50">
        <f t="shared" si="3"/>
        <v>0.72894847088395853</v>
      </c>
      <c r="F92" s="49">
        <f>VLOOKUP($A92,'Data shares'!$C:$FB,98)</f>
        <v>16873850</v>
      </c>
      <c r="G92" s="49">
        <f>VLOOKUP($A92,'Data shares'!$C:$FB,99)</f>
        <v>16761000</v>
      </c>
      <c r="H92" s="50">
        <f t="shared" si="4"/>
        <v>0.67328918322295805</v>
      </c>
      <c r="I92" s="49">
        <f>VLOOKUP($A92,'Data shares'!$C:$FB,66)</f>
        <v>6107775</v>
      </c>
      <c r="J92" s="49">
        <f>VLOOKUP($A92,'Data shares'!$C:$FB,67)</f>
        <v>2960925</v>
      </c>
      <c r="K92" s="50">
        <f t="shared" si="5"/>
        <v>51.522035438437072</v>
      </c>
      <c r="L92" s="50">
        <f>VLOOKUP($A92,'Data shares'!$C:$FB,118)</f>
        <v>0.61</v>
      </c>
      <c r="M92" s="50">
        <f>VLOOKUP($A92,'Data shares'!$C:$FB,119)</f>
        <v>0.69</v>
      </c>
      <c r="N92" s="50">
        <f>VLOOKUP($A92,'Data shares'!$C:$FB,121)*100</f>
        <v>-11.59</v>
      </c>
      <c r="O92" s="50">
        <f>VLOOKUP($A92,'Data shares'!$C:$FB,124)</f>
        <v>0.37</v>
      </c>
      <c r="P92" s="50">
        <f>VLOOKUP($A92,'Data shares'!$C:$FB,125)</f>
        <v>0.33</v>
      </c>
      <c r="Q92" s="50">
        <f>VLOOKUP($A92,'Data shares'!$C:$FB,127)*100</f>
        <v>12.120000000000001</v>
      </c>
    </row>
    <row r="93" spans="1:17" x14ac:dyDescent="0.25">
      <c r="A93" s="97" t="str">
        <f>'Data Vlaue (Cr)'!C88</f>
        <v>IDEA</v>
      </c>
      <c r="B93" s="140">
        <f>VLOOKUP($A93,'Data shares'!$C:$FB,7)</f>
        <v>9.0399999999999991</v>
      </c>
      <c r="C93" s="140">
        <f>VLOOKUP($A93,'Data shares'!$C:$FB,3)</f>
        <v>9.08</v>
      </c>
      <c r="D93" s="140">
        <f>VLOOKUP($A93,'Data shares'!$C:$FB,4)</f>
        <v>9.06</v>
      </c>
      <c r="E93" s="50">
        <f t="shared" si="3"/>
        <v>0.22075055187637496</v>
      </c>
      <c r="F93" s="49">
        <f>VLOOKUP($A93,'Data shares'!$C:$FB,98)</f>
        <v>9753549975</v>
      </c>
      <c r="G93" s="49">
        <f>VLOOKUP($A93,'Data shares'!$C:$FB,99)</f>
        <v>9704589600</v>
      </c>
      <c r="H93" s="50">
        <f t="shared" si="4"/>
        <v>0.50450742399245818</v>
      </c>
      <c r="I93" s="49">
        <f>VLOOKUP($A93,'Data shares'!$C:$FB,66)</f>
        <v>2572814100</v>
      </c>
      <c r="J93" s="49">
        <f>VLOOKUP($A93,'Data shares'!$C:$FB,67)</f>
        <v>2360890725</v>
      </c>
      <c r="K93" s="50">
        <f t="shared" si="5"/>
        <v>8.2370263362595839</v>
      </c>
      <c r="L93" s="50">
        <f>VLOOKUP($A93,'Data shares'!$C:$FB,118)</f>
        <v>0.55000000000000004</v>
      </c>
      <c r="M93" s="50">
        <f>VLOOKUP($A93,'Data shares'!$C:$FB,119)</f>
        <v>0.56999999999999995</v>
      </c>
      <c r="N93" s="50">
        <f>VLOOKUP($A93,'Data shares'!$C:$FB,121)*100</f>
        <v>-3.51</v>
      </c>
      <c r="O93" s="50">
        <f>VLOOKUP($A93,'Data shares'!$C:$FB,124)</f>
        <v>0.32</v>
      </c>
      <c r="P93" s="50">
        <f>VLOOKUP($A93,'Data shares'!$C:$FB,125)</f>
        <v>0.33</v>
      </c>
      <c r="Q93" s="50">
        <f>VLOOKUP($A93,'Data shares'!$C:$FB,127)*100</f>
        <v>-3.0300000000000002</v>
      </c>
    </row>
    <row r="94" spans="1:17" x14ac:dyDescent="0.25">
      <c r="A94" s="97" t="str">
        <f>'Data Vlaue (Cr)'!C89</f>
        <v>IDFCFIRSTB</v>
      </c>
      <c r="B94" s="140">
        <f>VLOOKUP($A94,'Data shares'!$C:$FB,7)</f>
        <v>74.430000000000007</v>
      </c>
      <c r="C94" s="140">
        <f>VLOOKUP($A94,'Data shares'!$C:$FB,3)</f>
        <v>74.62</v>
      </c>
      <c r="D94" s="140">
        <f>VLOOKUP($A94,'Data shares'!$C:$FB,4)</f>
        <v>73.709999999999994</v>
      </c>
      <c r="E94" s="50">
        <f t="shared" si="3"/>
        <v>1.2345679012345825</v>
      </c>
      <c r="F94" s="49">
        <f>VLOOKUP($A94,'Data shares'!$C:$FB,98)</f>
        <v>635597200</v>
      </c>
      <c r="G94" s="49">
        <f>VLOOKUP($A94,'Data shares'!$C:$FB,99)</f>
        <v>619375225</v>
      </c>
      <c r="H94" s="50">
        <f t="shared" si="4"/>
        <v>2.6190868386768296</v>
      </c>
      <c r="I94" s="49">
        <f>VLOOKUP($A94,'Data shares'!$C:$FB,66)</f>
        <v>441258125</v>
      </c>
      <c r="J94" s="49">
        <f>VLOOKUP($A94,'Data shares'!$C:$FB,67)</f>
        <v>291596725</v>
      </c>
      <c r="K94" s="50">
        <f t="shared" si="5"/>
        <v>33.916973200210194</v>
      </c>
      <c r="L94" s="50">
        <f>VLOOKUP($A94,'Data shares'!$C:$FB,118)</f>
        <v>0.7</v>
      </c>
      <c r="M94" s="50">
        <f>VLOOKUP($A94,'Data shares'!$C:$FB,119)</f>
        <v>0.78</v>
      </c>
      <c r="N94" s="50">
        <f>VLOOKUP($A94,'Data shares'!$C:$FB,121)*100</f>
        <v>-10.26</v>
      </c>
      <c r="O94" s="50">
        <f>VLOOKUP($A94,'Data shares'!$C:$FB,124)</f>
        <v>0.37</v>
      </c>
      <c r="P94" s="50">
        <f>VLOOKUP($A94,'Data shares'!$C:$FB,125)</f>
        <v>0.74</v>
      </c>
      <c r="Q94" s="50">
        <f>VLOOKUP($A94,'Data shares'!$C:$FB,127)*100</f>
        <v>-50</v>
      </c>
    </row>
    <row r="95" spans="1:17" x14ac:dyDescent="0.25">
      <c r="A95" s="97" t="str">
        <f>'Data Vlaue (Cr)'!C90</f>
        <v>IEX</v>
      </c>
      <c r="B95" s="140">
        <f>VLOOKUP($A95,'Data shares'!$C:$FB,7)</f>
        <v>139.87</v>
      </c>
      <c r="C95" s="140">
        <f>VLOOKUP($A95,'Data shares'!$C:$FB,3)</f>
        <v>140.27000000000001</v>
      </c>
      <c r="D95" s="140">
        <f>VLOOKUP($A95,'Data shares'!$C:$FB,4)</f>
        <v>140.97</v>
      </c>
      <c r="E95" s="50">
        <f t="shared" si="3"/>
        <v>-0.49655955167765387</v>
      </c>
      <c r="F95" s="49">
        <f>VLOOKUP($A95,'Data shares'!$C:$FB,98)</f>
        <v>104797500</v>
      </c>
      <c r="G95" s="49">
        <f>VLOOKUP($A95,'Data shares'!$C:$FB,99)</f>
        <v>101883750</v>
      </c>
      <c r="H95" s="50">
        <f t="shared" si="4"/>
        <v>2.8598770657734915</v>
      </c>
      <c r="I95" s="49">
        <f>VLOOKUP($A95,'Data shares'!$C:$FB,66)</f>
        <v>24967500</v>
      </c>
      <c r="J95" s="49">
        <f>VLOOKUP($A95,'Data shares'!$C:$FB,67)</f>
        <v>20351250</v>
      </c>
      <c r="K95" s="50">
        <f t="shared" si="5"/>
        <v>18.48903574647041</v>
      </c>
      <c r="L95" s="50">
        <f>VLOOKUP($A95,'Data shares'!$C:$FB,118)</f>
        <v>0.7</v>
      </c>
      <c r="M95" s="50">
        <f>VLOOKUP($A95,'Data shares'!$C:$FB,119)</f>
        <v>0.71</v>
      </c>
      <c r="N95" s="50">
        <f>VLOOKUP($A95,'Data shares'!$C:$FB,121)*100</f>
        <v>-1.41</v>
      </c>
      <c r="O95" s="50">
        <f>VLOOKUP($A95,'Data shares'!$C:$FB,124)</f>
        <v>0.43</v>
      </c>
      <c r="P95" s="50">
        <f>VLOOKUP($A95,'Data shares'!$C:$FB,125)</f>
        <v>0.5</v>
      </c>
      <c r="Q95" s="50">
        <f>VLOOKUP($A95,'Data shares'!$C:$FB,127)*100</f>
        <v>-14.000000000000002</v>
      </c>
    </row>
    <row r="96" spans="1:17" x14ac:dyDescent="0.25">
      <c r="A96" s="97" t="str">
        <f>'Data Vlaue (Cr)'!C91</f>
        <v>IGL</v>
      </c>
      <c r="B96" s="140">
        <f>VLOOKUP($A96,'Data shares'!$C:$FB,7)</f>
        <v>216.18</v>
      </c>
      <c r="C96" s="140">
        <f>VLOOKUP($A96,'Data shares'!$C:$FB,3)</f>
        <v>216.94</v>
      </c>
      <c r="D96" s="140">
        <f>VLOOKUP($A96,'Data shares'!$C:$FB,4)</f>
        <v>219.13</v>
      </c>
      <c r="E96" s="50">
        <f t="shared" si="3"/>
        <v>-0.99940674485465153</v>
      </c>
      <c r="F96" s="49">
        <f>VLOOKUP($A96,'Data shares'!$C:$FB,98)</f>
        <v>46552000</v>
      </c>
      <c r="G96" s="49">
        <f>VLOOKUP($A96,'Data shares'!$C:$FB,99)</f>
        <v>47495250</v>
      </c>
      <c r="H96" s="50">
        <f t="shared" si="4"/>
        <v>-1.9859880724914598</v>
      </c>
      <c r="I96" s="49">
        <f>VLOOKUP($A96,'Data shares'!$C:$FB,66)</f>
        <v>21521500</v>
      </c>
      <c r="J96" s="49">
        <f>VLOOKUP($A96,'Data shares'!$C:$FB,67)</f>
        <v>37171750</v>
      </c>
      <c r="K96" s="50">
        <f t="shared" si="5"/>
        <v>-72.719141323792485</v>
      </c>
      <c r="L96" s="50">
        <f>VLOOKUP($A96,'Data shares'!$C:$FB,118)</f>
        <v>0.61</v>
      </c>
      <c r="M96" s="50">
        <f>VLOOKUP($A96,'Data shares'!$C:$FB,119)</f>
        <v>0.6</v>
      </c>
      <c r="N96" s="50">
        <f>VLOOKUP($A96,'Data shares'!$C:$FB,121)*100</f>
        <v>1.67</v>
      </c>
      <c r="O96" s="50">
        <f>VLOOKUP($A96,'Data shares'!$C:$FB,124)</f>
        <v>0.43</v>
      </c>
      <c r="P96" s="50">
        <f>VLOOKUP($A96,'Data shares'!$C:$FB,125)</f>
        <v>0.39</v>
      </c>
      <c r="Q96" s="50">
        <f>VLOOKUP($A96,'Data shares'!$C:$FB,127)*100</f>
        <v>10.26</v>
      </c>
    </row>
    <row r="97" spans="1:17" x14ac:dyDescent="0.25">
      <c r="A97" s="97" t="str">
        <f>'Data Vlaue (Cr)'!C92</f>
        <v>IIFL</v>
      </c>
      <c r="B97" s="140">
        <f>VLOOKUP($A97,'Data shares'!$C:$FB,7)</f>
        <v>490</v>
      </c>
      <c r="C97" s="140">
        <f>VLOOKUP($A97,'Data shares'!$C:$FB,3)</f>
        <v>492.55</v>
      </c>
      <c r="D97" s="140">
        <f>VLOOKUP($A97,'Data shares'!$C:$FB,4)</f>
        <v>498.2</v>
      </c>
      <c r="E97" s="50">
        <f t="shared" si="3"/>
        <v>-1.1340826977117577</v>
      </c>
      <c r="F97" s="49">
        <f>VLOOKUP($A97,'Data shares'!$C:$FB,98)</f>
        <v>22667700</v>
      </c>
      <c r="G97" s="49">
        <f>VLOOKUP($A97,'Data shares'!$C:$FB,99)</f>
        <v>22822800</v>
      </c>
      <c r="H97" s="50">
        <f t="shared" si="4"/>
        <v>-0.67958357432041638</v>
      </c>
      <c r="I97" s="49">
        <f>VLOOKUP($A97,'Data shares'!$C:$FB,66)</f>
        <v>9126150</v>
      </c>
      <c r="J97" s="49">
        <f>VLOOKUP($A97,'Data shares'!$C:$FB,67)</f>
        <v>23632950</v>
      </c>
      <c r="K97" s="50">
        <f t="shared" si="5"/>
        <v>-158.95859699873441</v>
      </c>
      <c r="L97" s="50">
        <f>VLOOKUP($A97,'Data shares'!$C:$FB,118)</f>
        <v>0.69</v>
      </c>
      <c r="M97" s="50">
        <f>VLOOKUP($A97,'Data shares'!$C:$FB,119)</f>
        <v>0.68</v>
      </c>
      <c r="N97" s="50">
        <f>VLOOKUP($A97,'Data shares'!$C:$FB,121)*100</f>
        <v>1.47</v>
      </c>
      <c r="O97" s="50">
        <f>VLOOKUP($A97,'Data shares'!$C:$FB,124)</f>
        <v>0.6</v>
      </c>
      <c r="P97" s="50">
        <f>VLOOKUP($A97,'Data shares'!$C:$FB,125)</f>
        <v>0.33</v>
      </c>
      <c r="Q97" s="50">
        <f>VLOOKUP($A97,'Data shares'!$C:$FB,127)*100</f>
        <v>81.820000000000007</v>
      </c>
    </row>
    <row r="98" spans="1:17" x14ac:dyDescent="0.25">
      <c r="A98" s="97" t="str">
        <f>'Data Vlaue (Cr)'!C93</f>
        <v>INDHOTEL</v>
      </c>
      <c r="B98" s="140">
        <f>VLOOKUP($A98,'Data shares'!$C:$FB,7)</f>
        <v>735.55</v>
      </c>
      <c r="C98" s="140">
        <f>VLOOKUP($A98,'Data shares'!$C:$FB,3)</f>
        <v>738.75</v>
      </c>
      <c r="D98" s="140">
        <f>VLOOKUP($A98,'Data shares'!$C:$FB,4)</f>
        <v>734.65</v>
      </c>
      <c r="E98" s="50">
        <f t="shared" si="3"/>
        <v>0.55808888586401995</v>
      </c>
      <c r="F98" s="49">
        <f>VLOOKUP($A98,'Data shares'!$C:$FB,98)</f>
        <v>47713000</v>
      </c>
      <c r="G98" s="49">
        <f>VLOOKUP($A98,'Data shares'!$C:$FB,99)</f>
        <v>48011000</v>
      </c>
      <c r="H98" s="50">
        <f t="shared" si="4"/>
        <v>-0.62069109162483593</v>
      </c>
      <c r="I98" s="49">
        <f>VLOOKUP($A98,'Data shares'!$C:$FB,66)</f>
        <v>20862000</v>
      </c>
      <c r="J98" s="49">
        <f>VLOOKUP($A98,'Data shares'!$C:$FB,67)</f>
        <v>12573000</v>
      </c>
      <c r="K98" s="50">
        <f t="shared" si="5"/>
        <v>39.732528041415009</v>
      </c>
      <c r="L98" s="50">
        <f>VLOOKUP($A98,'Data shares'!$C:$FB,118)</f>
        <v>0.52</v>
      </c>
      <c r="M98" s="50">
        <f>VLOOKUP($A98,'Data shares'!$C:$FB,119)</f>
        <v>0.54</v>
      </c>
      <c r="N98" s="50">
        <f>VLOOKUP($A98,'Data shares'!$C:$FB,121)*100</f>
        <v>-3.6999999999999997</v>
      </c>
      <c r="O98" s="50">
        <f>VLOOKUP($A98,'Data shares'!$C:$FB,124)</f>
        <v>0.28999999999999998</v>
      </c>
      <c r="P98" s="50">
        <f>VLOOKUP($A98,'Data shares'!$C:$FB,125)</f>
        <v>0.18</v>
      </c>
      <c r="Q98" s="50">
        <f>VLOOKUP($A98,'Data shares'!$C:$FB,127)*100</f>
        <v>61.11</v>
      </c>
    </row>
    <row r="99" spans="1:17" x14ac:dyDescent="0.25">
      <c r="A99" s="97" t="str">
        <f>'Data Vlaue (Cr)'!C94</f>
        <v>INDIANB</v>
      </c>
      <c r="B99" s="140">
        <f>VLOOKUP($A99,'Data shares'!$C:$FB,7)</f>
        <v>776.25</v>
      </c>
      <c r="C99" s="140">
        <f>VLOOKUP($A99,'Data shares'!$C:$FB,3)</f>
        <v>776.1</v>
      </c>
      <c r="D99" s="140">
        <f>VLOOKUP($A99,'Data shares'!$C:$FB,4)</f>
        <v>769.4</v>
      </c>
      <c r="E99" s="50">
        <f t="shared" si="3"/>
        <v>0.87080842214713361</v>
      </c>
      <c r="F99" s="49">
        <f>VLOOKUP($A99,'Data shares'!$C:$FB,98)</f>
        <v>13208000</v>
      </c>
      <c r="G99" s="49">
        <f>VLOOKUP($A99,'Data shares'!$C:$FB,99)</f>
        <v>12868000</v>
      </c>
      <c r="H99" s="50">
        <f t="shared" si="4"/>
        <v>2.6422132421510724</v>
      </c>
      <c r="I99" s="49">
        <f>VLOOKUP($A99,'Data shares'!$C:$FB,66)</f>
        <v>9774000</v>
      </c>
      <c r="J99" s="49">
        <f>VLOOKUP($A99,'Data shares'!$C:$FB,67)</f>
        <v>4582000</v>
      </c>
      <c r="K99" s="50">
        <f t="shared" si="5"/>
        <v>53.120523838755886</v>
      </c>
      <c r="L99" s="50">
        <f>VLOOKUP($A99,'Data shares'!$C:$FB,118)</f>
        <v>0.97</v>
      </c>
      <c r="M99" s="50">
        <f>VLOOKUP($A99,'Data shares'!$C:$FB,119)</f>
        <v>0.95</v>
      </c>
      <c r="N99" s="50">
        <f>VLOOKUP($A99,'Data shares'!$C:$FB,121)*100</f>
        <v>2.11</v>
      </c>
      <c r="O99" s="50">
        <f>VLOOKUP($A99,'Data shares'!$C:$FB,124)</f>
        <v>0.53</v>
      </c>
      <c r="P99" s="50">
        <f>VLOOKUP($A99,'Data shares'!$C:$FB,125)</f>
        <v>0.78</v>
      </c>
      <c r="Q99" s="50">
        <f>VLOOKUP($A99,'Data shares'!$C:$FB,127)*100</f>
        <v>-32.049999999999997</v>
      </c>
    </row>
    <row r="100" spans="1:17" x14ac:dyDescent="0.25">
      <c r="A100" s="97" t="str">
        <f>'Data Vlaue (Cr)'!C95</f>
        <v>INDIAVIX</v>
      </c>
      <c r="B100" s="140">
        <f>VLOOKUP($A100,'Data shares'!$C:$FB,7)</f>
        <v>10.1</v>
      </c>
      <c r="C100" s="140">
        <f>VLOOKUP($A100,'Data shares'!$C:$FB,3)</f>
        <v>10.1</v>
      </c>
      <c r="D100" s="140">
        <f>VLOOKUP($A100,'Data shares'!$C:$FB,4)</f>
        <v>10.119999999999999</v>
      </c>
      <c r="E100" s="50">
        <f t="shared" si="3"/>
        <v>-0.19762845849801955</v>
      </c>
      <c r="F100" s="49">
        <f>VLOOKUP($A100,'Data shares'!$C:$FB,98)</f>
        <v>0</v>
      </c>
      <c r="G100" s="49">
        <f>VLOOKUP($A100,'Data shares'!$C:$FB,99)</f>
        <v>0</v>
      </c>
      <c r="H100" s="50" t="e">
        <f t="shared" si="4"/>
        <v>#DIV/0!</v>
      </c>
      <c r="I100" s="49">
        <f>VLOOKUP($A100,'Data shares'!$C:$FB,66)</f>
        <v>0</v>
      </c>
      <c r="J100" s="49">
        <f>VLOOKUP($A100,'Data shares'!$C:$FB,67)</f>
        <v>0</v>
      </c>
      <c r="K100" s="50" t="e">
        <f t="shared" si="5"/>
        <v>#DIV/0!</v>
      </c>
      <c r="L100" s="50">
        <f>VLOOKUP($A100,'Data shares'!$C:$FB,118)</f>
        <v>0</v>
      </c>
      <c r="M100" s="50">
        <f>VLOOKUP($A100,'Data shares'!$C:$FB,119)</f>
        <v>0</v>
      </c>
      <c r="N100" s="50">
        <f>VLOOKUP($A100,'Data shares'!$C:$FB,121)*100</f>
        <v>0</v>
      </c>
      <c r="O100" s="50">
        <f>VLOOKUP($A100,'Data shares'!$C:$FB,124)</f>
        <v>0</v>
      </c>
      <c r="P100" s="50">
        <f>VLOOKUP($A100,'Data shares'!$C:$FB,125)</f>
        <v>0</v>
      </c>
      <c r="Q100" s="50">
        <f>VLOOKUP($A100,'Data shares'!$C:$FB,127)*100</f>
        <v>0</v>
      </c>
    </row>
    <row r="101" spans="1:17" x14ac:dyDescent="0.25">
      <c r="A101" s="97" t="str">
        <f>'Data Vlaue (Cr)'!C96</f>
        <v>INDIGO</v>
      </c>
      <c r="B101" s="140">
        <f>VLOOKUP($A101,'Data shares'!$C:$FB,7)</f>
        <v>5735</v>
      </c>
      <c r="C101" s="140">
        <f>VLOOKUP($A101,'Data shares'!$C:$FB,3)</f>
        <v>5764</v>
      </c>
      <c r="D101" s="140">
        <f>VLOOKUP($A101,'Data shares'!$C:$FB,4)</f>
        <v>5752.5</v>
      </c>
      <c r="E101" s="50">
        <f t="shared" si="3"/>
        <v>0.19991308126901347</v>
      </c>
      <c r="F101" s="49">
        <f>VLOOKUP($A101,'Data shares'!$C:$FB,98)</f>
        <v>11289300</v>
      </c>
      <c r="G101" s="49">
        <f>VLOOKUP($A101,'Data shares'!$C:$FB,99)</f>
        <v>11306100</v>
      </c>
      <c r="H101" s="50">
        <f t="shared" si="4"/>
        <v>-0.14859235280070049</v>
      </c>
      <c r="I101" s="49">
        <f>VLOOKUP($A101,'Data shares'!$C:$FB,66)</f>
        <v>4403250</v>
      </c>
      <c r="J101" s="49">
        <f>VLOOKUP($A101,'Data shares'!$C:$FB,67)</f>
        <v>6133050</v>
      </c>
      <c r="K101" s="50">
        <f t="shared" si="5"/>
        <v>-39.284619315278483</v>
      </c>
      <c r="L101" s="50">
        <f>VLOOKUP($A101,'Data shares'!$C:$FB,118)</f>
        <v>0.72</v>
      </c>
      <c r="M101" s="50">
        <f>VLOOKUP($A101,'Data shares'!$C:$FB,119)</f>
        <v>0.72</v>
      </c>
      <c r="N101" s="50">
        <f>VLOOKUP($A101,'Data shares'!$C:$FB,121)*100</f>
        <v>0</v>
      </c>
      <c r="O101" s="50">
        <f>VLOOKUP($A101,'Data shares'!$C:$FB,124)</f>
        <v>0.39</v>
      </c>
      <c r="P101" s="50">
        <f>VLOOKUP($A101,'Data shares'!$C:$FB,125)</f>
        <v>0.44</v>
      </c>
      <c r="Q101" s="50">
        <f>VLOOKUP($A101,'Data shares'!$C:$FB,127)*100</f>
        <v>-11.360000000000001</v>
      </c>
    </row>
    <row r="102" spans="1:17" x14ac:dyDescent="0.25">
      <c r="A102" s="97" t="str">
        <f>'Data Vlaue (Cr)'!C97</f>
        <v>INDUSINDBK</v>
      </c>
      <c r="B102" s="140">
        <f>VLOOKUP($A102,'Data shares'!$C:$FB,7)</f>
        <v>763.35</v>
      </c>
      <c r="C102" s="140">
        <f>VLOOKUP($A102,'Data shares'!$C:$FB,3)</f>
        <v>767.65</v>
      </c>
      <c r="D102" s="140">
        <f>VLOOKUP($A102,'Data shares'!$C:$FB,4)</f>
        <v>753.5</v>
      </c>
      <c r="E102" s="50">
        <f t="shared" si="3"/>
        <v>1.877903118779028</v>
      </c>
      <c r="F102" s="49">
        <f>VLOOKUP($A102,'Data shares'!$C:$FB,98)</f>
        <v>76633900</v>
      </c>
      <c r="G102" s="49">
        <f>VLOOKUP($A102,'Data shares'!$C:$FB,99)</f>
        <v>76472200</v>
      </c>
      <c r="H102" s="50">
        <f t="shared" si="4"/>
        <v>0.21144938945133002</v>
      </c>
      <c r="I102" s="49">
        <f>VLOOKUP($A102,'Data shares'!$C:$FB,66)</f>
        <v>45196200</v>
      </c>
      <c r="J102" s="49">
        <f>VLOOKUP($A102,'Data shares'!$C:$FB,67)</f>
        <v>24572100</v>
      </c>
      <c r="K102" s="50">
        <f t="shared" si="5"/>
        <v>45.632376173218105</v>
      </c>
      <c r="L102" s="50">
        <f>VLOOKUP($A102,'Data shares'!$C:$FB,118)</f>
        <v>1.02</v>
      </c>
      <c r="M102" s="50">
        <f>VLOOKUP($A102,'Data shares'!$C:$FB,119)</f>
        <v>1.03</v>
      </c>
      <c r="N102" s="50">
        <f>VLOOKUP($A102,'Data shares'!$C:$FB,121)*100</f>
        <v>-0.97</v>
      </c>
      <c r="O102" s="50">
        <f>VLOOKUP($A102,'Data shares'!$C:$FB,124)</f>
        <v>0.43</v>
      </c>
      <c r="P102" s="50">
        <f>VLOOKUP($A102,'Data shares'!$C:$FB,125)</f>
        <v>0.57999999999999996</v>
      </c>
      <c r="Q102" s="50">
        <f>VLOOKUP($A102,'Data shares'!$C:$FB,127)*100</f>
        <v>-25.86</v>
      </c>
    </row>
    <row r="103" spans="1:17" x14ac:dyDescent="0.25">
      <c r="A103" s="97" t="str">
        <f>'Data Vlaue (Cr)'!C98</f>
        <v>INDUSTOWER</v>
      </c>
      <c r="B103" s="140">
        <f>VLOOKUP($A103,'Data shares'!$C:$FB,7)</f>
        <v>353.7</v>
      </c>
      <c r="C103" s="140">
        <f>VLOOKUP($A103,'Data shares'!$C:$FB,3)</f>
        <v>355.65</v>
      </c>
      <c r="D103" s="140">
        <f>VLOOKUP($A103,'Data shares'!$C:$FB,4)</f>
        <v>357.2</v>
      </c>
      <c r="E103" s="50">
        <f t="shared" si="3"/>
        <v>-0.43393057110862582</v>
      </c>
      <c r="F103" s="49">
        <f>VLOOKUP($A103,'Data shares'!$C:$FB,98)</f>
        <v>125271300</v>
      </c>
      <c r="G103" s="49">
        <f>VLOOKUP($A103,'Data shares'!$C:$FB,99)</f>
        <v>119469200</v>
      </c>
      <c r="H103" s="50">
        <f t="shared" si="4"/>
        <v>4.8565655415789175</v>
      </c>
      <c r="I103" s="49">
        <f>VLOOKUP($A103,'Data shares'!$C:$FB,66)</f>
        <v>39035400</v>
      </c>
      <c r="J103" s="49">
        <f>VLOOKUP($A103,'Data shares'!$C:$FB,67)</f>
        <v>28294800</v>
      </c>
      <c r="K103" s="50">
        <f t="shared" si="5"/>
        <v>27.515024823621637</v>
      </c>
      <c r="L103" s="50">
        <f>VLOOKUP($A103,'Data shares'!$C:$FB,118)</f>
        <v>0.57999999999999996</v>
      </c>
      <c r="M103" s="50">
        <f>VLOOKUP($A103,'Data shares'!$C:$FB,119)</f>
        <v>0.69</v>
      </c>
      <c r="N103" s="50">
        <f>VLOOKUP($A103,'Data shares'!$C:$FB,121)*100</f>
        <v>-15.939999999999998</v>
      </c>
      <c r="O103" s="50">
        <f>VLOOKUP($A103,'Data shares'!$C:$FB,124)</f>
        <v>0.37</v>
      </c>
      <c r="P103" s="50">
        <f>VLOOKUP($A103,'Data shares'!$C:$FB,125)</f>
        <v>0.63</v>
      </c>
      <c r="Q103" s="50">
        <f>VLOOKUP($A103,'Data shares'!$C:$FB,127)*100</f>
        <v>-41.27</v>
      </c>
    </row>
    <row r="104" spans="1:17" x14ac:dyDescent="0.25">
      <c r="A104" s="97" t="str">
        <f>'Data Vlaue (Cr)'!C99</f>
        <v>INFY</v>
      </c>
      <c r="B104" s="140">
        <f>VLOOKUP($A104,'Data shares'!$C:$FB,7)</f>
        <v>1514.9</v>
      </c>
      <c r="C104" s="140">
        <f>VLOOKUP($A104,'Data shares'!$C:$FB,3)</f>
        <v>1508.2</v>
      </c>
      <c r="D104" s="140">
        <f>VLOOKUP($A104,'Data shares'!$C:$FB,4)</f>
        <v>1506.6</v>
      </c>
      <c r="E104" s="50">
        <f t="shared" si="3"/>
        <v>0.10619938935352029</v>
      </c>
      <c r="F104" s="49">
        <f>VLOOKUP($A104,'Data shares'!$C:$FB,98)</f>
        <v>94552800</v>
      </c>
      <c r="G104" s="49">
        <f>VLOOKUP($A104,'Data shares'!$C:$FB,99)</f>
        <v>96418000</v>
      </c>
      <c r="H104" s="50">
        <f t="shared" si="4"/>
        <v>-1.9344935592939076</v>
      </c>
      <c r="I104" s="49">
        <f>VLOOKUP($A104,'Data shares'!$C:$FB,66)</f>
        <v>55404000</v>
      </c>
      <c r="J104" s="49">
        <f>VLOOKUP($A104,'Data shares'!$C:$FB,67)</f>
        <v>77975200</v>
      </c>
      <c r="K104" s="50">
        <f t="shared" si="5"/>
        <v>-40.739296801674968</v>
      </c>
      <c r="L104" s="50">
        <f>VLOOKUP($A104,'Data shares'!$C:$FB,118)</f>
        <v>0.85</v>
      </c>
      <c r="M104" s="50">
        <f>VLOOKUP($A104,'Data shares'!$C:$FB,119)</f>
        <v>0.87</v>
      </c>
      <c r="N104" s="50">
        <f>VLOOKUP($A104,'Data shares'!$C:$FB,121)*100</f>
        <v>-2.2999999999999998</v>
      </c>
      <c r="O104" s="50">
        <f>VLOOKUP($A104,'Data shares'!$C:$FB,124)</f>
        <v>0.66</v>
      </c>
      <c r="P104" s="50">
        <f>VLOOKUP($A104,'Data shares'!$C:$FB,125)</f>
        <v>0.6</v>
      </c>
      <c r="Q104" s="50">
        <f>VLOOKUP($A104,'Data shares'!$C:$FB,127)*100</f>
        <v>10</v>
      </c>
    </row>
    <row r="105" spans="1:17" x14ac:dyDescent="0.25">
      <c r="A105" s="97" t="str">
        <f>'Data Vlaue (Cr)'!C100</f>
        <v>INOXWIND</v>
      </c>
      <c r="B105" s="140">
        <f>VLOOKUP($A105,'Data shares'!$C:$FB,7)</f>
        <v>150.08000000000001</v>
      </c>
      <c r="C105" s="140">
        <f>VLOOKUP($A105,'Data shares'!$C:$FB,3)</f>
        <v>150.93</v>
      </c>
      <c r="D105" s="140">
        <f>VLOOKUP($A105,'Data shares'!$C:$FB,4)</f>
        <v>147.86000000000001</v>
      </c>
      <c r="E105" s="50">
        <f t="shared" si="3"/>
        <v>2.0762883809008472</v>
      </c>
      <c r="F105" s="49">
        <f>VLOOKUP($A105,'Data shares'!$C:$FB,98)</f>
        <v>70590128</v>
      </c>
      <c r="G105" s="49">
        <f>VLOOKUP($A105,'Data shares'!$C:$FB,99)</f>
        <v>69958632</v>
      </c>
      <c r="H105" s="50">
        <f t="shared" si="4"/>
        <v>0.90267059538842909</v>
      </c>
      <c r="I105" s="49">
        <f>VLOOKUP($A105,'Data shares'!$C:$FB,66)</f>
        <v>81017992</v>
      </c>
      <c r="J105" s="49">
        <f>VLOOKUP($A105,'Data shares'!$C:$FB,67)</f>
        <v>64366784</v>
      </c>
      <c r="K105" s="50">
        <f t="shared" si="5"/>
        <v>20.552481725293809</v>
      </c>
      <c r="L105" s="50">
        <f>VLOOKUP($A105,'Data shares'!$C:$FB,118)</f>
        <v>0.59</v>
      </c>
      <c r="M105" s="50">
        <f>VLOOKUP($A105,'Data shares'!$C:$FB,119)</f>
        <v>0.59</v>
      </c>
      <c r="N105" s="50">
        <f>VLOOKUP($A105,'Data shares'!$C:$FB,121)*100</f>
        <v>0</v>
      </c>
      <c r="O105" s="50">
        <f>VLOOKUP($A105,'Data shares'!$C:$FB,124)</f>
        <v>0.32</v>
      </c>
      <c r="P105" s="50">
        <f>VLOOKUP($A105,'Data shares'!$C:$FB,125)</f>
        <v>0.35</v>
      </c>
      <c r="Q105" s="50">
        <f>VLOOKUP($A105,'Data shares'!$C:$FB,127)*100</f>
        <v>-8.57</v>
      </c>
    </row>
    <row r="106" spans="1:17" x14ac:dyDescent="0.25">
      <c r="A106" s="97" t="str">
        <f>'Data Vlaue (Cr)'!C101</f>
        <v>IOC</v>
      </c>
      <c r="B106" s="140">
        <f>VLOOKUP($A106,'Data shares'!$C:$FB,7)</f>
        <v>154.11000000000001</v>
      </c>
      <c r="C106" s="140">
        <f>VLOOKUP($A106,'Data shares'!$C:$FB,3)</f>
        <v>154.69999999999999</v>
      </c>
      <c r="D106" s="140">
        <f>VLOOKUP($A106,'Data shares'!$C:$FB,4)</f>
        <v>156.09</v>
      </c>
      <c r="E106" s="50">
        <f t="shared" si="3"/>
        <v>-0.89051188416939886</v>
      </c>
      <c r="F106" s="49">
        <f>VLOOKUP($A106,'Data shares'!$C:$FB,98)</f>
        <v>167412375</v>
      </c>
      <c r="G106" s="49">
        <f>VLOOKUP($A106,'Data shares'!$C:$FB,99)</f>
        <v>163429500</v>
      </c>
      <c r="H106" s="50">
        <f t="shared" si="4"/>
        <v>2.4370600167044505</v>
      </c>
      <c r="I106" s="49">
        <f>VLOOKUP($A106,'Data shares'!$C:$FB,66)</f>
        <v>103720500</v>
      </c>
      <c r="J106" s="49">
        <f>VLOOKUP($A106,'Data shares'!$C:$FB,67)</f>
        <v>160104750</v>
      </c>
      <c r="K106" s="50">
        <f t="shared" si="5"/>
        <v>-54.36172212821959</v>
      </c>
      <c r="L106" s="50">
        <f>VLOOKUP($A106,'Data shares'!$C:$FB,118)</f>
        <v>0.71</v>
      </c>
      <c r="M106" s="50">
        <f>VLOOKUP($A106,'Data shares'!$C:$FB,119)</f>
        <v>0.74</v>
      </c>
      <c r="N106" s="50">
        <f>VLOOKUP($A106,'Data shares'!$C:$FB,121)*100</f>
        <v>-4.05</v>
      </c>
      <c r="O106" s="50">
        <f>VLOOKUP($A106,'Data shares'!$C:$FB,124)</f>
        <v>0.56999999999999995</v>
      </c>
      <c r="P106" s="50">
        <f>VLOOKUP($A106,'Data shares'!$C:$FB,125)</f>
        <v>0.56000000000000005</v>
      </c>
      <c r="Q106" s="50">
        <f>VLOOKUP($A106,'Data shares'!$C:$FB,127)*100</f>
        <v>1.79</v>
      </c>
    </row>
    <row r="107" spans="1:17" x14ac:dyDescent="0.25">
      <c r="A107" s="97" t="str">
        <f>'Data Vlaue (Cr)'!C102</f>
        <v>IRCTC</v>
      </c>
      <c r="B107" s="140">
        <f>VLOOKUP($A107,'Data shares'!$C:$FB,7)</f>
        <v>715.7</v>
      </c>
      <c r="C107" s="140">
        <f>VLOOKUP($A107,'Data shares'!$C:$FB,3)</f>
        <v>717.15</v>
      </c>
      <c r="D107" s="140">
        <f>VLOOKUP($A107,'Data shares'!$C:$FB,4)</f>
        <v>713.7</v>
      </c>
      <c r="E107" s="50">
        <f t="shared" si="3"/>
        <v>0.48339638503571969</v>
      </c>
      <c r="F107" s="49">
        <f>VLOOKUP($A107,'Data shares'!$C:$FB,98)</f>
        <v>28510125</v>
      </c>
      <c r="G107" s="49">
        <f>VLOOKUP($A107,'Data shares'!$C:$FB,99)</f>
        <v>28782250</v>
      </c>
      <c r="H107" s="50">
        <f t="shared" si="4"/>
        <v>-0.94546117833039456</v>
      </c>
      <c r="I107" s="49">
        <f>VLOOKUP($A107,'Data shares'!$C:$FB,66)</f>
        <v>7917875</v>
      </c>
      <c r="J107" s="49">
        <f>VLOOKUP($A107,'Data shares'!$C:$FB,67)</f>
        <v>8110375</v>
      </c>
      <c r="K107" s="50">
        <f t="shared" si="5"/>
        <v>-2.4312078682727374</v>
      </c>
      <c r="L107" s="50">
        <f>VLOOKUP($A107,'Data shares'!$C:$FB,118)</f>
        <v>0.56999999999999995</v>
      </c>
      <c r="M107" s="50">
        <f>VLOOKUP($A107,'Data shares'!$C:$FB,119)</f>
        <v>0.56000000000000005</v>
      </c>
      <c r="N107" s="50">
        <f>VLOOKUP($A107,'Data shares'!$C:$FB,121)*100</f>
        <v>1.79</v>
      </c>
      <c r="O107" s="50">
        <f>VLOOKUP($A107,'Data shares'!$C:$FB,124)</f>
        <v>0.37</v>
      </c>
      <c r="P107" s="50">
        <f>VLOOKUP($A107,'Data shares'!$C:$FB,125)</f>
        <v>0.31</v>
      </c>
      <c r="Q107" s="50">
        <f>VLOOKUP($A107,'Data shares'!$C:$FB,127)*100</f>
        <v>19.350000000000001</v>
      </c>
    </row>
    <row r="108" spans="1:17" x14ac:dyDescent="0.25">
      <c r="A108" s="97" t="str">
        <f>'Data Vlaue (Cr)'!C103</f>
        <v>IREDA</v>
      </c>
      <c r="B108" s="140">
        <f>VLOOKUP($A108,'Data shares'!$C:$FB,7)</f>
        <v>150.96</v>
      </c>
      <c r="C108" s="140">
        <f>VLOOKUP($A108,'Data shares'!$C:$FB,3)</f>
        <v>151.61000000000001</v>
      </c>
      <c r="D108" s="140">
        <f>VLOOKUP($A108,'Data shares'!$C:$FB,4)</f>
        <v>149.58000000000001</v>
      </c>
      <c r="E108" s="50">
        <f t="shared" si="3"/>
        <v>1.357133306591791</v>
      </c>
      <c r="F108" s="49">
        <f>VLOOKUP($A108,'Data shares'!$C:$FB,98)</f>
        <v>87012450</v>
      </c>
      <c r="G108" s="49">
        <f>VLOOKUP($A108,'Data shares'!$C:$FB,99)</f>
        <v>88433850</v>
      </c>
      <c r="H108" s="50">
        <f t="shared" si="4"/>
        <v>-1.6073030858658761</v>
      </c>
      <c r="I108" s="49">
        <f>VLOOKUP($A108,'Data shares'!$C:$FB,66)</f>
        <v>36708000</v>
      </c>
      <c r="J108" s="49">
        <f>VLOOKUP($A108,'Data shares'!$C:$FB,67)</f>
        <v>37760250</v>
      </c>
      <c r="K108" s="50">
        <f t="shared" si="5"/>
        <v>-2.8665413533834583</v>
      </c>
      <c r="L108" s="50">
        <f>VLOOKUP($A108,'Data shares'!$C:$FB,118)</f>
        <v>0.46</v>
      </c>
      <c r="M108" s="50">
        <f>VLOOKUP($A108,'Data shares'!$C:$FB,119)</f>
        <v>0.45</v>
      </c>
      <c r="N108" s="50">
        <f>VLOOKUP($A108,'Data shares'!$C:$FB,121)*100</f>
        <v>2.2200000000000002</v>
      </c>
      <c r="O108" s="50">
        <f>VLOOKUP($A108,'Data shares'!$C:$FB,124)</f>
        <v>0.47</v>
      </c>
      <c r="P108" s="50">
        <f>VLOOKUP($A108,'Data shares'!$C:$FB,125)</f>
        <v>0.39</v>
      </c>
      <c r="Q108" s="50">
        <f>VLOOKUP($A108,'Data shares'!$C:$FB,127)*100</f>
        <v>20.51</v>
      </c>
    </row>
    <row r="109" spans="1:17" x14ac:dyDescent="0.25">
      <c r="A109" s="97" t="str">
        <f>'Data Vlaue (Cr)'!C104</f>
        <v>IRFC</v>
      </c>
      <c r="B109" s="140">
        <f>VLOOKUP($A109,'Data shares'!$C:$FB,7)</f>
        <v>126.5</v>
      </c>
      <c r="C109" s="140">
        <f>VLOOKUP($A109,'Data shares'!$C:$FB,3)</f>
        <v>126.39</v>
      </c>
      <c r="D109" s="140">
        <f>VLOOKUP($A109,'Data shares'!$C:$FB,4)</f>
        <v>124.98</v>
      </c>
      <c r="E109" s="50">
        <f t="shared" si="3"/>
        <v>1.1281805088814183</v>
      </c>
      <c r="F109" s="49">
        <f>VLOOKUP($A109,'Data shares'!$C:$FB,98)</f>
        <v>85603500</v>
      </c>
      <c r="G109" s="49">
        <f>VLOOKUP($A109,'Data shares'!$C:$FB,99)</f>
        <v>84787500</v>
      </c>
      <c r="H109" s="50">
        <f t="shared" si="4"/>
        <v>0.96240601503759393</v>
      </c>
      <c r="I109" s="49">
        <f>VLOOKUP($A109,'Data shares'!$C:$FB,66)</f>
        <v>38088500</v>
      </c>
      <c r="J109" s="49">
        <f>VLOOKUP($A109,'Data shares'!$C:$FB,67)</f>
        <v>19626500</v>
      </c>
      <c r="K109" s="50">
        <f t="shared" si="5"/>
        <v>48.471323365320238</v>
      </c>
      <c r="L109" s="50">
        <f>VLOOKUP($A109,'Data shares'!$C:$FB,118)</f>
        <v>0.57999999999999996</v>
      </c>
      <c r="M109" s="50">
        <f>VLOOKUP($A109,'Data shares'!$C:$FB,119)</f>
        <v>0.51</v>
      </c>
      <c r="N109" s="50">
        <f>VLOOKUP($A109,'Data shares'!$C:$FB,121)*100</f>
        <v>13.73</v>
      </c>
      <c r="O109" s="50">
        <f>VLOOKUP($A109,'Data shares'!$C:$FB,124)</f>
        <v>0.39</v>
      </c>
      <c r="P109" s="50">
        <f>VLOOKUP($A109,'Data shares'!$C:$FB,125)</f>
        <v>0.41</v>
      </c>
      <c r="Q109" s="50">
        <f>VLOOKUP($A109,'Data shares'!$C:$FB,127)*100</f>
        <v>-4.88</v>
      </c>
    </row>
    <row r="110" spans="1:17" x14ac:dyDescent="0.25">
      <c r="A110" s="97" t="str">
        <f>'Data Vlaue (Cr)'!C105</f>
        <v>ITC</v>
      </c>
      <c r="B110" s="140">
        <f>VLOOKUP($A110,'Data shares'!$C:$FB,7)</f>
        <v>402.8</v>
      </c>
      <c r="C110" s="140">
        <f>VLOOKUP($A110,'Data shares'!$C:$FB,3)</f>
        <v>405</v>
      </c>
      <c r="D110" s="140">
        <f>VLOOKUP($A110,'Data shares'!$C:$FB,4)</f>
        <v>402.2</v>
      </c>
      <c r="E110" s="50">
        <f t="shared" si="3"/>
        <v>0.69617105917454292</v>
      </c>
      <c r="F110" s="49">
        <f>VLOOKUP($A110,'Data shares'!$C:$FB,98)</f>
        <v>205275200</v>
      </c>
      <c r="G110" s="49">
        <f>VLOOKUP($A110,'Data shares'!$C:$FB,99)</f>
        <v>203249600</v>
      </c>
      <c r="H110" s="50">
        <f t="shared" si="4"/>
        <v>0.99660712739410073</v>
      </c>
      <c r="I110" s="49">
        <f>VLOOKUP($A110,'Data shares'!$C:$FB,66)</f>
        <v>102460800</v>
      </c>
      <c r="J110" s="49">
        <f>VLOOKUP($A110,'Data shares'!$C:$FB,67)</f>
        <v>61750400</v>
      </c>
      <c r="K110" s="50">
        <f t="shared" si="5"/>
        <v>39.732658733876761</v>
      </c>
      <c r="L110" s="50">
        <f>VLOOKUP($A110,'Data shares'!$C:$FB,118)</f>
        <v>0.67</v>
      </c>
      <c r="M110" s="50">
        <f>VLOOKUP($A110,'Data shares'!$C:$FB,119)</f>
        <v>0.66</v>
      </c>
      <c r="N110" s="50">
        <f>VLOOKUP($A110,'Data shares'!$C:$FB,121)*100</f>
        <v>1.52</v>
      </c>
      <c r="O110" s="50">
        <f>VLOOKUP($A110,'Data shares'!$C:$FB,124)</f>
        <v>0.57999999999999996</v>
      </c>
      <c r="P110" s="50">
        <f>VLOOKUP($A110,'Data shares'!$C:$FB,125)</f>
        <v>0.57999999999999996</v>
      </c>
      <c r="Q110" s="50">
        <f>VLOOKUP($A110,'Data shares'!$C:$FB,127)*100</f>
        <v>0</v>
      </c>
    </row>
    <row r="111" spans="1:17" x14ac:dyDescent="0.25">
      <c r="A111" s="97" t="str">
        <f>'Data Vlaue (Cr)'!C106</f>
        <v>JINDALSTEL</v>
      </c>
      <c r="B111" s="140">
        <f>VLOOKUP($A111,'Data shares'!$C:$FB,7)</f>
        <v>1015.2</v>
      </c>
      <c r="C111" s="140">
        <f>VLOOKUP($A111,'Data shares'!$C:$FB,3)</f>
        <v>1020.2</v>
      </c>
      <c r="D111" s="140">
        <f>VLOOKUP($A111,'Data shares'!$C:$FB,4)</f>
        <v>1042.5</v>
      </c>
      <c r="E111" s="50">
        <f t="shared" si="3"/>
        <v>-2.1390887290167822</v>
      </c>
      <c r="F111" s="49">
        <f>VLOOKUP($A111,'Data shares'!$C:$FB,98)</f>
        <v>25828750</v>
      </c>
      <c r="G111" s="49">
        <f>VLOOKUP($A111,'Data shares'!$C:$FB,99)</f>
        <v>24194375</v>
      </c>
      <c r="H111" s="50">
        <f t="shared" si="4"/>
        <v>6.7551858644829643</v>
      </c>
      <c r="I111" s="49">
        <f>VLOOKUP($A111,'Data shares'!$C:$FB,66)</f>
        <v>15403125</v>
      </c>
      <c r="J111" s="49">
        <f>VLOOKUP($A111,'Data shares'!$C:$FB,67)</f>
        <v>15681250</v>
      </c>
      <c r="K111" s="50">
        <f t="shared" si="5"/>
        <v>-1.8056400892675999</v>
      </c>
      <c r="L111" s="50">
        <f>VLOOKUP($A111,'Data shares'!$C:$FB,118)</f>
        <v>0.52</v>
      </c>
      <c r="M111" s="50">
        <f>VLOOKUP($A111,'Data shares'!$C:$FB,119)</f>
        <v>0.59</v>
      </c>
      <c r="N111" s="50">
        <f>VLOOKUP($A111,'Data shares'!$C:$FB,121)*100</f>
        <v>-11.86</v>
      </c>
      <c r="O111" s="50">
        <f>VLOOKUP($A111,'Data shares'!$C:$FB,124)</f>
        <v>0.35</v>
      </c>
      <c r="P111" s="50">
        <f>VLOOKUP($A111,'Data shares'!$C:$FB,125)</f>
        <v>0.35</v>
      </c>
      <c r="Q111" s="50">
        <f>VLOOKUP($A111,'Data shares'!$C:$FB,127)*100</f>
        <v>0</v>
      </c>
    </row>
    <row r="112" spans="1:17" x14ac:dyDescent="0.25">
      <c r="A112" s="97" t="str">
        <f>'Data Vlaue (Cr)'!C107</f>
        <v>JIOFIN</v>
      </c>
      <c r="B112" s="140">
        <f>VLOOKUP($A112,'Data shares'!$C:$FB,7)</f>
        <v>308.14999999999998</v>
      </c>
      <c r="C112" s="140">
        <f>VLOOKUP($A112,'Data shares'!$C:$FB,3)</f>
        <v>309.89999999999998</v>
      </c>
      <c r="D112" s="140">
        <f>VLOOKUP($A112,'Data shares'!$C:$FB,4)</f>
        <v>308.95</v>
      </c>
      <c r="E112" s="50">
        <f t="shared" si="3"/>
        <v>0.30749312186437566</v>
      </c>
      <c r="F112" s="49">
        <f>VLOOKUP($A112,'Data shares'!$C:$FB,98)</f>
        <v>228803050</v>
      </c>
      <c r="G112" s="49">
        <f>VLOOKUP($A112,'Data shares'!$C:$FB,99)</f>
        <v>225797400</v>
      </c>
      <c r="H112" s="50">
        <f t="shared" si="4"/>
        <v>1.3311269306023896</v>
      </c>
      <c r="I112" s="49">
        <f>VLOOKUP($A112,'Data shares'!$C:$FB,66)</f>
        <v>66401600</v>
      </c>
      <c r="J112" s="49">
        <f>VLOOKUP($A112,'Data shares'!$C:$FB,67)</f>
        <v>72807700</v>
      </c>
      <c r="K112" s="50">
        <f t="shared" si="5"/>
        <v>-9.6475084937712339</v>
      </c>
      <c r="L112" s="50">
        <f>VLOOKUP($A112,'Data shares'!$C:$FB,118)</f>
        <v>0.71</v>
      </c>
      <c r="M112" s="50">
        <f>VLOOKUP($A112,'Data shares'!$C:$FB,119)</f>
        <v>0.7</v>
      </c>
      <c r="N112" s="50">
        <f>VLOOKUP($A112,'Data shares'!$C:$FB,121)*100</f>
        <v>1.43</v>
      </c>
      <c r="O112" s="50">
        <f>VLOOKUP($A112,'Data shares'!$C:$FB,124)</f>
        <v>0.51</v>
      </c>
      <c r="P112" s="50">
        <f>VLOOKUP($A112,'Data shares'!$C:$FB,125)</f>
        <v>0.51</v>
      </c>
      <c r="Q112" s="50">
        <f>VLOOKUP($A112,'Data shares'!$C:$FB,127)*100</f>
        <v>0</v>
      </c>
    </row>
    <row r="113" spans="1:17" x14ac:dyDescent="0.25">
      <c r="A113" s="97" t="str">
        <f>'Data Vlaue (Cr)'!C108</f>
        <v>JSWENERGY</v>
      </c>
      <c r="B113" s="140">
        <f>VLOOKUP($A113,'Data shares'!$C:$FB,7)</f>
        <v>546</v>
      </c>
      <c r="C113" s="140">
        <f>VLOOKUP($A113,'Data shares'!$C:$FB,3)</f>
        <v>548.75</v>
      </c>
      <c r="D113" s="140">
        <f>VLOOKUP($A113,'Data shares'!$C:$FB,4)</f>
        <v>545.20000000000005</v>
      </c>
      <c r="E113" s="50">
        <f t="shared" si="3"/>
        <v>0.65113719735875897</v>
      </c>
      <c r="F113" s="49">
        <f>VLOOKUP($A113,'Data shares'!$C:$FB,98)</f>
        <v>50061000</v>
      </c>
      <c r="G113" s="49">
        <f>VLOOKUP($A113,'Data shares'!$C:$FB,99)</f>
        <v>50626000</v>
      </c>
      <c r="H113" s="50">
        <f t="shared" si="4"/>
        <v>-1.1160273377316003</v>
      </c>
      <c r="I113" s="49">
        <f>VLOOKUP($A113,'Data shares'!$C:$FB,66)</f>
        <v>9626000</v>
      </c>
      <c r="J113" s="49">
        <f>VLOOKUP($A113,'Data shares'!$C:$FB,67)</f>
        <v>16788000</v>
      </c>
      <c r="K113" s="50">
        <f t="shared" si="5"/>
        <v>-74.402659463951792</v>
      </c>
      <c r="L113" s="50">
        <f>VLOOKUP($A113,'Data shares'!$C:$FB,118)</f>
        <v>0.49</v>
      </c>
      <c r="M113" s="50">
        <f>VLOOKUP($A113,'Data shares'!$C:$FB,119)</f>
        <v>0.5</v>
      </c>
      <c r="N113" s="50">
        <f>VLOOKUP($A113,'Data shares'!$C:$FB,121)*100</f>
        <v>-2</v>
      </c>
      <c r="O113" s="50">
        <f>VLOOKUP($A113,'Data shares'!$C:$FB,124)</f>
        <v>0.25</v>
      </c>
      <c r="P113" s="50">
        <f>VLOOKUP($A113,'Data shares'!$C:$FB,125)</f>
        <v>0.3</v>
      </c>
      <c r="Q113" s="50">
        <f>VLOOKUP($A113,'Data shares'!$C:$FB,127)*100</f>
        <v>-16.669999999999998</v>
      </c>
    </row>
    <row r="114" spans="1:17" x14ac:dyDescent="0.25">
      <c r="A114" s="97" t="str">
        <f>'Data Vlaue (Cr)'!C109</f>
        <v>JSWSTEEL</v>
      </c>
      <c r="B114" s="140">
        <f>VLOOKUP($A114,'Data shares'!$C:$FB,7)</f>
        <v>1167.8</v>
      </c>
      <c r="C114" s="140">
        <f>VLOOKUP($A114,'Data shares'!$C:$FB,3)</f>
        <v>1171.4000000000001</v>
      </c>
      <c r="D114" s="140">
        <f>VLOOKUP($A114,'Data shares'!$C:$FB,4)</f>
        <v>1179.5999999999999</v>
      </c>
      <c r="E114" s="50">
        <f t="shared" si="3"/>
        <v>-0.69515089860968282</v>
      </c>
      <c r="F114" s="49">
        <f>VLOOKUP($A114,'Data shares'!$C:$FB,98)</f>
        <v>54898425</v>
      </c>
      <c r="G114" s="49">
        <f>VLOOKUP($A114,'Data shares'!$C:$FB,99)</f>
        <v>55115100</v>
      </c>
      <c r="H114" s="50">
        <f t="shared" si="4"/>
        <v>-0.39313182775682165</v>
      </c>
      <c r="I114" s="49">
        <f>VLOOKUP($A114,'Data shares'!$C:$FB,66)</f>
        <v>14715675</v>
      </c>
      <c r="J114" s="49">
        <f>VLOOKUP($A114,'Data shares'!$C:$FB,67)</f>
        <v>25668900</v>
      </c>
      <c r="K114" s="50">
        <f t="shared" si="5"/>
        <v>-74.432365487821656</v>
      </c>
      <c r="L114" s="50">
        <f>VLOOKUP($A114,'Data shares'!$C:$FB,118)</f>
        <v>0.65</v>
      </c>
      <c r="M114" s="50">
        <f>VLOOKUP($A114,'Data shares'!$C:$FB,119)</f>
        <v>0.71</v>
      </c>
      <c r="N114" s="50">
        <f>VLOOKUP($A114,'Data shares'!$C:$FB,121)*100</f>
        <v>-8.4500000000000011</v>
      </c>
      <c r="O114" s="50">
        <f>VLOOKUP($A114,'Data shares'!$C:$FB,124)</f>
        <v>0.62</v>
      </c>
      <c r="P114" s="50">
        <f>VLOOKUP($A114,'Data shares'!$C:$FB,125)</f>
        <v>0.43</v>
      </c>
      <c r="Q114" s="50">
        <f>VLOOKUP($A114,'Data shares'!$C:$FB,127)*100</f>
        <v>44.190000000000005</v>
      </c>
    </row>
    <row r="115" spans="1:17" x14ac:dyDescent="0.25">
      <c r="A115" s="97" t="str">
        <f>'Data Vlaue (Cr)'!C110</f>
        <v>JUBLFOOD</v>
      </c>
      <c r="B115" s="140">
        <f>VLOOKUP($A115,'Data shares'!$C:$FB,7)</f>
        <v>602.29999999999995</v>
      </c>
      <c r="C115" s="140">
        <f>VLOOKUP($A115,'Data shares'!$C:$FB,3)</f>
        <v>605.70000000000005</v>
      </c>
      <c r="D115" s="140">
        <f>VLOOKUP($A115,'Data shares'!$C:$FB,4)</f>
        <v>602.6</v>
      </c>
      <c r="E115" s="50">
        <f t="shared" si="3"/>
        <v>0.51443743776966855</v>
      </c>
      <c r="F115" s="49">
        <f>VLOOKUP($A115,'Data shares'!$C:$FB,98)</f>
        <v>34743750</v>
      </c>
      <c r="G115" s="49">
        <f>VLOOKUP($A115,'Data shares'!$C:$FB,99)</f>
        <v>33751250</v>
      </c>
      <c r="H115" s="50">
        <f t="shared" si="4"/>
        <v>2.940631828450798</v>
      </c>
      <c r="I115" s="49">
        <f>VLOOKUP($A115,'Data shares'!$C:$FB,66)</f>
        <v>10333750</v>
      </c>
      <c r="J115" s="49">
        <f>VLOOKUP($A115,'Data shares'!$C:$FB,67)</f>
        <v>12723750</v>
      </c>
      <c r="K115" s="50">
        <f t="shared" si="5"/>
        <v>-23.128099673400264</v>
      </c>
      <c r="L115" s="50">
        <f>VLOOKUP($A115,'Data shares'!$C:$FB,118)</f>
        <v>0.55000000000000004</v>
      </c>
      <c r="M115" s="50">
        <f>VLOOKUP($A115,'Data shares'!$C:$FB,119)</f>
        <v>0.56000000000000005</v>
      </c>
      <c r="N115" s="50">
        <f>VLOOKUP($A115,'Data shares'!$C:$FB,121)*100</f>
        <v>-1.79</v>
      </c>
      <c r="O115" s="50">
        <f>VLOOKUP($A115,'Data shares'!$C:$FB,124)</f>
        <v>0.27</v>
      </c>
      <c r="P115" s="50">
        <f>VLOOKUP($A115,'Data shares'!$C:$FB,125)</f>
        <v>0.31</v>
      </c>
      <c r="Q115" s="50">
        <f>VLOOKUP($A115,'Data shares'!$C:$FB,127)*100</f>
        <v>-12.9</v>
      </c>
    </row>
    <row r="116" spans="1:17" x14ac:dyDescent="0.25">
      <c r="A116" s="97" t="str">
        <f>'Data Vlaue (Cr)'!C111</f>
        <v>KALYANKJIL</v>
      </c>
      <c r="B116" s="140">
        <f>VLOOKUP($A116,'Data shares'!$C:$FB,7)</f>
        <v>484.85</v>
      </c>
      <c r="C116" s="140">
        <f>VLOOKUP($A116,'Data shares'!$C:$FB,3)</f>
        <v>487.65</v>
      </c>
      <c r="D116" s="140">
        <f>VLOOKUP($A116,'Data shares'!$C:$FB,4)</f>
        <v>484.95</v>
      </c>
      <c r="E116" s="50">
        <f t="shared" si="3"/>
        <v>0.55675842870398773</v>
      </c>
      <c r="F116" s="49">
        <f>VLOOKUP($A116,'Data shares'!$C:$FB,98)</f>
        <v>53584700</v>
      </c>
      <c r="G116" s="49">
        <f>VLOOKUP($A116,'Data shares'!$C:$FB,99)</f>
        <v>53239250</v>
      </c>
      <c r="H116" s="50">
        <f t="shared" si="4"/>
        <v>0.64886338556610024</v>
      </c>
      <c r="I116" s="49">
        <f>VLOOKUP($A116,'Data shares'!$C:$FB,66)</f>
        <v>12520800</v>
      </c>
      <c r="J116" s="49">
        <f>VLOOKUP($A116,'Data shares'!$C:$FB,67)</f>
        <v>13859125</v>
      </c>
      <c r="K116" s="50">
        <f t="shared" si="5"/>
        <v>-10.688813813813812</v>
      </c>
      <c r="L116" s="50">
        <f>VLOOKUP($A116,'Data shares'!$C:$FB,118)</f>
        <v>0.53</v>
      </c>
      <c r="M116" s="50">
        <f>VLOOKUP($A116,'Data shares'!$C:$FB,119)</f>
        <v>0.54</v>
      </c>
      <c r="N116" s="50">
        <f>VLOOKUP($A116,'Data shares'!$C:$FB,121)*100</f>
        <v>-1.8499999999999999</v>
      </c>
      <c r="O116" s="50">
        <f>VLOOKUP($A116,'Data shares'!$C:$FB,124)</f>
        <v>0.39</v>
      </c>
      <c r="P116" s="50">
        <f>VLOOKUP($A116,'Data shares'!$C:$FB,125)</f>
        <v>0.35</v>
      </c>
      <c r="Q116" s="50">
        <f>VLOOKUP($A116,'Data shares'!$C:$FB,127)*100</f>
        <v>11.43</v>
      </c>
    </row>
    <row r="117" spans="1:17" x14ac:dyDescent="0.25">
      <c r="A117" s="97" t="str">
        <f>'Data Vlaue (Cr)'!C112</f>
        <v>KAYNES</v>
      </c>
      <c r="B117" s="140">
        <f>VLOOKUP($A117,'Data shares'!$C:$FB,7)</f>
        <v>7102</v>
      </c>
      <c r="C117" s="140">
        <f>VLOOKUP($A117,'Data shares'!$C:$FB,3)</f>
        <v>7140.5</v>
      </c>
      <c r="D117" s="140">
        <f>VLOOKUP($A117,'Data shares'!$C:$FB,4)</f>
        <v>7143.5</v>
      </c>
      <c r="E117" s="50">
        <f t="shared" si="3"/>
        <v>-4.1996220340169386E-2</v>
      </c>
      <c r="F117" s="49">
        <f>VLOOKUP($A117,'Data shares'!$C:$FB,98)</f>
        <v>3731600</v>
      </c>
      <c r="G117" s="49">
        <f>VLOOKUP($A117,'Data shares'!$C:$FB,99)</f>
        <v>3644900</v>
      </c>
      <c r="H117" s="50">
        <f t="shared" si="4"/>
        <v>2.3786660813739746</v>
      </c>
      <c r="I117" s="49">
        <f>VLOOKUP($A117,'Data shares'!$C:$FB,66)</f>
        <v>2921800</v>
      </c>
      <c r="J117" s="49">
        <f>VLOOKUP($A117,'Data shares'!$C:$FB,67)</f>
        <v>6016500</v>
      </c>
      <c r="K117" s="50">
        <f t="shared" si="5"/>
        <v>-105.91758505031146</v>
      </c>
      <c r="L117" s="50">
        <f>VLOOKUP($A117,'Data shares'!$C:$FB,118)</f>
        <v>0.49</v>
      </c>
      <c r="M117" s="50">
        <f>VLOOKUP($A117,'Data shares'!$C:$FB,119)</f>
        <v>0.48</v>
      </c>
      <c r="N117" s="50">
        <f>VLOOKUP($A117,'Data shares'!$C:$FB,121)*100</f>
        <v>2.08</v>
      </c>
      <c r="O117" s="50">
        <f>VLOOKUP($A117,'Data shares'!$C:$FB,124)</f>
        <v>0.33</v>
      </c>
      <c r="P117" s="50">
        <f>VLOOKUP($A117,'Data shares'!$C:$FB,125)</f>
        <v>0.45</v>
      </c>
      <c r="Q117" s="50">
        <f>VLOOKUP($A117,'Data shares'!$C:$FB,127)*100</f>
        <v>-26.669999999999998</v>
      </c>
    </row>
    <row r="118" spans="1:17" x14ac:dyDescent="0.25">
      <c r="A118" s="97" t="str">
        <f>'Data Vlaue (Cr)'!C113</f>
        <v>KEI</v>
      </c>
      <c r="B118" s="140">
        <f>VLOOKUP($A118,'Data shares'!$C:$FB,7)</f>
        <v>4278.2</v>
      </c>
      <c r="C118" s="140">
        <f>VLOOKUP($A118,'Data shares'!$C:$FB,3)</f>
        <v>4294.6000000000004</v>
      </c>
      <c r="D118" s="140">
        <f>VLOOKUP($A118,'Data shares'!$C:$FB,4)</f>
        <v>4262.3999999999996</v>
      </c>
      <c r="E118" s="50">
        <f t="shared" si="3"/>
        <v>0.75544294294296011</v>
      </c>
      <c r="F118" s="49">
        <f>VLOOKUP($A118,'Data shares'!$C:$FB,98)</f>
        <v>2115225</v>
      </c>
      <c r="G118" s="49">
        <f>VLOOKUP($A118,'Data shares'!$C:$FB,99)</f>
        <v>2131850</v>
      </c>
      <c r="H118" s="50">
        <f t="shared" si="4"/>
        <v>-0.77983910687900182</v>
      </c>
      <c r="I118" s="49">
        <f>VLOOKUP($A118,'Data shares'!$C:$FB,66)</f>
        <v>1536325</v>
      </c>
      <c r="J118" s="49">
        <f>VLOOKUP($A118,'Data shares'!$C:$FB,67)</f>
        <v>1566775</v>
      </c>
      <c r="K118" s="50">
        <f t="shared" si="5"/>
        <v>-1.98200250598018</v>
      </c>
      <c r="L118" s="50">
        <f>VLOOKUP($A118,'Data shares'!$C:$FB,118)</f>
        <v>0.81</v>
      </c>
      <c r="M118" s="50">
        <f>VLOOKUP($A118,'Data shares'!$C:$FB,119)</f>
        <v>0.75</v>
      </c>
      <c r="N118" s="50">
        <f>VLOOKUP($A118,'Data shares'!$C:$FB,121)*100</f>
        <v>8</v>
      </c>
      <c r="O118" s="50">
        <f>VLOOKUP($A118,'Data shares'!$C:$FB,124)</f>
        <v>0.68</v>
      </c>
      <c r="P118" s="50">
        <f>VLOOKUP($A118,'Data shares'!$C:$FB,125)</f>
        <v>0.48</v>
      </c>
      <c r="Q118" s="50">
        <f>VLOOKUP($A118,'Data shares'!$C:$FB,127)*100</f>
        <v>41.67</v>
      </c>
    </row>
    <row r="119" spans="1:17" x14ac:dyDescent="0.25">
      <c r="A119" s="97" t="str">
        <f>'Data Vlaue (Cr)'!C114</f>
        <v>KFINTECH</v>
      </c>
      <c r="B119" s="140">
        <f>VLOOKUP($A119,'Data shares'!$C:$FB,7)</f>
        <v>1072.5</v>
      </c>
      <c r="C119" s="140">
        <f>VLOOKUP($A119,'Data shares'!$C:$FB,3)</f>
        <v>1078.8</v>
      </c>
      <c r="D119" s="140">
        <f>VLOOKUP($A119,'Data shares'!$C:$FB,4)</f>
        <v>1052.4000000000001</v>
      </c>
      <c r="E119" s="50">
        <f t="shared" si="3"/>
        <v>2.5085518814138981</v>
      </c>
      <c r="F119" s="49">
        <f>VLOOKUP($A119,'Data shares'!$C:$FB,98)</f>
        <v>4368600</v>
      </c>
      <c r="G119" s="49">
        <f>VLOOKUP($A119,'Data shares'!$C:$FB,99)</f>
        <v>4477500</v>
      </c>
      <c r="H119" s="50">
        <f t="shared" si="4"/>
        <v>-2.4321608040201004</v>
      </c>
      <c r="I119" s="49">
        <f>VLOOKUP($A119,'Data shares'!$C:$FB,66)</f>
        <v>4754700</v>
      </c>
      <c r="J119" s="49">
        <f>VLOOKUP($A119,'Data shares'!$C:$FB,67)</f>
        <v>1723500</v>
      </c>
      <c r="K119" s="50">
        <f t="shared" si="5"/>
        <v>63.751656255915201</v>
      </c>
      <c r="L119" s="50">
        <f>VLOOKUP($A119,'Data shares'!$C:$FB,118)</f>
        <v>0.75</v>
      </c>
      <c r="M119" s="50">
        <f>VLOOKUP($A119,'Data shares'!$C:$FB,119)</f>
        <v>0.53</v>
      </c>
      <c r="N119" s="50">
        <f>VLOOKUP($A119,'Data shares'!$C:$FB,121)*100</f>
        <v>41.510000000000005</v>
      </c>
      <c r="O119" s="50">
        <f>VLOOKUP($A119,'Data shares'!$C:$FB,124)</f>
        <v>0.46</v>
      </c>
      <c r="P119" s="50">
        <f>VLOOKUP($A119,'Data shares'!$C:$FB,125)</f>
        <v>0.36</v>
      </c>
      <c r="Q119" s="50">
        <f>VLOOKUP($A119,'Data shares'!$C:$FB,127)*100</f>
        <v>27.779999999999998</v>
      </c>
    </row>
    <row r="120" spans="1:17" x14ac:dyDescent="0.25">
      <c r="A120" s="97" t="str">
        <f>'Data Vlaue (Cr)'!C115</f>
        <v>KOTAKBANK</v>
      </c>
      <c r="B120" s="140">
        <f>VLOOKUP($A120,'Data shares'!$C:$FB,7)</f>
        <v>2150.1</v>
      </c>
      <c r="C120" s="140">
        <f>VLOOKUP($A120,'Data shares'!$C:$FB,3)</f>
        <v>2156</v>
      </c>
      <c r="D120" s="140">
        <f>VLOOKUP($A120,'Data shares'!$C:$FB,4)</f>
        <v>2151.5</v>
      </c>
      <c r="E120" s="50">
        <f t="shared" si="3"/>
        <v>0.20915640250987683</v>
      </c>
      <c r="F120" s="49">
        <f>VLOOKUP($A120,'Data shares'!$C:$FB,98)</f>
        <v>51139600</v>
      </c>
      <c r="G120" s="49">
        <f>VLOOKUP($A120,'Data shares'!$C:$FB,99)</f>
        <v>51191200</v>
      </c>
      <c r="H120" s="50">
        <f t="shared" si="4"/>
        <v>-0.10079857475503602</v>
      </c>
      <c r="I120" s="49">
        <f>VLOOKUP($A120,'Data shares'!$C:$FB,66)</f>
        <v>18118400</v>
      </c>
      <c r="J120" s="49">
        <f>VLOOKUP($A120,'Data shares'!$C:$FB,67)</f>
        <v>26789200</v>
      </c>
      <c r="K120" s="50">
        <f t="shared" si="5"/>
        <v>-47.856322854115149</v>
      </c>
      <c r="L120" s="50">
        <f>VLOOKUP($A120,'Data shares'!$C:$FB,118)</f>
        <v>1.06</v>
      </c>
      <c r="M120" s="50">
        <f>VLOOKUP($A120,'Data shares'!$C:$FB,119)</f>
        <v>1.05</v>
      </c>
      <c r="N120" s="50">
        <f>VLOOKUP($A120,'Data shares'!$C:$FB,121)*100</f>
        <v>0.95</v>
      </c>
      <c r="O120" s="50">
        <f>VLOOKUP($A120,'Data shares'!$C:$FB,124)</f>
        <v>0.63</v>
      </c>
      <c r="P120" s="50">
        <f>VLOOKUP($A120,'Data shares'!$C:$FB,125)</f>
        <v>0.56999999999999995</v>
      </c>
      <c r="Q120" s="50">
        <f>VLOOKUP($A120,'Data shares'!$C:$FB,127)*100</f>
        <v>10.530000000000001</v>
      </c>
    </row>
    <row r="121" spans="1:17" x14ac:dyDescent="0.25">
      <c r="A121" s="97" t="str">
        <f>'Data Vlaue (Cr)'!C116</f>
        <v>KPITTECH</v>
      </c>
      <c r="B121" s="140">
        <f>VLOOKUP($A121,'Data shares'!$C:$FB,7)</f>
        <v>1154.0999999999999</v>
      </c>
      <c r="C121" s="140">
        <f>VLOOKUP($A121,'Data shares'!$C:$FB,3)</f>
        <v>1154.7</v>
      </c>
      <c r="D121" s="140">
        <f>VLOOKUP($A121,'Data shares'!$C:$FB,4)</f>
        <v>1158.5999999999999</v>
      </c>
      <c r="E121" s="50">
        <f t="shared" si="3"/>
        <v>-0.33661315380630619</v>
      </c>
      <c r="F121" s="49">
        <f>VLOOKUP($A121,'Data shares'!$C:$FB,98)</f>
        <v>10459200</v>
      </c>
      <c r="G121" s="49">
        <f>VLOOKUP($A121,'Data shares'!$C:$FB,99)</f>
        <v>10233600</v>
      </c>
      <c r="H121" s="50">
        <f t="shared" si="4"/>
        <v>2.204502814258912</v>
      </c>
      <c r="I121" s="49">
        <f>VLOOKUP($A121,'Data shares'!$C:$FB,66)</f>
        <v>5262800</v>
      </c>
      <c r="J121" s="49">
        <f>VLOOKUP($A121,'Data shares'!$C:$FB,67)</f>
        <v>3068000</v>
      </c>
      <c r="K121" s="50">
        <f t="shared" si="5"/>
        <v>41.704035874439462</v>
      </c>
      <c r="L121" s="50">
        <f>VLOOKUP($A121,'Data shares'!$C:$FB,118)</f>
        <v>0.66</v>
      </c>
      <c r="M121" s="50">
        <f>VLOOKUP($A121,'Data shares'!$C:$FB,119)</f>
        <v>0.64</v>
      </c>
      <c r="N121" s="50">
        <f>VLOOKUP($A121,'Data shares'!$C:$FB,121)*100</f>
        <v>3.1300000000000003</v>
      </c>
      <c r="O121" s="50">
        <f>VLOOKUP($A121,'Data shares'!$C:$FB,124)</f>
        <v>0.64</v>
      </c>
      <c r="P121" s="50">
        <f>VLOOKUP($A121,'Data shares'!$C:$FB,125)</f>
        <v>0.33</v>
      </c>
      <c r="Q121" s="50">
        <f>VLOOKUP($A121,'Data shares'!$C:$FB,127)*100</f>
        <v>93.94</v>
      </c>
    </row>
    <row r="122" spans="1:17" x14ac:dyDescent="0.25">
      <c r="A122" s="97" t="str">
        <f>'Data Vlaue (Cr)'!C117</f>
        <v>LAURUSLABS</v>
      </c>
      <c r="B122" s="140">
        <f>VLOOKUP($A122,'Data shares'!$C:$FB,7)</f>
        <v>876.75</v>
      </c>
      <c r="C122" s="140">
        <f>VLOOKUP($A122,'Data shares'!$C:$FB,3)</f>
        <v>880.8</v>
      </c>
      <c r="D122" s="140">
        <f>VLOOKUP($A122,'Data shares'!$C:$FB,4)</f>
        <v>869.45</v>
      </c>
      <c r="E122" s="50">
        <f t="shared" si="3"/>
        <v>1.3054229685433214</v>
      </c>
      <c r="F122" s="49">
        <f>VLOOKUP($A122,'Data shares'!$C:$FB,98)</f>
        <v>42552700</v>
      </c>
      <c r="G122" s="49">
        <f>VLOOKUP($A122,'Data shares'!$C:$FB,99)</f>
        <v>39559000</v>
      </c>
      <c r="H122" s="50">
        <f t="shared" si="4"/>
        <v>7.5676837129351098</v>
      </c>
      <c r="I122" s="49">
        <f>VLOOKUP($A122,'Data shares'!$C:$FB,66)</f>
        <v>69208700</v>
      </c>
      <c r="J122" s="49">
        <f>VLOOKUP($A122,'Data shares'!$C:$FB,67)</f>
        <v>35054000</v>
      </c>
      <c r="K122" s="50">
        <f t="shared" si="5"/>
        <v>49.350298445137682</v>
      </c>
      <c r="L122" s="50">
        <f>VLOOKUP($A122,'Data shares'!$C:$FB,118)</f>
        <v>0.56000000000000005</v>
      </c>
      <c r="M122" s="50">
        <f>VLOOKUP($A122,'Data shares'!$C:$FB,119)</f>
        <v>0.55000000000000004</v>
      </c>
      <c r="N122" s="50">
        <f>VLOOKUP($A122,'Data shares'!$C:$FB,121)*100</f>
        <v>1.82</v>
      </c>
      <c r="O122" s="50">
        <f>VLOOKUP($A122,'Data shares'!$C:$FB,124)</f>
        <v>0.39</v>
      </c>
      <c r="P122" s="50">
        <f>VLOOKUP($A122,'Data shares'!$C:$FB,125)</f>
        <v>0.37</v>
      </c>
      <c r="Q122" s="50">
        <f>VLOOKUP($A122,'Data shares'!$C:$FB,127)*100</f>
        <v>5.41</v>
      </c>
    </row>
    <row r="123" spans="1:17" x14ac:dyDescent="0.25">
      <c r="A123" s="97" t="str">
        <f>'Data Vlaue (Cr)'!C118</f>
        <v>LICHSGFIN</v>
      </c>
      <c r="B123" s="140">
        <f>VLOOKUP($A123,'Data shares'!$C:$FB,7)</f>
        <v>568.45000000000005</v>
      </c>
      <c r="C123" s="140">
        <f>VLOOKUP($A123,'Data shares'!$C:$FB,3)</f>
        <v>570.35</v>
      </c>
      <c r="D123" s="140">
        <f>VLOOKUP($A123,'Data shares'!$C:$FB,4)</f>
        <v>563.95000000000005</v>
      </c>
      <c r="E123" s="50">
        <f t="shared" si="3"/>
        <v>1.1348523805301847</v>
      </c>
      <c r="F123" s="49">
        <f>VLOOKUP($A123,'Data shares'!$C:$FB,98)</f>
        <v>48038000</v>
      </c>
      <c r="G123" s="49">
        <f>VLOOKUP($A123,'Data shares'!$C:$FB,99)</f>
        <v>47921000</v>
      </c>
      <c r="H123" s="50">
        <f t="shared" si="4"/>
        <v>0.24415183322551701</v>
      </c>
      <c r="I123" s="49">
        <f>VLOOKUP($A123,'Data shares'!$C:$FB,66)</f>
        <v>11033000</v>
      </c>
      <c r="J123" s="49">
        <f>VLOOKUP($A123,'Data shares'!$C:$FB,67)</f>
        <v>7968000</v>
      </c>
      <c r="K123" s="50">
        <f t="shared" si="5"/>
        <v>27.780295477204746</v>
      </c>
      <c r="L123" s="50">
        <f>VLOOKUP($A123,'Data shares'!$C:$FB,118)</f>
        <v>0.73</v>
      </c>
      <c r="M123" s="50">
        <f>VLOOKUP($A123,'Data shares'!$C:$FB,119)</f>
        <v>0.73</v>
      </c>
      <c r="N123" s="50">
        <f>VLOOKUP($A123,'Data shares'!$C:$FB,121)*100</f>
        <v>0</v>
      </c>
      <c r="O123" s="50">
        <f>VLOOKUP($A123,'Data shares'!$C:$FB,124)</f>
        <v>0.37</v>
      </c>
      <c r="P123" s="50">
        <f>VLOOKUP($A123,'Data shares'!$C:$FB,125)</f>
        <v>0.34</v>
      </c>
      <c r="Q123" s="50">
        <f>VLOOKUP($A123,'Data shares'!$C:$FB,127)*100</f>
        <v>8.82</v>
      </c>
    </row>
    <row r="124" spans="1:17" x14ac:dyDescent="0.25">
      <c r="A124" s="97" t="str">
        <f>'Data Vlaue (Cr)'!C119</f>
        <v>LICI</v>
      </c>
      <c r="B124" s="140">
        <f>VLOOKUP($A124,'Data shares'!$C:$FB,7)</f>
        <v>897.8</v>
      </c>
      <c r="C124" s="140">
        <f>VLOOKUP($A124,'Data shares'!$C:$FB,3)</f>
        <v>902.25</v>
      </c>
      <c r="D124" s="140">
        <f>VLOOKUP($A124,'Data shares'!$C:$FB,4)</f>
        <v>900.55</v>
      </c>
      <c r="E124" s="50">
        <f t="shared" si="3"/>
        <v>0.18877352728888408</v>
      </c>
      <c r="F124" s="49">
        <f>VLOOKUP($A124,'Data shares'!$C:$FB,98)</f>
        <v>14641900</v>
      </c>
      <c r="G124" s="49">
        <f>VLOOKUP($A124,'Data shares'!$C:$FB,99)</f>
        <v>14452900</v>
      </c>
      <c r="H124" s="50">
        <f t="shared" si="4"/>
        <v>1.3076960333220322</v>
      </c>
      <c r="I124" s="49">
        <f>VLOOKUP($A124,'Data shares'!$C:$FB,66)</f>
        <v>5658100</v>
      </c>
      <c r="J124" s="49">
        <f>VLOOKUP($A124,'Data shares'!$C:$FB,67)</f>
        <v>4306400</v>
      </c>
      <c r="K124" s="50">
        <f t="shared" si="5"/>
        <v>23.889644933811706</v>
      </c>
      <c r="L124" s="50">
        <f>VLOOKUP($A124,'Data shares'!$C:$FB,118)</f>
        <v>0.42</v>
      </c>
      <c r="M124" s="50">
        <f>VLOOKUP($A124,'Data shares'!$C:$FB,119)</f>
        <v>0.43</v>
      </c>
      <c r="N124" s="50">
        <f>VLOOKUP($A124,'Data shares'!$C:$FB,121)*100</f>
        <v>-2.33</v>
      </c>
      <c r="O124" s="50">
        <f>VLOOKUP($A124,'Data shares'!$C:$FB,124)</f>
        <v>0.31</v>
      </c>
      <c r="P124" s="50">
        <f>VLOOKUP($A124,'Data shares'!$C:$FB,125)</f>
        <v>0.27</v>
      </c>
      <c r="Q124" s="50">
        <f>VLOOKUP($A124,'Data shares'!$C:$FB,127)*100</f>
        <v>14.81</v>
      </c>
    </row>
    <row r="125" spans="1:17" x14ac:dyDescent="0.25">
      <c r="A125" s="97" t="str">
        <f>'Data Vlaue (Cr)'!C120</f>
        <v>LODHA</v>
      </c>
      <c r="B125" s="140">
        <f>VLOOKUP($A125,'Data shares'!$C:$FB,7)</f>
        <v>1155.9000000000001</v>
      </c>
      <c r="C125" s="140">
        <f>VLOOKUP($A125,'Data shares'!$C:$FB,3)</f>
        <v>1159.5999999999999</v>
      </c>
      <c r="D125" s="140">
        <f>VLOOKUP($A125,'Data shares'!$C:$FB,4)</f>
        <v>1133.9000000000001</v>
      </c>
      <c r="E125" s="50">
        <f t="shared" si="3"/>
        <v>2.2665138019225517</v>
      </c>
      <c r="F125" s="49">
        <f>VLOOKUP($A125,'Data shares'!$C:$FB,98)</f>
        <v>18088650</v>
      </c>
      <c r="G125" s="49">
        <f>VLOOKUP($A125,'Data shares'!$C:$FB,99)</f>
        <v>18191250</v>
      </c>
      <c r="H125" s="50">
        <f t="shared" si="4"/>
        <v>-0.56400742115027835</v>
      </c>
      <c r="I125" s="49">
        <f>VLOOKUP($A125,'Data shares'!$C:$FB,66)</f>
        <v>9408150</v>
      </c>
      <c r="J125" s="49">
        <f>VLOOKUP($A125,'Data shares'!$C:$FB,67)</f>
        <v>6088050</v>
      </c>
      <c r="K125" s="50">
        <f t="shared" si="5"/>
        <v>35.289615918113547</v>
      </c>
      <c r="L125" s="50">
        <f>VLOOKUP($A125,'Data shares'!$C:$FB,118)</f>
        <v>0.64</v>
      </c>
      <c r="M125" s="50">
        <f>VLOOKUP($A125,'Data shares'!$C:$FB,119)</f>
        <v>0.63</v>
      </c>
      <c r="N125" s="50">
        <f>VLOOKUP($A125,'Data shares'!$C:$FB,121)*100</f>
        <v>1.59</v>
      </c>
      <c r="O125" s="50">
        <f>VLOOKUP($A125,'Data shares'!$C:$FB,124)</f>
        <v>0.22</v>
      </c>
      <c r="P125" s="50">
        <f>VLOOKUP($A125,'Data shares'!$C:$FB,125)</f>
        <v>0.34</v>
      </c>
      <c r="Q125" s="50">
        <f>VLOOKUP($A125,'Data shares'!$C:$FB,127)*100</f>
        <v>-35.29</v>
      </c>
    </row>
    <row r="126" spans="1:17" x14ac:dyDescent="0.25">
      <c r="A126" s="97" t="str">
        <f>'Data Vlaue (Cr)'!C121</f>
        <v>LT</v>
      </c>
      <c r="B126" s="140">
        <f>VLOOKUP($A126,'Data shares'!$C:$FB,7)</f>
        <v>3784</v>
      </c>
      <c r="C126" s="140">
        <f>VLOOKUP($A126,'Data shares'!$C:$FB,3)</f>
        <v>3804.1</v>
      </c>
      <c r="D126" s="140">
        <f>VLOOKUP($A126,'Data shares'!$C:$FB,4)</f>
        <v>3781.2</v>
      </c>
      <c r="E126" s="50">
        <f t="shared" si="3"/>
        <v>0.60562784301280259</v>
      </c>
      <c r="F126" s="49">
        <f>VLOOKUP($A126,'Data shares'!$C:$FB,98)</f>
        <v>25457250</v>
      </c>
      <c r="G126" s="49">
        <f>VLOOKUP($A126,'Data shares'!$C:$FB,99)</f>
        <v>24868900</v>
      </c>
      <c r="H126" s="50">
        <f t="shared" si="4"/>
        <v>2.3658062881751909</v>
      </c>
      <c r="I126" s="49">
        <f>VLOOKUP($A126,'Data shares'!$C:$FB,66)</f>
        <v>13773725</v>
      </c>
      <c r="J126" s="49">
        <f>VLOOKUP($A126,'Data shares'!$C:$FB,67)</f>
        <v>17532550</v>
      </c>
      <c r="K126" s="50">
        <f t="shared" si="5"/>
        <v>-27.289821743936372</v>
      </c>
      <c r="L126" s="50">
        <f>VLOOKUP($A126,'Data shares'!$C:$FB,118)</f>
        <v>0.5</v>
      </c>
      <c r="M126" s="50">
        <f>VLOOKUP($A126,'Data shares'!$C:$FB,119)</f>
        <v>0.5</v>
      </c>
      <c r="N126" s="50">
        <f>VLOOKUP($A126,'Data shares'!$C:$FB,121)*100</f>
        <v>0</v>
      </c>
      <c r="O126" s="50">
        <f>VLOOKUP($A126,'Data shares'!$C:$FB,124)</f>
        <v>0.4</v>
      </c>
      <c r="P126" s="50">
        <f>VLOOKUP($A126,'Data shares'!$C:$FB,125)</f>
        <v>0.42</v>
      </c>
      <c r="Q126" s="50">
        <f>VLOOKUP($A126,'Data shares'!$C:$FB,127)*100</f>
        <v>-4.7600000000000007</v>
      </c>
    </row>
    <row r="127" spans="1:17" x14ac:dyDescent="0.25">
      <c r="A127" s="97" t="str">
        <f>'Data Vlaue (Cr)'!C122</f>
        <v>LTF</v>
      </c>
      <c r="B127" s="140">
        <f>VLOOKUP($A127,'Data shares'!$C:$FB,7)</f>
        <v>256.04000000000002</v>
      </c>
      <c r="C127" s="140">
        <f>VLOOKUP($A127,'Data shares'!$C:$FB,3)</f>
        <v>257.07</v>
      </c>
      <c r="D127" s="140">
        <f>VLOOKUP($A127,'Data shares'!$C:$FB,4)</f>
        <v>261.25</v>
      </c>
      <c r="E127" s="50">
        <f t="shared" si="3"/>
        <v>-1.6000000000000025</v>
      </c>
      <c r="F127" s="49">
        <f>VLOOKUP($A127,'Data shares'!$C:$FB,98)</f>
        <v>101608664</v>
      </c>
      <c r="G127" s="49">
        <f>VLOOKUP($A127,'Data shares'!$C:$FB,99)</f>
        <v>98864534</v>
      </c>
      <c r="H127" s="50">
        <f t="shared" si="4"/>
        <v>2.7756465225436657</v>
      </c>
      <c r="I127" s="49">
        <f>VLOOKUP($A127,'Data shares'!$C:$FB,66)</f>
        <v>68112430</v>
      </c>
      <c r="J127" s="49">
        <f>VLOOKUP($A127,'Data shares'!$C:$FB,67)</f>
        <v>41175336</v>
      </c>
      <c r="K127" s="50">
        <f t="shared" si="5"/>
        <v>39.547985587946286</v>
      </c>
      <c r="L127" s="50">
        <f>VLOOKUP($A127,'Data shares'!$C:$FB,118)</f>
        <v>0.88</v>
      </c>
      <c r="M127" s="50">
        <f>VLOOKUP($A127,'Data shares'!$C:$FB,119)</f>
        <v>0.91</v>
      </c>
      <c r="N127" s="50">
        <f>VLOOKUP($A127,'Data shares'!$C:$FB,121)*100</f>
        <v>-3.3000000000000003</v>
      </c>
      <c r="O127" s="50">
        <f>VLOOKUP($A127,'Data shares'!$C:$FB,124)</f>
        <v>0.75</v>
      </c>
      <c r="P127" s="50">
        <f>VLOOKUP($A127,'Data shares'!$C:$FB,125)</f>
        <v>0.8</v>
      </c>
      <c r="Q127" s="50">
        <f>VLOOKUP($A127,'Data shares'!$C:$FB,127)*100</f>
        <v>-6.25</v>
      </c>
    </row>
    <row r="128" spans="1:17" x14ac:dyDescent="0.25">
      <c r="A128" s="97" t="str">
        <f>'Data Vlaue (Cr)'!C123</f>
        <v>LTIM</v>
      </c>
      <c r="B128" s="140">
        <f>VLOOKUP($A128,'Data shares'!$C:$FB,7)</f>
        <v>5471.5</v>
      </c>
      <c r="C128" s="140">
        <f>VLOOKUP($A128,'Data shares'!$C:$FB,3)</f>
        <v>5481</v>
      </c>
      <c r="D128" s="140">
        <f>VLOOKUP($A128,'Data shares'!$C:$FB,4)</f>
        <v>5443.5</v>
      </c>
      <c r="E128" s="50">
        <f t="shared" si="3"/>
        <v>0.6888950124001102</v>
      </c>
      <c r="F128" s="49">
        <f>VLOOKUP($A128,'Data shares'!$C:$FB,98)</f>
        <v>4181400</v>
      </c>
      <c r="G128" s="49">
        <f>VLOOKUP($A128,'Data shares'!$C:$FB,99)</f>
        <v>4060650</v>
      </c>
      <c r="H128" s="50">
        <f t="shared" si="4"/>
        <v>2.9736618521665252</v>
      </c>
      <c r="I128" s="49">
        <f>VLOOKUP($A128,'Data shares'!$C:$FB,66)</f>
        <v>3911250</v>
      </c>
      <c r="J128" s="49">
        <f>VLOOKUP($A128,'Data shares'!$C:$FB,67)</f>
        <v>3083250</v>
      </c>
      <c r="K128" s="50">
        <f t="shared" si="5"/>
        <v>21.169702780441035</v>
      </c>
      <c r="L128" s="50">
        <f>VLOOKUP($A128,'Data shares'!$C:$FB,118)</f>
        <v>0.73</v>
      </c>
      <c r="M128" s="50">
        <f>VLOOKUP($A128,'Data shares'!$C:$FB,119)</f>
        <v>0.72</v>
      </c>
      <c r="N128" s="50">
        <f>VLOOKUP($A128,'Data shares'!$C:$FB,121)*100</f>
        <v>1.39</v>
      </c>
      <c r="O128" s="50">
        <f>VLOOKUP($A128,'Data shares'!$C:$FB,124)</f>
        <v>0.54</v>
      </c>
      <c r="P128" s="50">
        <f>VLOOKUP($A128,'Data shares'!$C:$FB,125)</f>
        <v>0.44</v>
      </c>
      <c r="Q128" s="50">
        <f>VLOOKUP($A128,'Data shares'!$C:$FB,127)*100</f>
        <v>22.73</v>
      </c>
    </row>
    <row r="129" spans="1:17" x14ac:dyDescent="0.25">
      <c r="A129" s="97" t="str">
        <f>'Data Vlaue (Cr)'!C124</f>
        <v>LUPIN</v>
      </c>
      <c r="B129" s="140">
        <f>VLOOKUP($A129,'Data shares'!$C:$FB,7)</f>
        <v>1959.3</v>
      </c>
      <c r="C129" s="140">
        <f>VLOOKUP($A129,'Data shares'!$C:$FB,3)</f>
        <v>1969.9</v>
      </c>
      <c r="D129" s="140">
        <f>VLOOKUP($A129,'Data shares'!$C:$FB,4)</f>
        <v>1968.2</v>
      </c>
      <c r="E129" s="50">
        <f t="shared" si="3"/>
        <v>8.6373336043087362E-2</v>
      </c>
      <c r="F129" s="49">
        <f>VLOOKUP($A129,'Data shares'!$C:$FB,98)</f>
        <v>16891200</v>
      </c>
      <c r="G129" s="49">
        <f>VLOOKUP($A129,'Data shares'!$C:$FB,99)</f>
        <v>16978325</v>
      </c>
      <c r="H129" s="50">
        <f t="shared" si="4"/>
        <v>-0.51315427169641292</v>
      </c>
      <c r="I129" s="49">
        <f>VLOOKUP($A129,'Data shares'!$C:$FB,66)</f>
        <v>12055125</v>
      </c>
      <c r="J129" s="49">
        <f>VLOOKUP($A129,'Data shares'!$C:$FB,67)</f>
        <v>30789550</v>
      </c>
      <c r="K129" s="50">
        <f t="shared" si="5"/>
        <v>-155.40631059404194</v>
      </c>
      <c r="L129" s="50">
        <f>VLOOKUP($A129,'Data shares'!$C:$FB,118)</f>
        <v>0.68</v>
      </c>
      <c r="M129" s="50">
        <f>VLOOKUP($A129,'Data shares'!$C:$FB,119)</f>
        <v>0.67</v>
      </c>
      <c r="N129" s="50">
        <f>VLOOKUP($A129,'Data shares'!$C:$FB,121)*100</f>
        <v>1.49</v>
      </c>
      <c r="O129" s="50">
        <f>VLOOKUP($A129,'Data shares'!$C:$FB,124)</f>
        <v>0.41</v>
      </c>
      <c r="P129" s="50">
        <f>VLOOKUP($A129,'Data shares'!$C:$FB,125)</f>
        <v>0.35</v>
      </c>
      <c r="Q129" s="50">
        <f>VLOOKUP($A129,'Data shares'!$C:$FB,127)*100</f>
        <v>17.14</v>
      </c>
    </row>
    <row r="130" spans="1:17" x14ac:dyDescent="0.25">
      <c r="A130" s="97" t="str">
        <f>'Data Vlaue (Cr)'!C125</f>
        <v>M&amp;M</v>
      </c>
      <c r="B130" s="140">
        <f>VLOOKUP($A130,'Data shares'!$C:$FB,7)</f>
        <v>3454.9</v>
      </c>
      <c r="C130" s="140">
        <f>VLOOKUP($A130,'Data shares'!$C:$FB,3)</f>
        <v>3473.1</v>
      </c>
      <c r="D130" s="140">
        <f>VLOOKUP($A130,'Data shares'!$C:$FB,4)</f>
        <v>3453.2</v>
      </c>
      <c r="E130" s="50">
        <f t="shared" si="3"/>
        <v>0.57627707633499625</v>
      </c>
      <c r="F130" s="49">
        <f>VLOOKUP($A130,'Data shares'!$C:$FB,98)</f>
        <v>29538800</v>
      </c>
      <c r="G130" s="49">
        <f>VLOOKUP($A130,'Data shares'!$C:$FB,99)</f>
        <v>29254400</v>
      </c>
      <c r="H130" s="50">
        <f t="shared" si="4"/>
        <v>0.97216145263618459</v>
      </c>
      <c r="I130" s="49">
        <f>VLOOKUP($A130,'Data shares'!$C:$FB,66)</f>
        <v>11479800</v>
      </c>
      <c r="J130" s="49">
        <f>VLOOKUP($A130,'Data shares'!$C:$FB,67)</f>
        <v>11759600</v>
      </c>
      <c r="K130" s="50">
        <f t="shared" si="5"/>
        <v>-2.437324692067806</v>
      </c>
      <c r="L130" s="50">
        <f>VLOOKUP($A130,'Data shares'!$C:$FB,118)</f>
        <v>0.51</v>
      </c>
      <c r="M130" s="50">
        <f>VLOOKUP($A130,'Data shares'!$C:$FB,119)</f>
        <v>0.5</v>
      </c>
      <c r="N130" s="50">
        <f>VLOOKUP($A130,'Data shares'!$C:$FB,121)*100</f>
        <v>2</v>
      </c>
      <c r="O130" s="50">
        <f>VLOOKUP($A130,'Data shares'!$C:$FB,124)</f>
        <v>0.36</v>
      </c>
      <c r="P130" s="50">
        <f>VLOOKUP($A130,'Data shares'!$C:$FB,125)</f>
        <v>0.45</v>
      </c>
      <c r="Q130" s="50">
        <f>VLOOKUP($A130,'Data shares'!$C:$FB,127)*100</f>
        <v>-20</v>
      </c>
    </row>
    <row r="131" spans="1:17" x14ac:dyDescent="0.25">
      <c r="A131" s="97" t="str">
        <f>'Data Vlaue (Cr)'!C126</f>
        <v>MANAPPURAM</v>
      </c>
      <c r="B131" s="140">
        <f>VLOOKUP($A131,'Data shares'!$C:$FB,7)</f>
        <v>284.75</v>
      </c>
      <c r="C131" s="140">
        <f>VLOOKUP($A131,'Data shares'!$C:$FB,3)</f>
        <v>286.39999999999998</v>
      </c>
      <c r="D131" s="140">
        <f>VLOOKUP($A131,'Data shares'!$C:$FB,4)</f>
        <v>295.10000000000002</v>
      </c>
      <c r="E131" s="50">
        <f t="shared" si="3"/>
        <v>-2.9481531684175009</v>
      </c>
      <c r="F131" s="49">
        <f>VLOOKUP($A131,'Data shares'!$C:$FB,98)</f>
        <v>49566000</v>
      </c>
      <c r="G131" s="49">
        <f>VLOOKUP($A131,'Data shares'!$C:$FB,99)</f>
        <v>43380000</v>
      </c>
      <c r="H131" s="50">
        <f t="shared" si="4"/>
        <v>14.260027662517288</v>
      </c>
      <c r="I131" s="49">
        <f>VLOOKUP($A131,'Data shares'!$C:$FB,66)</f>
        <v>50283000</v>
      </c>
      <c r="J131" s="49">
        <f>VLOOKUP($A131,'Data shares'!$C:$FB,67)</f>
        <v>18456000</v>
      </c>
      <c r="K131" s="50">
        <f t="shared" si="5"/>
        <v>63.295746077203027</v>
      </c>
      <c r="L131" s="50">
        <f>VLOOKUP($A131,'Data shares'!$C:$FB,118)</f>
        <v>0.63</v>
      </c>
      <c r="M131" s="50">
        <f>VLOOKUP($A131,'Data shares'!$C:$FB,119)</f>
        <v>0.63</v>
      </c>
      <c r="N131" s="50">
        <f>VLOOKUP($A131,'Data shares'!$C:$FB,121)*100</f>
        <v>0</v>
      </c>
      <c r="O131" s="50">
        <f>VLOOKUP($A131,'Data shares'!$C:$FB,124)</f>
        <v>0.5</v>
      </c>
      <c r="P131" s="50">
        <f>VLOOKUP($A131,'Data shares'!$C:$FB,125)</f>
        <v>0.53</v>
      </c>
      <c r="Q131" s="50">
        <f>VLOOKUP($A131,'Data shares'!$C:$FB,127)*100</f>
        <v>-5.66</v>
      </c>
    </row>
    <row r="132" spans="1:17" x14ac:dyDescent="0.25">
      <c r="A132" s="97" t="str">
        <f>'Data Vlaue (Cr)'!C127</f>
        <v>MANKIND</v>
      </c>
      <c r="B132" s="140">
        <f>VLOOKUP($A132,'Data shares'!$C:$FB,7)</f>
        <v>2459.9</v>
      </c>
      <c r="C132" s="140">
        <f>VLOOKUP($A132,'Data shares'!$C:$FB,3)</f>
        <v>2465</v>
      </c>
      <c r="D132" s="140">
        <f>VLOOKUP($A132,'Data shares'!$C:$FB,4)</f>
        <v>2483.5</v>
      </c>
      <c r="E132" s="50">
        <f t="shared" si="3"/>
        <v>-0.74491644856049932</v>
      </c>
      <c r="F132" s="49">
        <f>VLOOKUP($A132,'Data shares'!$C:$FB,98)</f>
        <v>2727900</v>
      </c>
      <c r="G132" s="49">
        <f>VLOOKUP($A132,'Data shares'!$C:$FB,99)</f>
        <v>2578275</v>
      </c>
      <c r="H132" s="50">
        <f t="shared" si="4"/>
        <v>5.8032987171655472</v>
      </c>
      <c r="I132" s="49">
        <f>VLOOKUP($A132,'Data shares'!$C:$FB,66)</f>
        <v>1429650</v>
      </c>
      <c r="J132" s="49">
        <f>VLOOKUP($A132,'Data shares'!$C:$FB,67)</f>
        <v>949950</v>
      </c>
      <c r="K132" s="50">
        <f t="shared" si="5"/>
        <v>33.553666981429018</v>
      </c>
      <c r="L132" s="50">
        <f>VLOOKUP($A132,'Data shares'!$C:$FB,118)</f>
        <v>0.49</v>
      </c>
      <c r="M132" s="50">
        <f>VLOOKUP($A132,'Data shares'!$C:$FB,119)</f>
        <v>0.56000000000000005</v>
      </c>
      <c r="N132" s="50">
        <f>VLOOKUP($A132,'Data shares'!$C:$FB,121)*100</f>
        <v>-12.5</v>
      </c>
      <c r="O132" s="50">
        <f>VLOOKUP($A132,'Data shares'!$C:$FB,124)</f>
        <v>0.2</v>
      </c>
      <c r="P132" s="50">
        <f>VLOOKUP($A132,'Data shares'!$C:$FB,125)</f>
        <v>0.27</v>
      </c>
      <c r="Q132" s="50">
        <f>VLOOKUP($A132,'Data shares'!$C:$FB,127)*100</f>
        <v>-25.929999999999996</v>
      </c>
    </row>
    <row r="133" spans="1:17" x14ac:dyDescent="0.25">
      <c r="A133" s="97" t="str">
        <f>'Data Vlaue (Cr)'!C128</f>
        <v>MARICO</v>
      </c>
      <c r="B133" s="140">
        <f>VLOOKUP($A133,'Data shares'!$C:$FB,7)</f>
        <v>714.3</v>
      </c>
      <c r="C133" s="140">
        <f>VLOOKUP($A133,'Data shares'!$C:$FB,3)</f>
        <v>718.15</v>
      </c>
      <c r="D133" s="140">
        <f>VLOOKUP($A133,'Data shares'!$C:$FB,4)</f>
        <v>718.25</v>
      </c>
      <c r="E133" s="50">
        <f t="shared" si="3"/>
        <v>-1.3922728854858717E-2</v>
      </c>
      <c r="F133" s="49">
        <f>VLOOKUP($A133,'Data shares'!$C:$FB,98)</f>
        <v>33824400</v>
      </c>
      <c r="G133" s="49">
        <f>VLOOKUP($A133,'Data shares'!$C:$FB,99)</f>
        <v>34164000</v>
      </c>
      <c r="H133" s="50">
        <f t="shared" si="4"/>
        <v>-0.99402880224798029</v>
      </c>
      <c r="I133" s="49">
        <f>VLOOKUP($A133,'Data shares'!$C:$FB,66)</f>
        <v>5310000</v>
      </c>
      <c r="J133" s="49">
        <f>VLOOKUP($A133,'Data shares'!$C:$FB,67)</f>
        <v>7302000</v>
      </c>
      <c r="K133" s="50">
        <f t="shared" si="5"/>
        <v>-37.514124293785315</v>
      </c>
      <c r="L133" s="50">
        <f>VLOOKUP($A133,'Data shares'!$C:$FB,118)</f>
        <v>0.66</v>
      </c>
      <c r="M133" s="50">
        <f>VLOOKUP($A133,'Data shares'!$C:$FB,119)</f>
        <v>0.68</v>
      </c>
      <c r="N133" s="50">
        <f>VLOOKUP($A133,'Data shares'!$C:$FB,121)*100</f>
        <v>-2.94</v>
      </c>
      <c r="O133" s="50">
        <f>VLOOKUP($A133,'Data shares'!$C:$FB,124)</f>
        <v>0.46</v>
      </c>
      <c r="P133" s="50">
        <f>VLOOKUP($A133,'Data shares'!$C:$FB,125)</f>
        <v>0.44</v>
      </c>
      <c r="Q133" s="50">
        <f>VLOOKUP($A133,'Data shares'!$C:$FB,127)*100</f>
        <v>4.55</v>
      </c>
    </row>
    <row r="134" spans="1:17" x14ac:dyDescent="0.25">
      <c r="A134" s="97" t="str">
        <f>'Data Vlaue (Cr)'!C129</f>
        <v>MARUTI</v>
      </c>
      <c r="B134" s="140">
        <f>VLOOKUP($A134,'Data shares'!$C:$FB,7)</f>
        <v>16265</v>
      </c>
      <c r="C134" s="140">
        <f>VLOOKUP($A134,'Data shares'!$C:$FB,3)</f>
        <v>16349</v>
      </c>
      <c r="D134" s="140">
        <f>VLOOKUP($A134,'Data shares'!$C:$FB,4)</f>
        <v>16004</v>
      </c>
      <c r="E134" s="50">
        <f t="shared" si="3"/>
        <v>2.1557110722319419</v>
      </c>
      <c r="F134" s="49">
        <f>VLOOKUP($A134,'Data shares'!$C:$FB,98)</f>
        <v>7376300</v>
      </c>
      <c r="G134" s="49">
        <f>VLOOKUP($A134,'Data shares'!$C:$FB,99)</f>
        <v>7032000</v>
      </c>
      <c r="H134" s="50">
        <f t="shared" si="4"/>
        <v>4.8961888509670075</v>
      </c>
      <c r="I134" s="49">
        <f>VLOOKUP($A134,'Data shares'!$C:$FB,66)</f>
        <v>11902000</v>
      </c>
      <c r="J134" s="49">
        <f>VLOOKUP($A134,'Data shares'!$C:$FB,67)</f>
        <v>5420550</v>
      </c>
      <c r="K134" s="50">
        <f t="shared" si="5"/>
        <v>54.456813980843556</v>
      </c>
      <c r="L134" s="50">
        <f>VLOOKUP($A134,'Data shares'!$C:$FB,118)</f>
        <v>0.62</v>
      </c>
      <c r="M134" s="50">
        <f>VLOOKUP($A134,'Data shares'!$C:$FB,119)</f>
        <v>0.5</v>
      </c>
      <c r="N134" s="50">
        <f>VLOOKUP($A134,'Data shares'!$C:$FB,121)*100</f>
        <v>24</v>
      </c>
      <c r="O134" s="50">
        <f>VLOOKUP($A134,'Data shares'!$C:$FB,124)</f>
        <v>0.37</v>
      </c>
      <c r="P134" s="50">
        <f>VLOOKUP($A134,'Data shares'!$C:$FB,125)</f>
        <v>0.56999999999999995</v>
      </c>
      <c r="Q134" s="50">
        <f>VLOOKUP($A134,'Data shares'!$C:$FB,127)*100</f>
        <v>-35.089999999999996</v>
      </c>
    </row>
    <row r="135" spans="1:17" x14ac:dyDescent="0.25">
      <c r="A135" s="97" t="str">
        <f>'Data Vlaue (Cr)'!C130</f>
        <v>MAXHEALTH</v>
      </c>
      <c r="B135" s="140">
        <f>VLOOKUP($A135,'Data shares'!$C:$FB,7)</f>
        <v>1156.4000000000001</v>
      </c>
      <c r="C135" s="140">
        <f>VLOOKUP($A135,'Data shares'!$C:$FB,3)</f>
        <v>1159.4000000000001</v>
      </c>
      <c r="D135" s="140">
        <f>VLOOKUP($A135,'Data shares'!$C:$FB,4)</f>
        <v>1159.2</v>
      </c>
      <c r="E135" s="50">
        <f t="shared" si="3"/>
        <v>1.7253278122847264E-2</v>
      </c>
      <c r="F135" s="49">
        <f>VLOOKUP($A135,'Data shares'!$C:$FB,98)</f>
        <v>22640625</v>
      </c>
      <c r="G135" s="49">
        <f>VLOOKUP($A135,'Data shares'!$C:$FB,99)</f>
        <v>22761375</v>
      </c>
      <c r="H135" s="50">
        <f t="shared" si="4"/>
        <v>-0.53050397877984079</v>
      </c>
      <c r="I135" s="49">
        <f>VLOOKUP($A135,'Data shares'!$C:$FB,66)</f>
        <v>6660150</v>
      </c>
      <c r="J135" s="49">
        <f>VLOOKUP($A135,'Data shares'!$C:$FB,67)</f>
        <v>10567725</v>
      </c>
      <c r="K135" s="50">
        <f t="shared" si="5"/>
        <v>-58.670975878921652</v>
      </c>
      <c r="L135" s="50">
        <f>VLOOKUP($A135,'Data shares'!$C:$FB,118)</f>
        <v>0.89</v>
      </c>
      <c r="M135" s="50">
        <f>VLOOKUP($A135,'Data shares'!$C:$FB,119)</f>
        <v>0.9</v>
      </c>
      <c r="N135" s="50">
        <f>VLOOKUP($A135,'Data shares'!$C:$FB,121)*100</f>
        <v>-1.1100000000000001</v>
      </c>
      <c r="O135" s="50">
        <f>VLOOKUP($A135,'Data shares'!$C:$FB,124)</f>
        <v>0.73</v>
      </c>
      <c r="P135" s="50">
        <f>VLOOKUP($A135,'Data shares'!$C:$FB,125)</f>
        <v>0.52</v>
      </c>
      <c r="Q135" s="50">
        <f>VLOOKUP($A135,'Data shares'!$C:$FB,127)*100</f>
        <v>40.380000000000003</v>
      </c>
    </row>
    <row r="136" spans="1:17" x14ac:dyDescent="0.25">
      <c r="A136" s="97" t="str">
        <f>'Data Vlaue (Cr)'!C131</f>
        <v>MAZDOCK</v>
      </c>
      <c r="B136" s="140">
        <f>VLOOKUP($A136,'Data shares'!$C:$FB,7)</f>
        <v>2870.1</v>
      </c>
      <c r="C136" s="140">
        <f>VLOOKUP($A136,'Data shares'!$C:$FB,3)</f>
        <v>2876.6</v>
      </c>
      <c r="D136" s="140">
        <f>VLOOKUP($A136,'Data shares'!$C:$FB,4)</f>
        <v>2904.1</v>
      </c>
      <c r="E136" s="50">
        <f t="shared" ref="E136:E172" si="6">(C136-D136)/D136*100</f>
        <v>-0.94693708894321815</v>
      </c>
      <c r="F136" s="49">
        <f>VLOOKUP($A136,'Data shares'!$C:$FB,98)</f>
        <v>7524300</v>
      </c>
      <c r="G136" s="49">
        <f>VLOOKUP($A136,'Data shares'!$C:$FB,99)</f>
        <v>6917050</v>
      </c>
      <c r="H136" s="50">
        <f t="shared" ref="H136:H172" si="7">(F136-G136)/G136*100</f>
        <v>8.7790315235541172</v>
      </c>
      <c r="I136" s="49">
        <f>VLOOKUP($A136,'Data shares'!$C:$FB,66)</f>
        <v>5048750</v>
      </c>
      <c r="J136" s="49">
        <f>VLOOKUP($A136,'Data shares'!$C:$FB,67)</f>
        <v>4709600</v>
      </c>
      <c r="K136" s="50">
        <f t="shared" ref="K136:K172" si="8">(I136-J136)/I136*100</f>
        <v>6.7175043327556319</v>
      </c>
      <c r="L136" s="50">
        <f>VLOOKUP($A136,'Data shares'!$C:$FB,118)</f>
        <v>0.56000000000000005</v>
      </c>
      <c r="M136" s="50">
        <f>VLOOKUP($A136,'Data shares'!$C:$FB,119)</f>
        <v>0.59</v>
      </c>
      <c r="N136" s="50">
        <f>VLOOKUP($A136,'Data shares'!$C:$FB,121)*100</f>
        <v>-5.08</v>
      </c>
      <c r="O136" s="50">
        <f>VLOOKUP($A136,'Data shares'!$C:$FB,124)</f>
        <v>0.32</v>
      </c>
      <c r="P136" s="50">
        <f>VLOOKUP($A136,'Data shares'!$C:$FB,125)</f>
        <v>0.34</v>
      </c>
      <c r="Q136" s="50">
        <f>VLOOKUP($A136,'Data shares'!$C:$FB,127)*100</f>
        <v>-5.88</v>
      </c>
    </row>
    <row r="137" spans="1:17" x14ac:dyDescent="0.25">
      <c r="A137" s="97" t="str">
        <f>'Data Vlaue (Cr)'!C132</f>
        <v>MCX</v>
      </c>
      <c r="B137" s="140">
        <f>VLOOKUP($A137,'Data shares'!$C:$FB,7)</f>
        <v>8688.5</v>
      </c>
      <c r="C137" s="140">
        <f>VLOOKUP($A137,'Data shares'!$C:$FB,3)</f>
        <v>8719.5</v>
      </c>
      <c r="D137" s="140">
        <f>VLOOKUP($A137,'Data shares'!$C:$FB,4)</f>
        <v>8750.5</v>
      </c>
      <c r="E137" s="50">
        <f t="shared" si="6"/>
        <v>-0.35426547054454033</v>
      </c>
      <c r="F137" s="49">
        <f>VLOOKUP($A137,'Data shares'!$C:$FB,98)</f>
        <v>6399000</v>
      </c>
      <c r="G137" s="49">
        <f>VLOOKUP($A137,'Data shares'!$C:$FB,99)</f>
        <v>5902375</v>
      </c>
      <c r="H137" s="50">
        <f t="shared" si="7"/>
        <v>8.4139858955081639</v>
      </c>
      <c r="I137" s="49">
        <f>VLOOKUP($A137,'Data shares'!$C:$FB,66)</f>
        <v>14573250</v>
      </c>
      <c r="J137" s="49">
        <f>VLOOKUP($A137,'Data shares'!$C:$FB,67)</f>
        <v>23832500</v>
      </c>
      <c r="K137" s="50">
        <f t="shared" si="8"/>
        <v>-63.535930557699892</v>
      </c>
      <c r="L137" s="50">
        <f>VLOOKUP($A137,'Data shares'!$C:$FB,118)</f>
        <v>0.82</v>
      </c>
      <c r="M137" s="50">
        <f>VLOOKUP($A137,'Data shares'!$C:$FB,119)</f>
        <v>0.96</v>
      </c>
      <c r="N137" s="50">
        <f>VLOOKUP($A137,'Data shares'!$C:$FB,121)*100</f>
        <v>-14.580000000000002</v>
      </c>
      <c r="O137" s="50">
        <f>VLOOKUP($A137,'Data shares'!$C:$FB,124)</f>
        <v>0.44</v>
      </c>
      <c r="P137" s="50">
        <f>VLOOKUP($A137,'Data shares'!$C:$FB,125)</f>
        <v>0.46</v>
      </c>
      <c r="Q137" s="50">
        <f>VLOOKUP($A137,'Data shares'!$C:$FB,127)*100</f>
        <v>-4.3499999999999996</v>
      </c>
    </row>
    <row r="138" spans="1:17" x14ac:dyDescent="0.25">
      <c r="A138" s="97" t="str">
        <f>'Data Vlaue (Cr)'!C133</f>
        <v>MFSL</v>
      </c>
      <c r="B138" s="140">
        <f>VLOOKUP($A138,'Data shares'!$C:$FB,7)</f>
        <v>1581.7</v>
      </c>
      <c r="C138" s="140">
        <f>VLOOKUP($A138,'Data shares'!$C:$FB,3)</f>
        <v>1590.1</v>
      </c>
      <c r="D138" s="140">
        <f>VLOOKUP($A138,'Data shares'!$C:$FB,4)</f>
        <v>1601.4</v>
      </c>
      <c r="E138" s="50">
        <f t="shared" si="6"/>
        <v>-0.70563257149994885</v>
      </c>
      <c r="F138" s="49">
        <f>VLOOKUP($A138,'Data shares'!$C:$FB,98)</f>
        <v>7903200</v>
      </c>
      <c r="G138" s="49">
        <f>VLOOKUP($A138,'Data shares'!$C:$FB,99)</f>
        <v>7742400</v>
      </c>
      <c r="H138" s="50">
        <f t="shared" si="7"/>
        <v>2.0768753874767514</v>
      </c>
      <c r="I138" s="49">
        <f>VLOOKUP($A138,'Data shares'!$C:$FB,66)</f>
        <v>2268000</v>
      </c>
      <c r="J138" s="49">
        <f>VLOOKUP($A138,'Data shares'!$C:$FB,67)</f>
        <v>2904000</v>
      </c>
      <c r="K138" s="50">
        <f t="shared" si="8"/>
        <v>-28.042328042328041</v>
      </c>
      <c r="L138" s="50">
        <f>VLOOKUP($A138,'Data shares'!$C:$FB,118)</f>
        <v>0.62</v>
      </c>
      <c r="M138" s="50">
        <f>VLOOKUP($A138,'Data shares'!$C:$FB,119)</f>
        <v>0.65</v>
      </c>
      <c r="N138" s="50">
        <f>VLOOKUP($A138,'Data shares'!$C:$FB,121)*100</f>
        <v>-4.62</v>
      </c>
      <c r="O138" s="50">
        <f>VLOOKUP($A138,'Data shares'!$C:$FB,124)</f>
        <v>0.35</v>
      </c>
      <c r="P138" s="50">
        <f>VLOOKUP($A138,'Data shares'!$C:$FB,125)</f>
        <v>0.45</v>
      </c>
      <c r="Q138" s="50">
        <f>VLOOKUP($A138,'Data shares'!$C:$FB,127)*100</f>
        <v>-22.220000000000002</v>
      </c>
    </row>
    <row r="139" spans="1:17" x14ac:dyDescent="0.25">
      <c r="A139" s="97" t="str">
        <f>'Data Vlaue (Cr)'!C134</f>
        <v>MIDCPNIFTY</v>
      </c>
      <c r="B139" s="140">
        <f>VLOOKUP($A139,'Data shares'!$C:$FB,7)</f>
        <v>13149.55</v>
      </c>
      <c r="C139" s="140">
        <f>VLOOKUP($A139,'Data shares'!$C:$FB,3)</f>
        <v>13216.55</v>
      </c>
      <c r="D139" s="140">
        <f>VLOOKUP($A139,'Data shares'!$C:$FB,4)</f>
        <v>13100.75</v>
      </c>
      <c r="E139" s="50">
        <f t="shared" si="6"/>
        <v>0.8839188596072689</v>
      </c>
      <c r="F139" s="49">
        <f>VLOOKUP($A139,'Data shares'!$C:$FB,98)</f>
        <v>16360540</v>
      </c>
      <c r="G139" s="49">
        <f>VLOOKUP($A139,'Data shares'!$C:$FB,99)</f>
        <v>15940680</v>
      </c>
      <c r="H139" s="50">
        <f t="shared" si="7"/>
        <v>2.6338901477226817</v>
      </c>
      <c r="I139" s="49">
        <f>VLOOKUP($A139,'Data shares'!$C:$FB,66)</f>
        <v>35642740</v>
      </c>
      <c r="J139" s="49">
        <f>VLOOKUP($A139,'Data shares'!$C:$FB,67)</f>
        <v>27569780</v>
      </c>
      <c r="K139" s="50">
        <f t="shared" si="8"/>
        <v>22.64966161411833</v>
      </c>
      <c r="L139" s="50">
        <f>VLOOKUP($A139,'Data shares'!$C:$FB,118)</f>
        <v>1.29</v>
      </c>
      <c r="M139" s="50">
        <f>VLOOKUP($A139,'Data shares'!$C:$FB,119)</f>
        <v>1.25</v>
      </c>
      <c r="N139" s="50">
        <f>VLOOKUP($A139,'Data shares'!$C:$FB,121)*100</f>
        <v>3.2</v>
      </c>
      <c r="O139" s="50">
        <f>VLOOKUP($A139,'Data shares'!$C:$FB,124)</f>
        <v>1.04</v>
      </c>
      <c r="P139" s="50">
        <f>VLOOKUP($A139,'Data shares'!$C:$FB,125)</f>
        <v>1.1000000000000001</v>
      </c>
      <c r="Q139" s="50">
        <f>VLOOKUP($A139,'Data shares'!$C:$FB,127)*100</f>
        <v>-5.45</v>
      </c>
    </row>
    <row r="140" spans="1:17" x14ac:dyDescent="0.25">
      <c r="A140" s="97" t="str">
        <f>'Data Vlaue (Cr)'!C135</f>
        <v>MOTHERSON</v>
      </c>
      <c r="B140" s="140">
        <f>VLOOKUP($A140,'Data shares'!$C:$FB,7)</f>
        <v>104.1</v>
      </c>
      <c r="C140" s="140">
        <f>VLOOKUP($A140,'Data shares'!$C:$FB,3)</f>
        <v>104.64</v>
      </c>
      <c r="D140" s="140">
        <f>VLOOKUP($A140,'Data shares'!$C:$FB,4)</f>
        <v>103.91</v>
      </c>
      <c r="E140" s="50">
        <f t="shared" si="6"/>
        <v>0.70253103647387549</v>
      </c>
      <c r="F140" s="49">
        <f>VLOOKUP($A140,'Data shares'!$C:$FB,98)</f>
        <v>253872000</v>
      </c>
      <c r="G140" s="49">
        <f>VLOOKUP($A140,'Data shares'!$C:$FB,99)</f>
        <v>251178300</v>
      </c>
      <c r="H140" s="50">
        <f t="shared" si="7"/>
        <v>1.0724254443954753</v>
      </c>
      <c r="I140" s="49">
        <f>VLOOKUP($A140,'Data shares'!$C:$FB,66)</f>
        <v>84187350</v>
      </c>
      <c r="J140" s="49">
        <f>VLOOKUP($A140,'Data shares'!$C:$FB,67)</f>
        <v>100626300</v>
      </c>
      <c r="K140" s="50">
        <f t="shared" si="8"/>
        <v>-19.526627218934912</v>
      </c>
      <c r="L140" s="50">
        <f>VLOOKUP($A140,'Data shares'!$C:$FB,118)</f>
        <v>0.52</v>
      </c>
      <c r="M140" s="50">
        <f>VLOOKUP($A140,'Data shares'!$C:$FB,119)</f>
        <v>0.51</v>
      </c>
      <c r="N140" s="50">
        <f>VLOOKUP($A140,'Data shares'!$C:$FB,121)*100</f>
        <v>1.96</v>
      </c>
      <c r="O140" s="50">
        <f>VLOOKUP($A140,'Data shares'!$C:$FB,124)</f>
        <v>0.28999999999999998</v>
      </c>
      <c r="P140" s="50">
        <f>VLOOKUP($A140,'Data shares'!$C:$FB,125)</f>
        <v>0.48</v>
      </c>
      <c r="Q140" s="50">
        <f>VLOOKUP($A140,'Data shares'!$C:$FB,127)*100</f>
        <v>-39.58</v>
      </c>
    </row>
    <row r="141" spans="1:17" x14ac:dyDescent="0.25">
      <c r="A141" s="97" t="str">
        <f>'Data Vlaue (Cr)'!C136</f>
        <v>MPHASIS</v>
      </c>
      <c r="B141" s="140">
        <f>VLOOKUP($A141,'Data shares'!$C:$FB,7)</f>
        <v>2783.2</v>
      </c>
      <c r="C141" s="140">
        <f>VLOOKUP($A141,'Data shares'!$C:$FB,3)</f>
        <v>2794.9</v>
      </c>
      <c r="D141" s="140">
        <f>VLOOKUP($A141,'Data shares'!$C:$FB,4)</f>
        <v>2822.6</v>
      </c>
      <c r="E141" s="50">
        <f t="shared" si="6"/>
        <v>-0.98136469921348468</v>
      </c>
      <c r="F141" s="49">
        <f>VLOOKUP($A141,'Data shares'!$C:$FB,98)</f>
        <v>5995000</v>
      </c>
      <c r="G141" s="49">
        <f>VLOOKUP($A141,'Data shares'!$C:$FB,99)</f>
        <v>5933400</v>
      </c>
      <c r="H141" s="50">
        <f t="shared" si="7"/>
        <v>1.0381905821282906</v>
      </c>
      <c r="I141" s="49">
        <f>VLOOKUP($A141,'Data shares'!$C:$FB,66)</f>
        <v>2715900</v>
      </c>
      <c r="J141" s="49">
        <f>VLOOKUP($A141,'Data shares'!$C:$FB,67)</f>
        <v>2485175</v>
      </c>
      <c r="K141" s="50">
        <f t="shared" si="8"/>
        <v>8.4953422438234103</v>
      </c>
      <c r="L141" s="50">
        <f>VLOOKUP($A141,'Data shares'!$C:$FB,118)</f>
        <v>0.57999999999999996</v>
      </c>
      <c r="M141" s="50">
        <f>VLOOKUP($A141,'Data shares'!$C:$FB,119)</f>
        <v>0.6</v>
      </c>
      <c r="N141" s="50">
        <f>VLOOKUP($A141,'Data shares'!$C:$FB,121)*100</f>
        <v>-3.3300000000000005</v>
      </c>
      <c r="O141" s="50">
        <f>VLOOKUP($A141,'Data shares'!$C:$FB,124)</f>
        <v>0.48</v>
      </c>
      <c r="P141" s="50">
        <f>VLOOKUP($A141,'Data shares'!$C:$FB,125)</f>
        <v>0.34</v>
      </c>
      <c r="Q141" s="50">
        <f>VLOOKUP($A141,'Data shares'!$C:$FB,127)*100</f>
        <v>41.18</v>
      </c>
    </row>
    <row r="142" spans="1:17" x14ac:dyDescent="0.25">
      <c r="A142" s="97" t="str">
        <f>'Data Vlaue (Cr)'!C137</f>
        <v>MUTHOOTFIN</v>
      </c>
      <c r="B142" s="140">
        <f>VLOOKUP($A142,'Data shares'!$C:$FB,7)</f>
        <v>3156.9</v>
      </c>
      <c r="C142" s="140">
        <f>VLOOKUP($A142,'Data shares'!$C:$FB,3)</f>
        <v>3175</v>
      </c>
      <c r="D142" s="140">
        <f>VLOOKUP($A142,'Data shares'!$C:$FB,4)</f>
        <v>3254.5</v>
      </c>
      <c r="E142" s="50">
        <f t="shared" si="6"/>
        <v>-2.4427715470886464</v>
      </c>
      <c r="F142" s="49">
        <f>VLOOKUP($A142,'Data shares'!$C:$FB,98)</f>
        <v>6306300</v>
      </c>
      <c r="G142" s="49">
        <f>VLOOKUP($A142,'Data shares'!$C:$FB,99)</f>
        <v>6158625</v>
      </c>
      <c r="H142" s="50">
        <f t="shared" si="7"/>
        <v>2.3978566644340256</v>
      </c>
      <c r="I142" s="49">
        <f>VLOOKUP($A142,'Data shares'!$C:$FB,66)</f>
        <v>8173000</v>
      </c>
      <c r="J142" s="49">
        <f>VLOOKUP($A142,'Data shares'!$C:$FB,67)</f>
        <v>3454550</v>
      </c>
      <c r="K142" s="50">
        <f t="shared" si="8"/>
        <v>57.732166890982505</v>
      </c>
      <c r="L142" s="50">
        <f>VLOOKUP($A142,'Data shares'!$C:$FB,118)</f>
        <v>0.62</v>
      </c>
      <c r="M142" s="50">
        <f>VLOOKUP($A142,'Data shares'!$C:$FB,119)</f>
        <v>0.71</v>
      </c>
      <c r="N142" s="50">
        <f>VLOOKUP($A142,'Data shares'!$C:$FB,121)*100</f>
        <v>-12.68</v>
      </c>
      <c r="O142" s="50">
        <f>VLOOKUP($A142,'Data shares'!$C:$FB,124)</f>
        <v>0.63</v>
      </c>
      <c r="P142" s="50">
        <f>VLOOKUP($A142,'Data shares'!$C:$FB,125)</f>
        <v>0.67</v>
      </c>
      <c r="Q142" s="50">
        <f>VLOOKUP($A142,'Data shares'!$C:$FB,127)*100</f>
        <v>-5.9700000000000006</v>
      </c>
    </row>
    <row r="143" spans="1:17" x14ac:dyDescent="0.25">
      <c r="A143" s="97" t="str">
        <f>'Data Vlaue (Cr)'!C138</f>
        <v>NATIONALUM</v>
      </c>
      <c r="B143" s="140">
        <f>VLOOKUP($A143,'Data shares'!$C:$FB,7)</f>
        <v>224.3</v>
      </c>
      <c r="C143" s="140">
        <f>VLOOKUP($A143,'Data shares'!$C:$FB,3)</f>
        <v>225.25</v>
      </c>
      <c r="D143" s="140">
        <f>VLOOKUP($A143,'Data shares'!$C:$FB,4)</f>
        <v>230.75</v>
      </c>
      <c r="E143" s="50">
        <f t="shared" si="6"/>
        <v>-2.3835319609967498</v>
      </c>
      <c r="F143" s="49">
        <f>VLOOKUP($A143,'Data shares'!$C:$FB,98)</f>
        <v>137808750</v>
      </c>
      <c r="G143" s="49">
        <f>VLOOKUP($A143,'Data shares'!$C:$FB,99)</f>
        <v>134790000</v>
      </c>
      <c r="H143" s="50">
        <f t="shared" si="7"/>
        <v>2.2395949254395724</v>
      </c>
      <c r="I143" s="49">
        <f>VLOOKUP($A143,'Data shares'!$C:$FB,66)</f>
        <v>111423750</v>
      </c>
      <c r="J143" s="49">
        <f>VLOOKUP($A143,'Data shares'!$C:$FB,67)</f>
        <v>235893750</v>
      </c>
      <c r="K143" s="50">
        <f t="shared" si="8"/>
        <v>-111.70867970248712</v>
      </c>
      <c r="L143" s="50">
        <f>VLOOKUP($A143,'Data shares'!$C:$FB,118)</f>
        <v>0.79</v>
      </c>
      <c r="M143" s="50">
        <f>VLOOKUP($A143,'Data shares'!$C:$FB,119)</f>
        <v>0.89</v>
      </c>
      <c r="N143" s="50">
        <f>VLOOKUP($A143,'Data shares'!$C:$FB,121)*100</f>
        <v>-11.24</v>
      </c>
      <c r="O143" s="50">
        <f>VLOOKUP($A143,'Data shares'!$C:$FB,124)</f>
        <v>0.54</v>
      </c>
      <c r="P143" s="50">
        <f>VLOOKUP($A143,'Data shares'!$C:$FB,125)</f>
        <v>0.55000000000000004</v>
      </c>
      <c r="Q143" s="50">
        <f>VLOOKUP($A143,'Data shares'!$C:$FB,127)*100</f>
        <v>-1.82</v>
      </c>
    </row>
    <row r="144" spans="1:17" x14ac:dyDescent="0.25">
      <c r="A144" s="97" t="str">
        <f>'Data Vlaue (Cr)'!C139</f>
        <v>NAUKRI</v>
      </c>
      <c r="B144" s="140">
        <f>VLOOKUP($A144,'Data shares'!$C:$FB,7)</f>
        <v>1333.1</v>
      </c>
      <c r="C144" s="140">
        <f>VLOOKUP($A144,'Data shares'!$C:$FB,3)</f>
        <v>1339.4</v>
      </c>
      <c r="D144" s="140">
        <f>VLOOKUP($A144,'Data shares'!$C:$FB,4)</f>
        <v>1351.8</v>
      </c>
      <c r="E144" s="50">
        <f t="shared" si="6"/>
        <v>-0.91729545790796441</v>
      </c>
      <c r="F144" s="49">
        <f>VLOOKUP($A144,'Data shares'!$C:$FB,98)</f>
        <v>13566750</v>
      </c>
      <c r="G144" s="49">
        <f>VLOOKUP($A144,'Data shares'!$C:$FB,99)</f>
        <v>13259250</v>
      </c>
      <c r="H144" s="50">
        <f t="shared" si="7"/>
        <v>2.3191356977204594</v>
      </c>
      <c r="I144" s="49">
        <f>VLOOKUP($A144,'Data shares'!$C:$FB,66)</f>
        <v>3132750</v>
      </c>
      <c r="J144" s="49">
        <f>VLOOKUP($A144,'Data shares'!$C:$FB,67)</f>
        <v>10916625</v>
      </c>
      <c r="K144" s="50">
        <f t="shared" si="8"/>
        <v>-248.46779985635627</v>
      </c>
      <c r="L144" s="50">
        <f>VLOOKUP($A144,'Data shares'!$C:$FB,118)</f>
        <v>0.54</v>
      </c>
      <c r="M144" s="50">
        <f>VLOOKUP($A144,'Data shares'!$C:$FB,119)</f>
        <v>0.56999999999999995</v>
      </c>
      <c r="N144" s="50">
        <f>VLOOKUP($A144,'Data shares'!$C:$FB,121)*100</f>
        <v>-5.26</v>
      </c>
      <c r="O144" s="50">
        <f>VLOOKUP($A144,'Data shares'!$C:$FB,124)</f>
        <v>0.31</v>
      </c>
      <c r="P144" s="50">
        <f>VLOOKUP($A144,'Data shares'!$C:$FB,125)</f>
        <v>0.45</v>
      </c>
      <c r="Q144" s="50">
        <f>VLOOKUP($A144,'Data shares'!$C:$FB,127)*100</f>
        <v>-31.11</v>
      </c>
    </row>
    <row r="145" spans="1:17" x14ac:dyDescent="0.25">
      <c r="A145" s="97" t="str">
        <f>'Data Vlaue (Cr)'!C140</f>
        <v>NBCC</v>
      </c>
      <c r="B145" s="140">
        <f>VLOOKUP($A145,'Data shares'!$C:$FB,7)</f>
        <v>112.66</v>
      </c>
      <c r="C145" s="140">
        <f>VLOOKUP($A145,'Data shares'!$C:$FB,3)</f>
        <v>113.27</v>
      </c>
      <c r="D145" s="140">
        <f>VLOOKUP($A145,'Data shares'!$C:$FB,4)</f>
        <v>114.34</v>
      </c>
      <c r="E145" s="50">
        <f t="shared" si="6"/>
        <v>-0.93580549239112076</v>
      </c>
      <c r="F145" s="49">
        <f>VLOOKUP($A145,'Data shares'!$C:$FB,98)</f>
        <v>105807000</v>
      </c>
      <c r="G145" s="49">
        <f>VLOOKUP($A145,'Data shares'!$C:$FB,99)</f>
        <v>102043500</v>
      </c>
      <c r="H145" s="50">
        <f t="shared" si="7"/>
        <v>3.6881330021020444</v>
      </c>
      <c r="I145" s="49">
        <f>VLOOKUP($A145,'Data shares'!$C:$FB,66)</f>
        <v>53755000</v>
      </c>
      <c r="J145" s="49">
        <f>VLOOKUP($A145,'Data shares'!$C:$FB,67)</f>
        <v>64564500</v>
      </c>
      <c r="K145" s="50">
        <f t="shared" si="8"/>
        <v>-20.108827085852479</v>
      </c>
      <c r="L145" s="50">
        <f>VLOOKUP($A145,'Data shares'!$C:$FB,118)</f>
        <v>0.5</v>
      </c>
      <c r="M145" s="50">
        <f>VLOOKUP($A145,'Data shares'!$C:$FB,119)</f>
        <v>0.45</v>
      </c>
      <c r="N145" s="50">
        <f>VLOOKUP($A145,'Data shares'!$C:$FB,121)*100</f>
        <v>11.110000000000001</v>
      </c>
      <c r="O145" s="50">
        <f>VLOOKUP($A145,'Data shares'!$C:$FB,124)</f>
        <v>0.28999999999999998</v>
      </c>
      <c r="P145" s="50">
        <f>VLOOKUP($A145,'Data shares'!$C:$FB,125)</f>
        <v>0.17</v>
      </c>
      <c r="Q145" s="50">
        <f>VLOOKUP($A145,'Data shares'!$C:$FB,127)*100</f>
        <v>70.59</v>
      </c>
    </row>
    <row r="146" spans="1:17" x14ac:dyDescent="0.25">
      <c r="A146" s="97" t="str">
        <f>'Data Vlaue (Cr)'!C141</f>
        <v>NCC</v>
      </c>
      <c r="B146" s="140">
        <f>VLOOKUP($A146,'Data shares'!$C:$FB,7)</f>
        <v>210.78</v>
      </c>
      <c r="C146" s="140">
        <f>VLOOKUP($A146,'Data shares'!$C:$FB,3)</f>
        <v>211.88</v>
      </c>
      <c r="D146" s="140">
        <f>VLOOKUP($A146,'Data shares'!$C:$FB,4)</f>
        <v>210.94</v>
      </c>
      <c r="E146" s="50">
        <f t="shared" si="6"/>
        <v>0.44562434815587265</v>
      </c>
      <c r="F146" s="49">
        <f>VLOOKUP($A146,'Data shares'!$C:$FB,98)</f>
        <v>28247400</v>
      </c>
      <c r="G146" s="49">
        <f>VLOOKUP($A146,'Data shares'!$C:$FB,99)</f>
        <v>27980100</v>
      </c>
      <c r="H146" s="50">
        <f t="shared" si="7"/>
        <v>0.95532181800636884</v>
      </c>
      <c r="I146" s="49">
        <f>VLOOKUP($A146,'Data shares'!$C:$FB,66)</f>
        <v>9158400</v>
      </c>
      <c r="J146" s="49">
        <f>VLOOKUP($A146,'Data shares'!$C:$FB,67)</f>
        <v>8205300</v>
      </c>
      <c r="K146" s="50">
        <f t="shared" si="8"/>
        <v>10.40683962264151</v>
      </c>
      <c r="L146" s="50">
        <f>VLOOKUP($A146,'Data shares'!$C:$FB,118)</f>
        <v>0.59</v>
      </c>
      <c r="M146" s="50">
        <f>VLOOKUP($A146,'Data shares'!$C:$FB,119)</f>
        <v>0.64</v>
      </c>
      <c r="N146" s="50">
        <f>VLOOKUP($A146,'Data shares'!$C:$FB,121)*100</f>
        <v>-7.8100000000000005</v>
      </c>
      <c r="O146" s="50">
        <f>VLOOKUP($A146,'Data shares'!$C:$FB,124)</f>
        <v>0.27</v>
      </c>
      <c r="P146" s="50">
        <f>VLOOKUP($A146,'Data shares'!$C:$FB,125)</f>
        <v>0.57999999999999996</v>
      </c>
      <c r="Q146" s="50">
        <f>VLOOKUP($A146,'Data shares'!$C:$FB,127)*100</f>
        <v>-53.449999999999996</v>
      </c>
    </row>
    <row r="147" spans="1:17" x14ac:dyDescent="0.25">
      <c r="A147" s="97" t="str">
        <f>'Data Vlaue (Cr)'!C142</f>
        <v>NESTLEIND</v>
      </c>
      <c r="B147" s="140">
        <f>VLOOKUP($A147,'Data shares'!$C:$FB,7)</f>
        <v>1199.5</v>
      </c>
      <c r="C147" s="140">
        <f>VLOOKUP($A147,'Data shares'!$C:$FB,3)</f>
        <v>1202.5999999999999</v>
      </c>
      <c r="D147" s="140">
        <f>VLOOKUP($A147,'Data shares'!$C:$FB,4)</f>
        <v>1191</v>
      </c>
      <c r="E147" s="50">
        <f t="shared" si="6"/>
        <v>0.97397145256086559</v>
      </c>
      <c r="F147" s="49">
        <f>VLOOKUP($A147,'Data shares'!$C:$FB,98)</f>
        <v>24634000</v>
      </c>
      <c r="G147" s="49">
        <f>VLOOKUP($A147,'Data shares'!$C:$FB,99)</f>
        <v>23394500</v>
      </c>
      <c r="H147" s="50">
        <f t="shared" si="7"/>
        <v>5.2982538630874778</v>
      </c>
      <c r="I147" s="49">
        <f>VLOOKUP($A147,'Data shares'!$C:$FB,66)</f>
        <v>8600500</v>
      </c>
      <c r="J147" s="49">
        <f>VLOOKUP($A147,'Data shares'!$C:$FB,67)</f>
        <v>5108000</v>
      </c>
      <c r="K147" s="50">
        <f t="shared" si="8"/>
        <v>40.608104179989532</v>
      </c>
      <c r="L147" s="50">
        <f>VLOOKUP($A147,'Data shares'!$C:$FB,118)</f>
        <v>0.83</v>
      </c>
      <c r="M147" s="50">
        <f>VLOOKUP($A147,'Data shares'!$C:$FB,119)</f>
        <v>0.78</v>
      </c>
      <c r="N147" s="50">
        <f>VLOOKUP($A147,'Data shares'!$C:$FB,121)*100</f>
        <v>6.41</v>
      </c>
      <c r="O147" s="50">
        <f>VLOOKUP($A147,'Data shares'!$C:$FB,124)</f>
        <v>0.53</v>
      </c>
      <c r="P147" s="50">
        <f>VLOOKUP($A147,'Data shares'!$C:$FB,125)</f>
        <v>0.49</v>
      </c>
      <c r="Q147" s="50">
        <f>VLOOKUP($A147,'Data shares'!$C:$FB,127)*100</f>
        <v>8.16</v>
      </c>
    </row>
    <row r="148" spans="1:17" x14ac:dyDescent="0.25">
      <c r="A148" s="97" t="str">
        <f>'Data Vlaue (Cr)'!C143</f>
        <v>NHPC</v>
      </c>
      <c r="B148" s="140">
        <f>VLOOKUP($A148,'Data shares'!$C:$FB,7)</f>
        <v>86.94</v>
      </c>
      <c r="C148" s="140">
        <f>VLOOKUP($A148,'Data shares'!$C:$FB,3)</f>
        <v>87.39</v>
      </c>
      <c r="D148" s="140">
        <f>VLOOKUP($A148,'Data shares'!$C:$FB,4)</f>
        <v>87.16</v>
      </c>
      <c r="E148" s="50">
        <f t="shared" si="6"/>
        <v>0.26388251491510323</v>
      </c>
      <c r="F148" s="49">
        <f>VLOOKUP($A148,'Data shares'!$C:$FB,98)</f>
        <v>73881600</v>
      </c>
      <c r="G148" s="49">
        <f>VLOOKUP($A148,'Data shares'!$C:$FB,99)</f>
        <v>72902400</v>
      </c>
      <c r="H148" s="50">
        <f t="shared" si="7"/>
        <v>1.3431656570977086</v>
      </c>
      <c r="I148" s="49">
        <f>VLOOKUP($A148,'Data shares'!$C:$FB,66)</f>
        <v>18880000</v>
      </c>
      <c r="J148" s="49">
        <f>VLOOKUP($A148,'Data shares'!$C:$FB,67)</f>
        <v>37446400</v>
      </c>
      <c r="K148" s="50">
        <f t="shared" si="8"/>
        <v>-98.33898305084746</v>
      </c>
      <c r="L148" s="50">
        <f>VLOOKUP($A148,'Data shares'!$C:$FB,118)</f>
        <v>0.56000000000000005</v>
      </c>
      <c r="M148" s="50">
        <f>VLOOKUP($A148,'Data shares'!$C:$FB,119)</f>
        <v>0.51</v>
      </c>
      <c r="N148" s="50">
        <f>VLOOKUP($A148,'Data shares'!$C:$FB,121)*100</f>
        <v>9.8000000000000007</v>
      </c>
      <c r="O148" s="50">
        <f>VLOOKUP($A148,'Data shares'!$C:$FB,124)</f>
        <v>0.56000000000000005</v>
      </c>
      <c r="P148" s="50">
        <f>VLOOKUP($A148,'Data shares'!$C:$FB,125)</f>
        <v>0.57999999999999996</v>
      </c>
      <c r="Q148" s="50">
        <f>VLOOKUP($A148,'Data shares'!$C:$FB,127)*100</f>
        <v>-3.45</v>
      </c>
    </row>
    <row r="149" spans="1:17" x14ac:dyDescent="0.25">
      <c r="A149" s="97" t="str">
        <f>'Data Vlaue (Cr)'!C144</f>
        <v>NIFTY</v>
      </c>
      <c r="B149" s="140">
        <f>VLOOKUP($A149,'Data shares'!$C:$FB,7)</f>
        <v>25285.35</v>
      </c>
      <c r="C149" s="140">
        <f>VLOOKUP($A149,'Data shares'!$C:$FB,3)</f>
        <v>25411</v>
      </c>
      <c r="D149" s="140">
        <f>VLOOKUP($A149,'Data shares'!$C:$FB,4)</f>
        <v>25273.8</v>
      </c>
      <c r="E149" s="50">
        <f t="shared" si="6"/>
        <v>0.54285465580957648</v>
      </c>
      <c r="F149" s="49">
        <f>VLOOKUP($A149,'Data shares'!$C:$FB,98)</f>
        <v>576558950</v>
      </c>
      <c r="G149" s="49">
        <f>VLOOKUP($A149,'Data shares'!$C:$FB,99)</f>
        <v>500004875</v>
      </c>
      <c r="H149" s="50">
        <f t="shared" si="7"/>
        <v>15.310665721009221</v>
      </c>
      <c r="I149" s="49">
        <f>VLOOKUP($A149,'Data shares'!$C:$FB,66)</f>
        <v>7373675550</v>
      </c>
      <c r="J149" s="49">
        <f>VLOOKUP($A149,'Data shares'!$C:$FB,67)</f>
        <v>5067031725</v>
      </c>
      <c r="K149" s="50">
        <f t="shared" si="8"/>
        <v>31.282144289627716</v>
      </c>
      <c r="L149" s="50">
        <f>VLOOKUP($A149,'Data shares'!$C:$FB,118)</f>
        <v>1.32</v>
      </c>
      <c r="M149" s="50">
        <f>VLOOKUP($A149,'Data shares'!$C:$FB,119)</f>
        <v>1.06</v>
      </c>
      <c r="N149" s="50">
        <f>VLOOKUP($A149,'Data shares'!$C:$FB,121)*100</f>
        <v>24.529999999999998</v>
      </c>
      <c r="O149" s="50">
        <f>VLOOKUP($A149,'Data shares'!$C:$FB,124)</f>
        <v>0.93</v>
      </c>
      <c r="P149" s="50">
        <f>VLOOKUP($A149,'Data shares'!$C:$FB,125)</f>
        <v>0.89</v>
      </c>
      <c r="Q149" s="50">
        <f>VLOOKUP($A149,'Data shares'!$C:$FB,127)*100</f>
        <v>4.49</v>
      </c>
    </row>
    <row r="150" spans="1:17" x14ac:dyDescent="0.25">
      <c r="A150" s="97" t="str">
        <f>'Data Vlaue (Cr)'!C145</f>
        <v>NIFTYNXT50</v>
      </c>
      <c r="B150" s="140">
        <f>VLOOKUP($A150,'Data shares'!$C:$FB,7)</f>
        <v>68687.25</v>
      </c>
      <c r="C150" s="140">
        <f>VLOOKUP($A150,'Data shares'!$C:$FB,3)</f>
        <v>68958.600000000006</v>
      </c>
      <c r="D150" s="140">
        <f>VLOOKUP($A150,'Data shares'!$C:$FB,4)</f>
        <v>68778</v>
      </c>
      <c r="E150" s="50">
        <f t="shared" si="6"/>
        <v>0.2625839658030269</v>
      </c>
      <c r="F150" s="49">
        <f>VLOOKUP($A150,'Data shares'!$C:$FB,98)</f>
        <v>32350</v>
      </c>
      <c r="G150" s="49">
        <f>VLOOKUP($A150,'Data shares'!$C:$FB,99)</f>
        <v>31650</v>
      </c>
      <c r="H150" s="50">
        <f t="shared" si="7"/>
        <v>2.2116903633491312</v>
      </c>
      <c r="I150" s="49">
        <f>VLOOKUP($A150,'Data shares'!$C:$FB,66)</f>
        <v>16700</v>
      </c>
      <c r="J150" s="49">
        <f>VLOOKUP($A150,'Data shares'!$C:$FB,67)</f>
        <v>10900</v>
      </c>
      <c r="K150" s="50">
        <f t="shared" si="8"/>
        <v>34.730538922155688</v>
      </c>
      <c r="L150" s="50">
        <f>VLOOKUP($A150,'Data shares'!$C:$FB,118)</f>
        <v>0.34</v>
      </c>
      <c r="M150" s="50">
        <f>VLOOKUP($A150,'Data shares'!$C:$FB,119)</f>
        <v>0.44</v>
      </c>
      <c r="N150" s="50">
        <f>VLOOKUP($A150,'Data shares'!$C:$FB,121)*100</f>
        <v>-22.73</v>
      </c>
      <c r="O150" s="50">
        <f>VLOOKUP($A150,'Data shares'!$C:$FB,124)</f>
        <v>0.28000000000000003</v>
      </c>
      <c r="P150" s="50">
        <f>VLOOKUP($A150,'Data shares'!$C:$FB,125)</f>
        <v>0.63</v>
      </c>
      <c r="Q150" s="50">
        <f>VLOOKUP($A150,'Data shares'!$C:$FB,127)*100</f>
        <v>-55.559999999999995</v>
      </c>
    </row>
    <row r="151" spans="1:17" x14ac:dyDescent="0.25">
      <c r="A151" s="97" t="str">
        <f>'Data Vlaue (Cr)'!C146</f>
        <v>NMDC</v>
      </c>
      <c r="B151" s="140">
        <f>VLOOKUP($A151,'Data shares'!$C:$FB,7)</f>
        <v>77.13</v>
      </c>
      <c r="C151" s="140">
        <f>VLOOKUP($A151,'Data shares'!$C:$FB,3)</f>
        <v>77.36</v>
      </c>
      <c r="D151" s="140">
        <f>VLOOKUP($A151,'Data shares'!$C:$FB,4)</f>
        <v>79.11</v>
      </c>
      <c r="E151" s="50">
        <f t="shared" si="6"/>
        <v>-2.2121097206421436</v>
      </c>
      <c r="F151" s="49">
        <f>VLOOKUP($A151,'Data shares'!$C:$FB,98)</f>
        <v>495045000</v>
      </c>
      <c r="G151" s="49">
        <f>VLOOKUP($A151,'Data shares'!$C:$FB,99)</f>
        <v>470677500</v>
      </c>
      <c r="H151" s="50">
        <f t="shared" si="7"/>
        <v>5.1771117166212539</v>
      </c>
      <c r="I151" s="49">
        <f>VLOOKUP($A151,'Data shares'!$C:$FB,66)</f>
        <v>329076000</v>
      </c>
      <c r="J151" s="49">
        <f>VLOOKUP($A151,'Data shares'!$C:$FB,67)</f>
        <v>431757000</v>
      </c>
      <c r="K151" s="50">
        <f t="shared" si="8"/>
        <v>-31.202822448309814</v>
      </c>
      <c r="L151" s="50">
        <f>VLOOKUP($A151,'Data shares'!$C:$FB,118)</f>
        <v>0.56999999999999995</v>
      </c>
      <c r="M151" s="50">
        <f>VLOOKUP($A151,'Data shares'!$C:$FB,119)</f>
        <v>0.69</v>
      </c>
      <c r="N151" s="50">
        <f>VLOOKUP($A151,'Data shares'!$C:$FB,121)*100</f>
        <v>-17.39</v>
      </c>
      <c r="O151" s="50">
        <f>VLOOKUP($A151,'Data shares'!$C:$FB,124)</f>
        <v>0.45</v>
      </c>
      <c r="P151" s="50">
        <f>VLOOKUP($A151,'Data shares'!$C:$FB,125)</f>
        <v>0.46</v>
      </c>
      <c r="Q151" s="50">
        <f>VLOOKUP($A151,'Data shares'!$C:$FB,127)*100</f>
        <v>-2.17</v>
      </c>
    </row>
    <row r="152" spans="1:17" x14ac:dyDescent="0.25">
      <c r="A152" s="97" t="str">
        <f>'Data Vlaue (Cr)'!C147</f>
        <v>NTPC</v>
      </c>
      <c r="B152" s="140">
        <f>VLOOKUP($A152,'Data shares'!$C:$FB,7)</f>
        <v>339.7</v>
      </c>
      <c r="C152" s="140">
        <f>VLOOKUP($A152,'Data shares'!$C:$FB,3)</f>
        <v>340.7</v>
      </c>
      <c r="D152" s="140">
        <f>VLOOKUP($A152,'Data shares'!$C:$FB,4)</f>
        <v>336.6</v>
      </c>
      <c r="E152" s="50">
        <f t="shared" si="6"/>
        <v>1.2180629827688549</v>
      </c>
      <c r="F152" s="49">
        <f>VLOOKUP($A152,'Data shares'!$C:$FB,98)</f>
        <v>153864000</v>
      </c>
      <c r="G152" s="49">
        <f>VLOOKUP($A152,'Data shares'!$C:$FB,99)</f>
        <v>152673000</v>
      </c>
      <c r="H152" s="50">
        <f t="shared" si="7"/>
        <v>0.78009864219606606</v>
      </c>
      <c r="I152" s="49">
        <f>VLOOKUP($A152,'Data shares'!$C:$FB,66)</f>
        <v>96417000</v>
      </c>
      <c r="J152" s="49">
        <f>VLOOKUP($A152,'Data shares'!$C:$FB,67)</f>
        <v>60909000</v>
      </c>
      <c r="K152" s="50">
        <f t="shared" si="8"/>
        <v>36.827530414760886</v>
      </c>
      <c r="L152" s="50">
        <f>VLOOKUP($A152,'Data shares'!$C:$FB,118)</f>
        <v>0.46</v>
      </c>
      <c r="M152" s="50">
        <f>VLOOKUP($A152,'Data shares'!$C:$FB,119)</f>
        <v>0.5</v>
      </c>
      <c r="N152" s="50">
        <f>VLOOKUP($A152,'Data shares'!$C:$FB,121)*100</f>
        <v>-8</v>
      </c>
      <c r="O152" s="50">
        <f>VLOOKUP($A152,'Data shares'!$C:$FB,124)</f>
        <v>0.51</v>
      </c>
      <c r="P152" s="50">
        <f>VLOOKUP($A152,'Data shares'!$C:$FB,125)</f>
        <v>0.46</v>
      </c>
      <c r="Q152" s="50">
        <f>VLOOKUP($A152,'Data shares'!$C:$FB,127)*100</f>
        <v>10.870000000000001</v>
      </c>
    </row>
    <row r="153" spans="1:17" x14ac:dyDescent="0.25">
      <c r="A153" s="97" t="str">
        <f>'Data Vlaue (Cr)'!C148</f>
        <v>NUVAMA</v>
      </c>
      <c r="B153" s="140">
        <f>VLOOKUP($A153,'Data shares'!$C:$FB,7)</f>
        <v>7235.5</v>
      </c>
      <c r="C153" s="140">
        <f>VLOOKUP($A153,'Data shares'!$C:$FB,3)</f>
        <v>7246.5</v>
      </c>
      <c r="D153" s="140">
        <f>VLOOKUP($A153,'Data shares'!$C:$FB,4)</f>
        <v>7170</v>
      </c>
      <c r="E153" s="50">
        <f t="shared" si="6"/>
        <v>1.0669456066945606</v>
      </c>
      <c r="F153" s="49">
        <f>VLOOKUP($A153,'Data shares'!$C:$FB,98)</f>
        <v>846900</v>
      </c>
      <c r="G153" s="49">
        <f>VLOOKUP($A153,'Data shares'!$C:$FB,99)</f>
        <v>762675</v>
      </c>
      <c r="H153" s="50">
        <f t="shared" si="7"/>
        <v>11.043367096076311</v>
      </c>
      <c r="I153" s="49">
        <f>VLOOKUP($A153,'Data shares'!$C:$FB,66)</f>
        <v>909900</v>
      </c>
      <c r="J153" s="49">
        <f>VLOOKUP($A153,'Data shares'!$C:$FB,67)</f>
        <v>638325</v>
      </c>
      <c r="K153" s="50">
        <f t="shared" si="8"/>
        <v>29.846686449060339</v>
      </c>
      <c r="L153" s="50">
        <f>VLOOKUP($A153,'Data shares'!$C:$FB,118)</f>
        <v>1.04</v>
      </c>
      <c r="M153" s="50">
        <f>VLOOKUP($A153,'Data shares'!$C:$FB,119)</f>
        <v>0.96</v>
      </c>
      <c r="N153" s="50">
        <f>VLOOKUP($A153,'Data shares'!$C:$FB,121)*100</f>
        <v>8.33</v>
      </c>
      <c r="O153" s="50">
        <f>VLOOKUP($A153,'Data shares'!$C:$FB,124)</f>
        <v>0.54</v>
      </c>
      <c r="P153" s="50">
        <f>VLOOKUP($A153,'Data shares'!$C:$FB,125)</f>
        <v>0.56999999999999995</v>
      </c>
      <c r="Q153" s="50">
        <f>VLOOKUP($A153,'Data shares'!$C:$FB,127)*100</f>
        <v>-5.26</v>
      </c>
    </row>
    <row r="154" spans="1:17" x14ac:dyDescent="0.25">
      <c r="A154" s="97" t="str">
        <f>'Data Vlaue (Cr)'!C149</f>
        <v>NYKAA</v>
      </c>
      <c r="B154" s="140">
        <f>VLOOKUP($A154,'Data shares'!$C:$FB,7)</f>
        <v>265.19</v>
      </c>
      <c r="C154" s="140">
        <f>VLOOKUP($A154,'Data shares'!$C:$FB,3)</f>
        <v>264.39999999999998</v>
      </c>
      <c r="D154" s="140">
        <f>VLOOKUP($A154,'Data shares'!$C:$FB,4)</f>
        <v>263.38</v>
      </c>
      <c r="E154" s="50">
        <f t="shared" si="6"/>
        <v>0.3872731414685936</v>
      </c>
      <c r="F154" s="49">
        <f>VLOOKUP($A154,'Data shares'!$C:$FB,98)</f>
        <v>92218750</v>
      </c>
      <c r="G154" s="49">
        <f>VLOOKUP($A154,'Data shares'!$C:$FB,99)</f>
        <v>90975000</v>
      </c>
      <c r="H154" s="50">
        <f t="shared" si="7"/>
        <v>1.3671338279747183</v>
      </c>
      <c r="I154" s="49">
        <f>VLOOKUP($A154,'Data shares'!$C:$FB,66)</f>
        <v>51250000</v>
      </c>
      <c r="J154" s="49">
        <f>VLOOKUP($A154,'Data shares'!$C:$FB,67)</f>
        <v>80809375</v>
      </c>
      <c r="K154" s="50">
        <f t="shared" si="8"/>
        <v>-57.676829268292686</v>
      </c>
      <c r="L154" s="50">
        <f>VLOOKUP($A154,'Data shares'!$C:$FB,118)</f>
        <v>0.76</v>
      </c>
      <c r="M154" s="50">
        <f>VLOOKUP($A154,'Data shares'!$C:$FB,119)</f>
        <v>0.71</v>
      </c>
      <c r="N154" s="50">
        <f>VLOOKUP($A154,'Data shares'!$C:$FB,121)*100</f>
        <v>7.04</v>
      </c>
      <c r="O154" s="50">
        <f>VLOOKUP($A154,'Data shares'!$C:$FB,124)</f>
        <v>0.49</v>
      </c>
      <c r="P154" s="50">
        <f>VLOOKUP($A154,'Data shares'!$C:$FB,125)</f>
        <v>0.43</v>
      </c>
      <c r="Q154" s="50">
        <f>VLOOKUP($A154,'Data shares'!$C:$FB,127)*100</f>
        <v>13.950000000000001</v>
      </c>
    </row>
    <row r="155" spans="1:17" x14ac:dyDescent="0.25">
      <c r="A155" s="97" t="str">
        <f>'Data Vlaue (Cr)'!C150</f>
        <v>OBEROIRLTY</v>
      </c>
      <c r="B155" s="140">
        <f>VLOOKUP($A155,'Data shares'!$C:$FB,7)</f>
        <v>1599.6</v>
      </c>
      <c r="C155" s="140">
        <f>VLOOKUP($A155,'Data shares'!$C:$FB,3)</f>
        <v>1607.5</v>
      </c>
      <c r="D155" s="140">
        <f>VLOOKUP($A155,'Data shares'!$C:$FB,4)</f>
        <v>1595.2</v>
      </c>
      <c r="E155" s="50">
        <f t="shared" si="6"/>
        <v>0.77106318956870323</v>
      </c>
      <c r="F155" s="49">
        <f>VLOOKUP($A155,'Data shares'!$C:$FB,98)</f>
        <v>6932100</v>
      </c>
      <c r="G155" s="49">
        <f>VLOOKUP($A155,'Data shares'!$C:$FB,99)</f>
        <v>6981100</v>
      </c>
      <c r="H155" s="50">
        <f t="shared" si="7"/>
        <v>-0.70189511681540162</v>
      </c>
      <c r="I155" s="49">
        <f>VLOOKUP($A155,'Data shares'!$C:$FB,66)</f>
        <v>2832200</v>
      </c>
      <c r="J155" s="49">
        <f>VLOOKUP($A155,'Data shares'!$C:$FB,67)</f>
        <v>3312750</v>
      </c>
      <c r="K155" s="50">
        <f t="shared" si="8"/>
        <v>-16.967375185368265</v>
      </c>
      <c r="L155" s="50">
        <f>VLOOKUP($A155,'Data shares'!$C:$FB,118)</f>
        <v>0.8</v>
      </c>
      <c r="M155" s="50">
        <f>VLOOKUP($A155,'Data shares'!$C:$FB,119)</f>
        <v>0.76</v>
      </c>
      <c r="N155" s="50">
        <f>VLOOKUP($A155,'Data shares'!$C:$FB,121)*100</f>
        <v>5.26</v>
      </c>
      <c r="O155" s="50">
        <f>VLOOKUP($A155,'Data shares'!$C:$FB,124)</f>
        <v>0.27</v>
      </c>
      <c r="P155" s="50">
        <f>VLOOKUP($A155,'Data shares'!$C:$FB,125)</f>
        <v>0.45</v>
      </c>
      <c r="Q155" s="50">
        <f>VLOOKUP($A155,'Data shares'!$C:$FB,127)*100</f>
        <v>-40</v>
      </c>
    </row>
    <row r="156" spans="1:17" x14ac:dyDescent="0.25">
      <c r="A156" s="97" t="str">
        <f>'Data Vlaue (Cr)'!C151</f>
        <v>OFSS</v>
      </c>
      <c r="B156" s="140">
        <f>VLOOKUP($A156,'Data shares'!$C:$FB,7)</f>
        <v>9213</v>
      </c>
      <c r="C156" s="140">
        <f>VLOOKUP($A156,'Data shares'!$C:$FB,3)</f>
        <v>9266.5</v>
      </c>
      <c r="D156" s="140">
        <f>VLOOKUP($A156,'Data shares'!$C:$FB,4)</f>
        <v>9365</v>
      </c>
      <c r="E156" s="50">
        <f t="shared" si="6"/>
        <v>-1.0517885744794448</v>
      </c>
      <c r="F156" s="49">
        <f>VLOOKUP($A156,'Data shares'!$C:$FB,98)</f>
        <v>1942125</v>
      </c>
      <c r="G156" s="49">
        <f>VLOOKUP($A156,'Data shares'!$C:$FB,99)</f>
        <v>1823025</v>
      </c>
      <c r="H156" s="50">
        <f t="shared" si="7"/>
        <v>6.5330974616365651</v>
      </c>
      <c r="I156" s="49">
        <f>VLOOKUP($A156,'Data shares'!$C:$FB,66)</f>
        <v>1502025</v>
      </c>
      <c r="J156" s="49">
        <f>VLOOKUP($A156,'Data shares'!$C:$FB,67)</f>
        <v>1643775</v>
      </c>
      <c r="K156" s="50">
        <f t="shared" si="8"/>
        <v>-9.4372596994058018</v>
      </c>
      <c r="L156" s="50">
        <f>VLOOKUP($A156,'Data shares'!$C:$FB,118)</f>
        <v>0.57999999999999996</v>
      </c>
      <c r="M156" s="50">
        <f>VLOOKUP($A156,'Data shares'!$C:$FB,119)</f>
        <v>0.66</v>
      </c>
      <c r="N156" s="50">
        <f>VLOOKUP($A156,'Data shares'!$C:$FB,121)*100</f>
        <v>-12.120000000000001</v>
      </c>
      <c r="O156" s="50">
        <f>VLOOKUP($A156,'Data shares'!$C:$FB,124)</f>
        <v>0.4</v>
      </c>
      <c r="P156" s="50">
        <f>VLOOKUP($A156,'Data shares'!$C:$FB,125)</f>
        <v>0.37</v>
      </c>
      <c r="Q156" s="50">
        <f>VLOOKUP($A156,'Data shares'!$C:$FB,127)*100</f>
        <v>8.1100000000000012</v>
      </c>
    </row>
    <row r="157" spans="1:17" x14ac:dyDescent="0.25">
      <c r="A157" s="97" t="str">
        <f>'Data Vlaue (Cr)'!C152</f>
        <v>OIL</v>
      </c>
      <c r="B157" s="140">
        <f>VLOOKUP($A157,'Data shares'!$C:$FB,7)</f>
        <v>418.2</v>
      </c>
      <c r="C157" s="140">
        <f>VLOOKUP($A157,'Data shares'!$C:$FB,3)</f>
        <v>417.9</v>
      </c>
      <c r="D157" s="140">
        <f>VLOOKUP($A157,'Data shares'!$C:$FB,4)</f>
        <v>419.25</v>
      </c>
      <c r="E157" s="50">
        <f t="shared" si="6"/>
        <v>-0.32200357781753675</v>
      </c>
      <c r="F157" s="49">
        <f>VLOOKUP($A157,'Data shares'!$C:$FB,98)</f>
        <v>19237400</v>
      </c>
      <c r="G157" s="49">
        <f>VLOOKUP($A157,'Data shares'!$C:$FB,99)</f>
        <v>18726400</v>
      </c>
      <c r="H157" s="50">
        <f t="shared" si="7"/>
        <v>2.7287679425837319</v>
      </c>
      <c r="I157" s="49">
        <f>VLOOKUP($A157,'Data shares'!$C:$FB,66)</f>
        <v>3896200</v>
      </c>
      <c r="J157" s="49">
        <f>VLOOKUP($A157,'Data shares'!$C:$FB,67)</f>
        <v>4655000</v>
      </c>
      <c r="K157" s="50">
        <f t="shared" si="8"/>
        <v>-19.475386273805245</v>
      </c>
      <c r="L157" s="50">
        <f>VLOOKUP($A157,'Data shares'!$C:$FB,118)</f>
        <v>0.6</v>
      </c>
      <c r="M157" s="50">
        <f>VLOOKUP($A157,'Data shares'!$C:$FB,119)</f>
        <v>0.6</v>
      </c>
      <c r="N157" s="50">
        <f>VLOOKUP($A157,'Data shares'!$C:$FB,121)*100</f>
        <v>0</v>
      </c>
      <c r="O157" s="50">
        <f>VLOOKUP($A157,'Data shares'!$C:$FB,124)</f>
        <v>0.51</v>
      </c>
      <c r="P157" s="50">
        <f>VLOOKUP($A157,'Data shares'!$C:$FB,125)</f>
        <v>0.57999999999999996</v>
      </c>
      <c r="Q157" s="50">
        <f>VLOOKUP($A157,'Data shares'!$C:$FB,127)*100</f>
        <v>-12.07</v>
      </c>
    </row>
    <row r="158" spans="1:17" x14ac:dyDescent="0.25">
      <c r="A158" s="97" t="str">
        <f>'Data Vlaue (Cr)'!C153</f>
        <v>ONGC</v>
      </c>
      <c r="B158" s="140">
        <f>VLOOKUP($A158,'Data shares'!$C:$FB,7)</f>
        <v>246.34</v>
      </c>
      <c r="C158" s="140">
        <f>VLOOKUP($A158,'Data shares'!$C:$FB,3)</f>
        <v>246.82</v>
      </c>
      <c r="D158" s="140">
        <f>VLOOKUP($A158,'Data shares'!$C:$FB,4)</f>
        <v>244.72</v>
      </c>
      <c r="E158" s="50">
        <f t="shared" si="6"/>
        <v>0.85812356979404814</v>
      </c>
      <c r="F158" s="49">
        <f>VLOOKUP($A158,'Data shares'!$C:$FB,98)</f>
        <v>172152000</v>
      </c>
      <c r="G158" s="49">
        <f>VLOOKUP($A158,'Data shares'!$C:$FB,99)</f>
        <v>173252250</v>
      </c>
      <c r="H158" s="50">
        <f t="shared" si="7"/>
        <v>-0.63505668757548606</v>
      </c>
      <c r="I158" s="49">
        <f>VLOOKUP($A158,'Data shares'!$C:$FB,66)</f>
        <v>85137750</v>
      </c>
      <c r="J158" s="49">
        <f>VLOOKUP($A158,'Data shares'!$C:$FB,67)</f>
        <v>69394500</v>
      </c>
      <c r="K158" s="50">
        <f t="shared" si="8"/>
        <v>18.491503475250404</v>
      </c>
      <c r="L158" s="50">
        <f>VLOOKUP($A158,'Data shares'!$C:$FB,118)</f>
        <v>0.35</v>
      </c>
      <c r="M158" s="50">
        <f>VLOOKUP($A158,'Data shares'!$C:$FB,119)</f>
        <v>0.33</v>
      </c>
      <c r="N158" s="50">
        <f>VLOOKUP($A158,'Data shares'!$C:$FB,121)*100</f>
        <v>6.0600000000000005</v>
      </c>
      <c r="O158" s="50">
        <f>VLOOKUP($A158,'Data shares'!$C:$FB,124)</f>
        <v>0.52</v>
      </c>
      <c r="P158" s="50">
        <f>VLOOKUP($A158,'Data shares'!$C:$FB,125)</f>
        <v>0.45</v>
      </c>
      <c r="Q158" s="50">
        <f>VLOOKUP($A158,'Data shares'!$C:$FB,127)*100</f>
        <v>15.559999999999999</v>
      </c>
    </row>
    <row r="159" spans="1:17" x14ac:dyDescent="0.25">
      <c r="A159" s="97" t="str">
        <f>'Data Vlaue (Cr)'!C154</f>
        <v>PAGEIND</v>
      </c>
      <c r="B159" s="140">
        <f>VLOOKUP($A159,'Data shares'!$C:$FB,7)</f>
        <v>41640</v>
      </c>
      <c r="C159" s="140">
        <f>VLOOKUP($A159,'Data shares'!$C:$FB,3)</f>
        <v>41440</v>
      </c>
      <c r="D159" s="140">
        <f>VLOOKUP($A159,'Data shares'!$C:$FB,4)</f>
        <v>41660</v>
      </c>
      <c r="E159" s="50">
        <f t="shared" si="6"/>
        <v>-0.52808449351896303</v>
      </c>
      <c r="F159" s="49">
        <f>VLOOKUP($A159,'Data shares'!$C:$FB,98)</f>
        <v>340185</v>
      </c>
      <c r="G159" s="49">
        <f>VLOOKUP($A159,'Data shares'!$C:$FB,99)</f>
        <v>331995</v>
      </c>
      <c r="H159" s="50">
        <f t="shared" si="7"/>
        <v>2.466904622057561</v>
      </c>
      <c r="I159" s="49">
        <f>VLOOKUP($A159,'Data shares'!$C:$FB,66)</f>
        <v>94485</v>
      </c>
      <c r="J159" s="49">
        <f>VLOOKUP($A159,'Data shares'!$C:$FB,67)</f>
        <v>125145</v>
      </c>
      <c r="K159" s="50">
        <f t="shared" si="8"/>
        <v>-32.449595173837118</v>
      </c>
      <c r="L159" s="50">
        <f>VLOOKUP($A159,'Data shares'!$C:$FB,118)</f>
        <v>0.41</v>
      </c>
      <c r="M159" s="50">
        <f>VLOOKUP($A159,'Data shares'!$C:$FB,119)</f>
        <v>0.42</v>
      </c>
      <c r="N159" s="50">
        <f>VLOOKUP($A159,'Data shares'!$C:$FB,121)*100</f>
        <v>-2.3800000000000003</v>
      </c>
      <c r="O159" s="50">
        <f>VLOOKUP($A159,'Data shares'!$C:$FB,124)</f>
        <v>0.19</v>
      </c>
      <c r="P159" s="50">
        <f>VLOOKUP($A159,'Data shares'!$C:$FB,125)</f>
        <v>0.11</v>
      </c>
      <c r="Q159" s="50">
        <f>VLOOKUP($A159,'Data shares'!$C:$FB,127)*100</f>
        <v>72.72999999999999</v>
      </c>
    </row>
    <row r="160" spans="1:17" x14ac:dyDescent="0.25">
      <c r="A160" s="97" t="str">
        <f>'Data Vlaue (Cr)'!C155</f>
        <v>PATANJALI</v>
      </c>
      <c r="B160" s="140">
        <f>VLOOKUP($A160,'Data shares'!$C:$FB,7)</f>
        <v>594.1</v>
      </c>
      <c r="C160" s="140">
        <f>VLOOKUP($A160,'Data shares'!$C:$FB,3)</f>
        <v>594.75</v>
      </c>
      <c r="D160" s="140">
        <f>VLOOKUP($A160,'Data shares'!$C:$FB,4)</f>
        <v>597.25</v>
      </c>
      <c r="E160" s="50">
        <f t="shared" si="6"/>
        <v>-0.4185851820845542</v>
      </c>
      <c r="F160" s="49">
        <f>VLOOKUP($A160,'Data shares'!$C:$FB,98)</f>
        <v>41304600</v>
      </c>
      <c r="G160" s="49">
        <f>VLOOKUP($A160,'Data shares'!$C:$FB,99)</f>
        <v>40735800</v>
      </c>
      <c r="H160" s="50">
        <f t="shared" si="7"/>
        <v>1.3963147894481021</v>
      </c>
      <c r="I160" s="49">
        <f>VLOOKUP($A160,'Data shares'!$C:$FB,66)</f>
        <v>5893200</v>
      </c>
      <c r="J160" s="49">
        <f>VLOOKUP($A160,'Data shares'!$C:$FB,67)</f>
        <v>7703100</v>
      </c>
      <c r="K160" s="50">
        <f t="shared" si="8"/>
        <v>-30.711667684789251</v>
      </c>
      <c r="L160" s="50">
        <f>VLOOKUP($A160,'Data shares'!$C:$FB,118)</f>
        <v>0.43</v>
      </c>
      <c r="M160" s="50">
        <f>VLOOKUP($A160,'Data shares'!$C:$FB,119)</f>
        <v>0.48</v>
      </c>
      <c r="N160" s="50">
        <f>VLOOKUP($A160,'Data shares'!$C:$FB,121)*100</f>
        <v>-10.42</v>
      </c>
      <c r="O160" s="50">
        <f>VLOOKUP($A160,'Data shares'!$C:$FB,124)</f>
        <v>0.45</v>
      </c>
      <c r="P160" s="50">
        <f>VLOOKUP($A160,'Data shares'!$C:$FB,125)</f>
        <v>0.89</v>
      </c>
      <c r="Q160" s="50">
        <f>VLOOKUP($A160,'Data shares'!$C:$FB,127)*100</f>
        <v>-49.44</v>
      </c>
    </row>
    <row r="161" spans="1:17" x14ac:dyDescent="0.25">
      <c r="A161" s="97" t="str">
        <f>'Data Vlaue (Cr)'!C156</f>
        <v>PAYTM</v>
      </c>
      <c r="B161" s="140">
        <f>VLOOKUP($A161,'Data shares'!$C:$FB,7)</f>
        <v>1236.9000000000001</v>
      </c>
      <c r="C161" s="140">
        <f>VLOOKUP($A161,'Data shares'!$C:$FB,3)</f>
        <v>1243.2</v>
      </c>
      <c r="D161" s="140">
        <f>VLOOKUP($A161,'Data shares'!$C:$FB,4)</f>
        <v>1253.9000000000001</v>
      </c>
      <c r="E161" s="50">
        <f t="shared" si="6"/>
        <v>-0.85333758672940774</v>
      </c>
      <c r="F161" s="49">
        <f>VLOOKUP($A161,'Data shares'!$C:$FB,98)</f>
        <v>39254400</v>
      </c>
      <c r="G161" s="49">
        <f>VLOOKUP($A161,'Data shares'!$C:$FB,99)</f>
        <v>39548025</v>
      </c>
      <c r="H161" s="50">
        <f t="shared" si="7"/>
        <v>-0.74245174063685859</v>
      </c>
      <c r="I161" s="49">
        <f>VLOOKUP($A161,'Data shares'!$C:$FB,66)</f>
        <v>26136250</v>
      </c>
      <c r="J161" s="49">
        <f>VLOOKUP($A161,'Data shares'!$C:$FB,67)</f>
        <v>25783900</v>
      </c>
      <c r="K161" s="50">
        <f t="shared" si="8"/>
        <v>1.3481276005547851</v>
      </c>
      <c r="L161" s="50">
        <f>VLOOKUP($A161,'Data shares'!$C:$FB,118)</f>
        <v>0.87</v>
      </c>
      <c r="M161" s="50">
        <f>VLOOKUP($A161,'Data shares'!$C:$FB,119)</f>
        <v>0.88</v>
      </c>
      <c r="N161" s="50">
        <f>VLOOKUP($A161,'Data shares'!$C:$FB,121)*100</f>
        <v>-1.1400000000000001</v>
      </c>
      <c r="O161" s="50">
        <f>VLOOKUP($A161,'Data shares'!$C:$FB,124)</f>
        <v>0.57999999999999996</v>
      </c>
      <c r="P161" s="50">
        <f>VLOOKUP($A161,'Data shares'!$C:$FB,125)</f>
        <v>0.6</v>
      </c>
      <c r="Q161" s="50">
        <f>VLOOKUP($A161,'Data shares'!$C:$FB,127)*100</f>
        <v>-3.3300000000000005</v>
      </c>
    </row>
    <row r="162" spans="1:17" x14ac:dyDescent="0.25">
      <c r="A162" s="97" t="str">
        <f>'Data Vlaue (Cr)'!C157</f>
        <v>PERSISTENT</v>
      </c>
      <c r="B162" s="140">
        <f>VLOOKUP($A162,'Data shares'!$C:$FB,7)</f>
        <v>5357.7</v>
      </c>
      <c r="C162" s="140">
        <f>VLOOKUP($A162,'Data shares'!$C:$FB,3)</f>
        <v>5382.9</v>
      </c>
      <c r="D162" s="140">
        <f>VLOOKUP($A162,'Data shares'!$C:$FB,4)</f>
        <v>5374.5</v>
      </c>
      <c r="E162" s="50">
        <f t="shared" si="6"/>
        <v>0.15629360870778</v>
      </c>
      <c r="F162" s="49">
        <f>VLOOKUP($A162,'Data shares'!$C:$FB,98)</f>
        <v>4646500</v>
      </c>
      <c r="G162" s="49">
        <f>VLOOKUP($A162,'Data shares'!$C:$FB,99)</f>
        <v>4668000</v>
      </c>
      <c r="H162" s="50">
        <f t="shared" si="7"/>
        <v>-0.46058269065981144</v>
      </c>
      <c r="I162" s="49">
        <f>VLOOKUP($A162,'Data shares'!$C:$FB,66)</f>
        <v>2216600</v>
      </c>
      <c r="J162" s="49">
        <f>VLOOKUP($A162,'Data shares'!$C:$FB,67)</f>
        <v>2052700</v>
      </c>
      <c r="K162" s="50">
        <f t="shared" si="8"/>
        <v>7.3942073445817922</v>
      </c>
      <c r="L162" s="50">
        <f>VLOOKUP($A162,'Data shares'!$C:$FB,118)</f>
        <v>0.69</v>
      </c>
      <c r="M162" s="50">
        <f>VLOOKUP($A162,'Data shares'!$C:$FB,119)</f>
        <v>0.7</v>
      </c>
      <c r="N162" s="50">
        <f>VLOOKUP($A162,'Data shares'!$C:$FB,121)*100</f>
        <v>-1.43</v>
      </c>
      <c r="O162" s="50">
        <f>VLOOKUP($A162,'Data shares'!$C:$FB,124)</f>
        <v>0.63</v>
      </c>
      <c r="P162" s="50">
        <f>VLOOKUP($A162,'Data shares'!$C:$FB,125)</f>
        <v>0.59</v>
      </c>
      <c r="Q162" s="50">
        <f>VLOOKUP($A162,'Data shares'!$C:$FB,127)*100</f>
        <v>6.78</v>
      </c>
    </row>
    <row r="163" spans="1:17" x14ac:dyDescent="0.25">
      <c r="A163" s="97" t="str">
        <f>'Data Vlaue (Cr)'!C158</f>
        <v>PETRONET</v>
      </c>
      <c r="B163" s="140">
        <f>VLOOKUP($A163,'Data shares'!$C:$FB,7)</f>
        <v>281.45</v>
      </c>
      <c r="C163" s="140">
        <f>VLOOKUP($A163,'Data shares'!$C:$FB,3)</f>
        <v>282.55</v>
      </c>
      <c r="D163" s="140">
        <f>VLOOKUP($A163,'Data shares'!$C:$FB,4)</f>
        <v>284.55</v>
      </c>
      <c r="E163" s="50">
        <f t="shared" si="6"/>
        <v>-0.70286417149885783</v>
      </c>
      <c r="F163" s="49">
        <f>VLOOKUP($A163,'Data shares'!$C:$FB,98)</f>
        <v>73503000</v>
      </c>
      <c r="G163" s="49">
        <f>VLOOKUP($A163,'Data shares'!$C:$FB,99)</f>
        <v>72757800</v>
      </c>
      <c r="H163" s="50">
        <f t="shared" si="7"/>
        <v>1.0242200836199005</v>
      </c>
      <c r="I163" s="49">
        <f>VLOOKUP($A163,'Data shares'!$C:$FB,66)</f>
        <v>8474400</v>
      </c>
      <c r="J163" s="49">
        <f>VLOOKUP($A163,'Data shares'!$C:$FB,67)</f>
        <v>7461000</v>
      </c>
      <c r="K163" s="50">
        <f t="shared" si="8"/>
        <v>11.958368734069669</v>
      </c>
      <c r="L163" s="50">
        <f>VLOOKUP($A163,'Data shares'!$C:$FB,118)</f>
        <v>1.01</v>
      </c>
      <c r="M163" s="50">
        <f>VLOOKUP($A163,'Data shares'!$C:$FB,119)</f>
        <v>1.03</v>
      </c>
      <c r="N163" s="50">
        <f>VLOOKUP($A163,'Data shares'!$C:$FB,121)*100</f>
        <v>-1.94</v>
      </c>
      <c r="O163" s="50">
        <f>VLOOKUP($A163,'Data shares'!$C:$FB,124)</f>
        <v>0.34</v>
      </c>
      <c r="P163" s="50">
        <f>VLOOKUP($A163,'Data shares'!$C:$FB,125)</f>
        <v>0.28999999999999998</v>
      </c>
      <c r="Q163" s="50">
        <f>VLOOKUP($A163,'Data shares'!$C:$FB,127)*100</f>
        <v>17.239999999999998</v>
      </c>
    </row>
    <row r="164" spans="1:17" x14ac:dyDescent="0.25">
      <c r="A164" s="97" t="str">
        <f>'Data Vlaue (Cr)'!C159</f>
        <v>PFC</v>
      </c>
      <c r="B164" s="140">
        <f>VLOOKUP($A164,'Data shares'!$C:$FB,7)</f>
        <v>403.85</v>
      </c>
      <c r="C164" s="140">
        <f>VLOOKUP($A164,'Data shares'!$C:$FB,3)</f>
        <v>405.8</v>
      </c>
      <c r="D164" s="140">
        <f>VLOOKUP($A164,'Data shares'!$C:$FB,4)</f>
        <v>403.6</v>
      </c>
      <c r="E164" s="50">
        <f t="shared" si="6"/>
        <v>0.54509415262635985</v>
      </c>
      <c r="F164" s="49">
        <f>VLOOKUP($A164,'Data shares'!$C:$FB,98)</f>
        <v>95495400</v>
      </c>
      <c r="G164" s="49">
        <f>VLOOKUP($A164,'Data shares'!$C:$FB,99)</f>
        <v>96718700</v>
      </c>
      <c r="H164" s="50">
        <f t="shared" si="7"/>
        <v>-1.2648019462627187</v>
      </c>
      <c r="I164" s="49">
        <f>VLOOKUP($A164,'Data shares'!$C:$FB,66)</f>
        <v>34078200</v>
      </c>
      <c r="J164" s="49">
        <f>VLOOKUP($A164,'Data shares'!$C:$FB,67)</f>
        <v>29528200</v>
      </c>
      <c r="K164" s="50">
        <f t="shared" si="8"/>
        <v>13.35164415960937</v>
      </c>
      <c r="L164" s="50">
        <f>VLOOKUP($A164,'Data shares'!$C:$FB,118)</f>
        <v>0.76</v>
      </c>
      <c r="M164" s="50">
        <f>VLOOKUP($A164,'Data shares'!$C:$FB,119)</f>
        <v>0.75</v>
      </c>
      <c r="N164" s="50">
        <f>VLOOKUP($A164,'Data shares'!$C:$FB,121)*100</f>
        <v>1.3299999999999998</v>
      </c>
      <c r="O164" s="50">
        <f>VLOOKUP($A164,'Data shares'!$C:$FB,124)</f>
        <v>0.61</v>
      </c>
      <c r="P164" s="50">
        <f>VLOOKUP($A164,'Data shares'!$C:$FB,125)</f>
        <v>0.51</v>
      </c>
      <c r="Q164" s="50">
        <f>VLOOKUP($A164,'Data shares'!$C:$FB,127)*100</f>
        <v>19.61</v>
      </c>
    </row>
    <row r="165" spans="1:17" x14ac:dyDescent="0.25">
      <c r="A165" s="97" t="str">
        <f>'Data Vlaue (Cr)'!C160</f>
        <v>PGEL</v>
      </c>
      <c r="B165" s="140">
        <f>VLOOKUP($A165,'Data shares'!$C:$FB,7)</f>
        <v>585.95000000000005</v>
      </c>
      <c r="C165" s="140">
        <f>VLOOKUP($A165,'Data shares'!$C:$FB,3)</f>
        <v>589.25</v>
      </c>
      <c r="D165" s="140">
        <f>VLOOKUP($A165,'Data shares'!$C:$FB,4)</f>
        <v>557.65</v>
      </c>
      <c r="E165" s="50">
        <f t="shared" si="6"/>
        <v>5.6666367793418857</v>
      </c>
      <c r="F165" s="49">
        <f>VLOOKUP($A165,'Data shares'!$C:$FB,98)</f>
        <v>24203900</v>
      </c>
      <c r="G165" s="49">
        <f>VLOOKUP($A165,'Data shares'!$C:$FB,99)</f>
        <v>19054700</v>
      </c>
      <c r="H165" s="50">
        <f t="shared" si="7"/>
        <v>27.023254105286359</v>
      </c>
      <c r="I165" s="49">
        <f>VLOOKUP($A165,'Data shares'!$C:$FB,66)</f>
        <v>76208300</v>
      </c>
      <c r="J165" s="49">
        <f>VLOOKUP($A165,'Data shares'!$C:$FB,67)</f>
        <v>74383400</v>
      </c>
      <c r="K165" s="50">
        <f t="shared" si="8"/>
        <v>2.3946210583361651</v>
      </c>
      <c r="L165" s="50">
        <f>VLOOKUP($A165,'Data shares'!$C:$FB,118)</f>
        <v>0.92</v>
      </c>
      <c r="M165" s="50">
        <f>VLOOKUP($A165,'Data shares'!$C:$FB,119)</f>
        <v>0.67</v>
      </c>
      <c r="N165" s="50">
        <f>VLOOKUP($A165,'Data shares'!$C:$FB,121)*100</f>
        <v>37.31</v>
      </c>
      <c r="O165" s="50">
        <f>VLOOKUP($A165,'Data shares'!$C:$FB,124)</f>
        <v>0.37</v>
      </c>
      <c r="P165" s="50">
        <f>VLOOKUP($A165,'Data shares'!$C:$FB,125)</f>
        <v>0.33</v>
      </c>
      <c r="Q165" s="50">
        <f>VLOOKUP($A165,'Data shares'!$C:$FB,127)*100</f>
        <v>12.120000000000001</v>
      </c>
    </row>
    <row r="166" spans="1:17" x14ac:dyDescent="0.25">
      <c r="A166" s="97" t="str">
        <f>'Data Vlaue (Cr)'!C161</f>
        <v>PHOENIXLTD</v>
      </c>
      <c r="B166" s="140">
        <f>VLOOKUP($A166,'Data shares'!$C:$FB,7)</f>
        <v>1597.8</v>
      </c>
      <c r="C166" s="140">
        <f>VLOOKUP($A166,'Data shares'!$C:$FB,3)</f>
        <v>1602.9</v>
      </c>
      <c r="D166" s="140">
        <f>VLOOKUP($A166,'Data shares'!$C:$FB,4)</f>
        <v>1601.6</v>
      </c>
      <c r="E166" s="50">
        <f t="shared" si="6"/>
        <v>8.116883116884252E-2</v>
      </c>
      <c r="F166" s="49">
        <f>VLOOKUP($A166,'Data shares'!$C:$FB,98)</f>
        <v>5450550</v>
      </c>
      <c r="G166" s="49">
        <f>VLOOKUP($A166,'Data shares'!$C:$FB,99)</f>
        <v>5434450</v>
      </c>
      <c r="H166" s="50">
        <f t="shared" si="7"/>
        <v>0.29625813099761705</v>
      </c>
      <c r="I166" s="49">
        <f>VLOOKUP($A166,'Data shares'!$C:$FB,66)</f>
        <v>2152850</v>
      </c>
      <c r="J166" s="49">
        <f>VLOOKUP($A166,'Data shares'!$C:$FB,67)</f>
        <v>1381100</v>
      </c>
      <c r="K166" s="50">
        <f t="shared" si="8"/>
        <v>35.847829621199807</v>
      </c>
      <c r="L166" s="50">
        <f>VLOOKUP($A166,'Data shares'!$C:$FB,118)</f>
        <v>0.63</v>
      </c>
      <c r="M166" s="50">
        <f>VLOOKUP($A166,'Data shares'!$C:$FB,119)</f>
        <v>0.57999999999999996</v>
      </c>
      <c r="N166" s="50">
        <f>VLOOKUP($A166,'Data shares'!$C:$FB,121)*100</f>
        <v>8.6199999999999992</v>
      </c>
      <c r="O166" s="50">
        <f>VLOOKUP($A166,'Data shares'!$C:$FB,124)</f>
        <v>0.54</v>
      </c>
      <c r="P166" s="50">
        <f>VLOOKUP($A166,'Data shares'!$C:$FB,125)</f>
        <v>0.39</v>
      </c>
      <c r="Q166" s="50">
        <f>VLOOKUP($A166,'Data shares'!$C:$FB,127)*100</f>
        <v>38.46</v>
      </c>
    </row>
    <row r="167" spans="1:17" x14ac:dyDescent="0.25">
      <c r="A167" s="97" t="str">
        <f>'Data Vlaue (Cr)'!C162</f>
        <v>PIDILITIND</v>
      </c>
      <c r="B167" s="140">
        <f>VLOOKUP($A167,'Data shares'!$C:$FB,7)</f>
        <v>1510.6</v>
      </c>
      <c r="C167" s="140">
        <f>VLOOKUP($A167,'Data shares'!$C:$FB,3)</f>
        <v>1514.9</v>
      </c>
      <c r="D167" s="140">
        <f>VLOOKUP($A167,'Data shares'!$C:$FB,4)</f>
        <v>1517.7</v>
      </c>
      <c r="E167" s="50">
        <f t="shared" si="6"/>
        <v>-0.18448968834420204</v>
      </c>
      <c r="F167" s="49">
        <f>VLOOKUP($A167,'Data shares'!$C:$FB,98)</f>
        <v>11901000</v>
      </c>
      <c r="G167" s="49">
        <f>VLOOKUP($A167,'Data shares'!$C:$FB,99)</f>
        <v>11899000</v>
      </c>
      <c r="H167" s="50">
        <f t="shared" si="7"/>
        <v>1.6808135137406505E-2</v>
      </c>
      <c r="I167" s="49">
        <f>VLOOKUP($A167,'Data shares'!$C:$FB,66)</f>
        <v>2939500</v>
      </c>
      <c r="J167" s="49">
        <f>VLOOKUP($A167,'Data shares'!$C:$FB,67)</f>
        <v>6069000</v>
      </c>
      <c r="K167" s="50">
        <f t="shared" si="8"/>
        <v>-106.46368430005101</v>
      </c>
      <c r="L167" s="50">
        <f>VLOOKUP($A167,'Data shares'!$C:$FB,118)</f>
        <v>0.66</v>
      </c>
      <c r="M167" s="50">
        <f>VLOOKUP($A167,'Data shares'!$C:$FB,119)</f>
        <v>0.65</v>
      </c>
      <c r="N167" s="50">
        <f>VLOOKUP($A167,'Data shares'!$C:$FB,121)*100</f>
        <v>1.54</v>
      </c>
      <c r="O167" s="50">
        <f>VLOOKUP($A167,'Data shares'!$C:$FB,124)</f>
        <v>0.35</v>
      </c>
      <c r="P167" s="50">
        <f>VLOOKUP($A167,'Data shares'!$C:$FB,125)</f>
        <v>0.34</v>
      </c>
      <c r="Q167" s="50">
        <f>VLOOKUP($A167,'Data shares'!$C:$FB,127)*100</f>
        <v>2.94</v>
      </c>
    </row>
    <row r="168" spans="1:17" x14ac:dyDescent="0.25">
      <c r="A168" s="97" t="str">
        <f>'Data Vlaue (Cr)'!C163</f>
        <v>PIIND</v>
      </c>
      <c r="B168" s="140">
        <f>VLOOKUP($A168,'Data shares'!$C:$FB,7)</f>
        <v>3564.6</v>
      </c>
      <c r="C168" s="140">
        <f>VLOOKUP($A168,'Data shares'!$C:$FB,3)</f>
        <v>3583.2</v>
      </c>
      <c r="D168" s="140">
        <f>VLOOKUP($A168,'Data shares'!$C:$FB,4)</f>
        <v>3547.5</v>
      </c>
      <c r="E168" s="50">
        <f t="shared" si="6"/>
        <v>1.0063424947145827</v>
      </c>
      <c r="F168" s="49">
        <f>VLOOKUP($A168,'Data shares'!$C:$FB,98)</f>
        <v>2450525</v>
      </c>
      <c r="G168" s="49">
        <f>VLOOKUP($A168,'Data shares'!$C:$FB,99)</f>
        <v>2463825</v>
      </c>
      <c r="H168" s="50">
        <f t="shared" si="7"/>
        <v>-0.53981106612685559</v>
      </c>
      <c r="I168" s="49">
        <f>VLOOKUP($A168,'Data shares'!$C:$FB,66)</f>
        <v>1832950</v>
      </c>
      <c r="J168" s="49">
        <f>VLOOKUP($A168,'Data shares'!$C:$FB,67)</f>
        <v>524125</v>
      </c>
      <c r="K168" s="50">
        <f t="shared" si="8"/>
        <v>71.405384762268483</v>
      </c>
      <c r="L168" s="50">
        <f>VLOOKUP($A168,'Data shares'!$C:$FB,118)</f>
        <v>0.76</v>
      </c>
      <c r="M168" s="50">
        <f>VLOOKUP($A168,'Data shares'!$C:$FB,119)</f>
        <v>0.73</v>
      </c>
      <c r="N168" s="50">
        <f>VLOOKUP($A168,'Data shares'!$C:$FB,121)*100</f>
        <v>4.1099999999999994</v>
      </c>
      <c r="O168" s="50">
        <f>VLOOKUP($A168,'Data shares'!$C:$FB,124)</f>
        <v>0.27</v>
      </c>
      <c r="P168" s="50">
        <f>VLOOKUP($A168,'Data shares'!$C:$FB,125)</f>
        <v>0.25</v>
      </c>
      <c r="Q168" s="50">
        <f>VLOOKUP($A168,'Data shares'!$C:$FB,127)*100</f>
        <v>8</v>
      </c>
    </row>
    <row r="169" spans="1:17" x14ac:dyDescent="0.25">
      <c r="A169" s="97" t="str">
        <f>'Data Vlaue (Cr)'!C164</f>
        <v>PNB</v>
      </c>
      <c r="B169" s="140">
        <f>VLOOKUP($A169,'Data shares'!$C:$FB,7)</f>
        <v>117.24</v>
      </c>
      <c r="C169" s="140">
        <f>VLOOKUP($A169,'Data shares'!$C:$FB,3)</f>
        <v>117.65</v>
      </c>
      <c r="D169" s="140">
        <f>VLOOKUP($A169,'Data shares'!$C:$FB,4)</f>
        <v>114.97</v>
      </c>
      <c r="E169" s="50">
        <f t="shared" si="6"/>
        <v>2.3310428807515065</v>
      </c>
      <c r="F169" s="49">
        <f>VLOOKUP($A169,'Data shares'!$C:$FB,98)</f>
        <v>463048000</v>
      </c>
      <c r="G169" s="49">
        <f>VLOOKUP($A169,'Data shares'!$C:$FB,99)</f>
        <v>460368000</v>
      </c>
      <c r="H169" s="50">
        <f t="shared" si="7"/>
        <v>0.58214298126716024</v>
      </c>
      <c r="I169" s="49">
        <f>VLOOKUP($A169,'Data shares'!$C:$FB,66)</f>
        <v>655176000</v>
      </c>
      <c r="J169" s="49">
        <f>VLOOKUP($A169,'Data shares'!$C:$FB,67)</f>
        <v>190520000</v>
      </c>
      <c r="K169" s="50">
        <f t="shared" si="8"/>
        <v>70.920790749355902</v>
      </c>
      <c r="L169" s="50">
        <f>VLOOKUP($A169,'Data shares'!$C:$FB,118)</f>
        <v>0.83</v>
      </c>
      <c r="M169" s="50">
        <f>VLOOKUP($A169,'Data shares'!$C:$FB,119)</f>
        <v>0.68</v>
      </c>
      <c r="N169" s="50">
        <f>VLOOKUP($A169,'Data shares'!$C:$FB,121)*100</f>
        <v>22.06</v>
      </c>
      <c r="O169" s="50">
        <f>VLOOKUP($A169,'Data shares'!$C:$FB,124)</f>
        <v>0.47</v>
      </c>
      <c r="P169" s="50">
        <f>VLOOKUP($A169,'Data shares'!$C:$FB,125)</f>
        <v>0.53</v>
      </c>
      <c r="Q169" s="50">
        <f>VLOOKUP($A169,'Data shares'!$C:$FB,127)*100</f>
        <v>-11.32</v>
      </c>
    </row>
    <row r="170" spans="1:17" x14ac:dyDescent="0.25">
      <c r="A170" s="97" t="str">
        <f>'Data Vlaue (Cr)'!C165</f>
        <v>PNBHOUSING</v>
      </c>
      <c r="B170" s="140">
        <f>VLOOKUP($A170,'Data shares'!$C:$FB,7)</f>
        <v>853.6</v>
      </c>
      <c r="C170" s="140">
        <f>VLOOKUP($A170,'Data shares'!$C:$FB,3)</f>
        <v>858.35</v>
      </c>
      <c r="D170" s="140">
        <f>VLOOKUP($A170,'Data shares'!$C:$FB,4)</f>
        <v>880.75</v>
      </c>
      <c r="E170" s="50">
        <f t="shared" si="6"/>
        <v>-2.5432869713312494</v>
      </c>
      <c r="F170" s="49">
        <f>VLOOKUP($A170,'Data shares'!$C:$FB,98)</f>
        <v>22241050</v>
      </c>
      <c r="G170" s="49">
        <f>VLOOKUP($A170,'Data shares'!$C:$FB,99)</f>
        <v>21063250</v>
      </c>
      <c r="H170" s="50">
        <f t="shared" si="7"/>
        <v>5.5917296713470144</v>
      </c>
      <c r="I170" s="49">
        <f>VLOOKUP($A170,'Data shares'!$C:$FB,66)</f>
        <v>6600100</v>
      </c>
      <c r="J170" s="49">
        <f>VLOOKUP($A170,'Data shares'!$C:$FB,67)</f>
        <v>4010500</v>
      </c>
      <c r="K170" s="50">
        <f t="shared" si="8"/>
        <v>39.235769155012804</v>
      </c>
      <c r="L170" s="50">
        <f>VLOOKUP($A170,'Data shares'!$C:$FB,118)</f>
        <v>0.73</v>
      </c>
      <c r="M170" s="50">
        <f>VLOOKUP($A170,'Data shares'!$C:$FB,119)</f>
        <v>0.68</v>
      </c>
      <c r="N170" s="50">
        <f>VLOOKUP($A170,'Data shares'!$C:$FB,121)*100</f>
        <v>7.35</v>
      </c>
      <c r="O170" s="50">
        <f>VLOOKUP($A170,'Data shares'!$C:$FB,124)</f>
        <v>0.47</v>
      </c>
      <c r="P170" s="50">
        <f>VLOOKUP($A170,'Data shares'!$C:$FB,125)</f>
        <v>0.33</v>
      </c>
      <c r="Q170" s="50">
        <f>VLOOKUP($A170,'Data shares'!$C:$FB,127)*100</f>
        <v>42.42</v>
      </c>
    </row>
    <row r="171" spans="1:17" x14ac:dyDescent="0.25">
      <c r="A171" s="97" t="str">
        <f>'Data Vlaue (Cr)'!C166</f>
        <v>POLICYBZR</v>
      </c>
      <c r="B171" s="140">
        <f>VLOOKUP($A171,'Data shares'!$C:$FB,7)</f>
        <v>1745.4</v>
      </c>
      <c r="C171" s="140">
        <f>VLOOKUP($A171,'Data shares'!$C:$FB,3)</f>
        <v>1752.9</v>
      </c>
      <c r="D171" s="140">
        <f>VLOOKUP($A171,'Data shares'!$C:$FB,4)</f>
        <v>1743.9</v>
      </c>
      <c r="E171" s="50">
        <f t="shared" si="6"/>
        <v>0.51608463788061243</v>
      </c>
      <c r="F171" s="49">
        <f>VLOOKUP($A171,'Data shares'!$C:$FB,98)</f>
        <v>8978550</v>
      </c>
      <c r="G171" s="49">
        <f>VLOOKUP($A171,'Data shares'!$C:$FB,99)</f>
        <v>9187150</v>
      </c>
      <c r="H171" s="50">
        <f t="shared" si="7"/>
        <v>-2.2705626881024039</v>
      </c>
      <c r="I171" s="49">
        <f>VLOOKUP($A171,'Data shares'!$C:$FB,66)</f>
        <v>3167150</v>
      </c>
      <c r="J171" s="49">
        <f>VLOOKUP($A171,'Data shares'!$C:$FB,67)</f>
        <v>8470350</v>
      </c>
      <c r="K171" s="50">
        <f t="shared" si="8"/>
        <v>-167.44391645485689</v>
      </c>
      <c r="L171" s="50">
        <f>VLOOKUP($A171,'Data shares'!$C:$FB,118)</f>
        <v>0.76</v>
      </c>
      <c r="M171" s="50">
        <f>VLOOKUP($A171,'Data shares'!$C:$FB,119)</f>
        <v>0.74</v>
      </c>
      <c r="N171" s="50">
        <f>VLOOKUP($A171,'Data shares'!$C:$FB,121)*100</f>
        <v>2.7</v>
      </c>
      <c r="O171" s="50">
        <f>VLOOKUP($A171,'Data shares'!$C:$FB,124)</f>
        <v>0.47</v>
      </c>
      <c r="P171" s="50">
        <f>VLOOKUP($A171,'Data shares'!$C:$FB,125)</f>
        <v>0.54</v>
      </c>
      <c r="Q171" s="50">
        <f>VLOOKUP($A171,'Data shares'!$C:$FB,127)*100</f>
        <v>-12.959999999999999</v>
      </c>
    </row>
    <row r="172" spans="1:17" x14ac:dyDescent="0.25">
      <c r="A172" s="97" t="str">
        <f>'Data Vlaue (Cr)'!C167</f>
        <v>POLYCAB</v>
      </c>
      <c r="B172" s="140">
        <f>VLOOKUP($A172,'Data shares'!$C:$FB,7)</f>
        <v>7730</v>
      </c>
      <c r="C172" s="140">
        <f>VLOOKUP($A172,'Data shares'!$C:$FB,3)</f>
        <v>7768.5</v>
      </c>
      <c r="D172" s="140">
        <f>VLOOKUP($A172,'Data shares'!$C:$FB,4)</f>
        <v>7673</v>
      </c>
      <c r="E172" s="50">
        <f t="shared" si="6"/>
        <v>1.2446240062557017</v>
      </c>
      <c r="F172" s="49">
        <f>VLOOKUP($A172,'Data shares'!$C:$FB,98)</f>
        <v>3049125</v>
      </c>
      <c r="G172" s="49">
        <f>VLOOKUP($A172,'Data shares'!$C:$FB,99)</f>
        <v>2760750</v>
      </c>
      <c r="H172" s="50">
        <f t="shared" si="7"/>
        <v>10.445531105677805</v>
      </c>
      <c r="I172" s="49">
        <f>VLOOKUP($A172,'Data shares'!$C:$FB,66)</f>
        <v>4729250</v>
      </c>
      <c r="J172" s="49">
        <f>VLOOKUP($A172,'Data shares'!$C:$FB,67)</f>
        <v>1421125</v>
      </c>
      <c r="K172" s="50">
        <f t="shared" si="8"/>
        <v>69.950309245652051</v>
      </c>
      <c r="L172" s="50">
        <f>VLOOKUP($A172,'Data shares'!$C:$FB,118)</f>
        <v>0.48</v>
      </c>
      <c r="M172" s="50">
        <f>VLOOKUP($A172,'Data shares'!$C:$FB,119)</f>
        <v>0.57999999999999996</v>
      </c>
      <c r="N172" s="50">
        <f>VLOOKUP($A172,'Data shares'!$C:$FB,121)*100</f>
        <v>-17.239999999999998</v>
      </c>
      <c r="O172" s="50">
        <f>VLOOKUP($A172,'Data shares'!$C:$FB,124)</f>
        <v>0.27</v>
      </c>
      <c r="P172" s="50">
        <f>VLOOKUP($A172,'Data shares'!$C:$FB,125)</f>
        <v>0.67</v>
      </c>
      <c r="Q172" s="50">
        <f>VLOOKUP($A172,'Data shares'!$C:$FB,127)*100</f>
        <v>-59.699999999999996</v>
      </c>
    </row>
    <row r="173" spans="1:17" x14ac:dyDescent="0.25">
      <c r="A173" s="97" t="str">
        <f>'Data Vlaue (Cr)'!C168</f>
        <v>POWERGRID</v>
      </c>
      <c r="B173" s="140">
        <f>VLOOKUP($A173,'Data shares'!$C:$FB,7)</f>
        <v>289.14999999999998</v>
      </c>
      <c r="C173" s="140">
        <f>VLOOKUP($A173,'Data shares'!$C:$FB,3)</f>
        <v>289.60000000000002</v>
      </c>
      <c r="D173" s="140">
        <f>VLOOKUP($A173,'Data shares'!$C:$FB,4)</f>
        <v>286.89999999999998</v>
      </c>
      <c r="E173" s="50">
        <f t="shared" ref="E173:E182" si="9">(C173-D173)/D173*100</f>
        <v>0.94109445799931879</v>
      </c>
      <c r="F173" s="49">
        <f>VLOOKUP($A173,'Data shares'!$C:$FB,98)</f>
        <v>120233900</v>
      </c>
      <c r="G173" s="49">
        <f>VLOOKUP($A173,'Data shares'!$C:$FB,99)</f>
        <v>120254800</v>
      </c>
      <c r="H173" s="50">
        <f t="shared" ref="H173:H182" si="10">(F173-G173)/G173*100</f>
        <v>-1.7379763635214561E-2</v>
      </c>
      <c r="I173" s="49">
        <f>VLOOKUP($A173,'Data shares'!$C:$FB,66)</f>
        <v>59435800</v>
      </c>
      <c r="J173" s="49">
        <f>VLOOKUP($A173,'Data shares'!$C:$FB,67)</f>
        <v>38497800</v>
      </c>
      <c r="K173" s="50">
        <f t="shared" ref="K173:K182" si="11">(I173-J173)/I173*100</f>
        <v>35.227926603158366</v>
      </c>
      <c r="L173" s="50">
        <f>VLOOKUP($A173,'Data shares'!$C:$FB,118)</f>
        <v>0.51</v>
      </c>
      <c r="M173" s="50">
        <f>VLOOKUP($A173,'Data shares'!$C:$FB,119)</f>
        <v>0.51</v>
      </c>
      <c r="N173" s="50">
        <f>VLOOKUP($A173,'Data shares'!$C:$FB,121)*100</f>
        <v>0</v>
      </c>
      <c r="O173" s="50">
        <f>VLOOKUP($A173,'Data shares'!$C:$FB,124)</f>
        <v>0.42</v>
      </c>
      <c r="P173" s="50">
        <f>VLOOKUP($A173,'Data shares'!$C:$FB,125)</f>
        <v>0.59</v>
      </c>
      <c r="Q173" s="50">
        <f>VLOOKUP($A173,'Data shares'!$C:$FB,127)*100</f>
        <v>-28.810000000000002</v>
      </c>
    </row>
    <row r="174" spans="1:17" x14ac:dyDescent="0.25">
      <c r="A174" s="97" t="str">
        <f>'Data Vlaue (Cr)'!C169</f>
        <v>POWERINDIA</v>
      </c>
      <c r="B174" s="140">
        <f>VLOOKUP($A174,'Data shares'!$C:$FB,7)</f>
        <v>17645</v>
      </c>
      <c r="C174" s="140">
        <f>VLOOKUP($A174,'Data shares'!$C:$FB,3)</f>
        <v>17716</v>
      </c>
      <c r="D174" s="140">
        <f>VLOOKUP($A174,'Data shares'!$C:$FB,4)</f>
        <v>17840</v>
      </c>
      <c r="E174" s="50">
        <f t="shared" si="9"/>
        <v>-0.69506726457399104</v>
      </c>
      <c r="F174" s="49">
        <f>VLOOKUP($A174,'Data shares'!$C:$FB,98)</f>
        <v>115650</v>
      </c>
      <c r="G174" s="49">
        <f>VLOOKUP($A174,'Data shares'!$C:$FB,99)</f>
        <v>110000</v>
      </c>
      <c r="H174" s="50">
        <f t="shared" si="10"/>
        <v>5.1363636363636358</v>
      </c>
      <c r="I174" s="49">
        <f>VLOOKUP($A174,'Data shares'!$C:$FB,66)</f>
        <v>43800</v>
      </c>
      <c r="J174" s="49">
        <f>VLOOKUP($A174,'Data shares'!$C:$FB,67)</f>
        <v>63500</v>
      </c>
      <c r="K174" s="50">
        <f t="shared" si="11"/>
        <v>-44.977168949771688</v>
      </c>
      <c r="L174" s="50">
        <f>VLOOKUP($A174,'Data shares'!$C:$FB,118)</f>
        <v>0.28000000000000003</v>
      </c>
      <c r="M174" s="50">
        <f>VLOOKUP($A174,'Data shares'!$C:$FB,119)</f>
        <v>0.3</v>
      </c>
      <c r="N174" s="50">
        <f>VLOOKUP($A174,'Data shares'!$C:$FB,121)*100</f>
        <v>-6.67</v>
      </c>
      <c r="O174" s="50">
        <f>VLOOKUP($A174,'Data shares'!$C:$FB,124)</f>
        <v>0.19</v>
      </c>
      <c r="P174" s="50">
        <f>VLOOKUP($A174,'Data shares'!$C:$FB,125)</f>
        <v>0.23</v>
      </c>
      <c r="Q174" s="50">
        <f>VLOOKUP($A174,'Data shares'!$C:$FB,127)*100</f>
        <v>-17.39</v>
      </c>
    </row>
    <row r="175" spans="1:17" x14ac:dyDescent="0.25">
      <c r="A175" s="97" t="str">
        <f>'Data Vlaue (Cr)'!C170</f>
        <v>PPLPHARMA</v>
      </c>
      <c r="B175" s="140">
        <f>VLOOKUP($A175,'Data shares'!$C:$FB,7)</f>
        <v>201.69</v>
      </c>
      <c r="C175" s="140">
        <f>VLOOKUP($A175,'Data shares'!$C:$FB,3)</f>
        <v>202.83</v>
      </c>
      <c r="D175" s="140">
        <f>VLOOKUP($A175,'Data shares'!$C:$FB,4)</f>
        <v>198.72</v>
      </c>
      <c r="E175" s="50">
        <f t="shared" si="9"/>
        <v>2.068236714975852</v>
      </c>
      <c r="F175" s="49">
        <f>VLOOKUP($A175,'Data shares'!$C:$FB,98)</f>
        <v>38597500</v>
      </c>
      <c r="G175" s="49">
        <f>VLOOKUP($A175,'Data shares'!$C:$FB,99)</f>
        <v>34290000</v>
      </c>
      <c r="H175" s="50">
        <f t="shared" si="10"/>
        <v>12.561971420239137</v>
      </c>
      <c r="I175" s="49">
        <f>VLOOKUP($A175,'Data shares'!$C:$FB,66)</f>
        <v>76282500</v>
      </c>
      <c r="J175" s="49">
        <f>VLOOKUP($A175,'Data shares'!$C:$FB,67)</f>
        <v>26160000</v>
      </c>
      <c r="K175" s="50">
        <f t="shared" si="11"/>
        <v>65.706420214334869</v>
      </c>
      <c r="L175" s="50">
        <f>VLOOKUP($A175,'Data shares'!$C:$FB,118)</f>
        <v>0.66</v>
      </c>
      <c r="M175" s="50">
        <f>VLOOKUP($A175,'Data shares'!$C:$FB,119)</f>
        <v>0.48</v>
      </c>
      <c r="N175" s="50">
        <f>VLOOKUP($A175,'Data shares'!$C:$FB,121)*100</f>
        <v>37.5</v>
      </c>
      <c r="O175" s="50">
        <f>VLOOKUP($A175,'Data shares'!$C:$FB,124)</f>
        <v>0.4</v>
      </c>
      <c r="P175" s="50">
        <f>VLOOKUP($A175,'Data shares'!$C:$FB,125)</f>
        <v>0.28999999999999998</v>
      </c>
      <c r="Q175" s="50">
        <f>VLOOKUP($A175,'Data shares'!$C:$FB,127)*100</f>
        <v>37.93</v>
      </c>
    </row>
    <row r="176" spans="1:17" x14ac:dyDescent="0.25">
      <c r="A176" s="97" t="str">
        <f>'Data Vlaue (Cr)'!C171</f>
        <v>PRESTIGE</v>
      </c>
      <c r="B176" s="140">
        <f>VLOOKUP($A176,'Data shares'!$C:$FB,7)</f>
        <v>1621.6</v>
      </c>
      <c r="C176" s="140">
        <f>VLOOKUP($A176,'Data shares'!$C:$FB,3)</f>
        <v>1627.9</v>
      </c>
      <c r="D176" s="140">
        <f>VLOOKUP($A176,'Data shares'!$C:$FB,4)</f>
        <v>1587.9</v>
      </c>
      <c r="E176" s="50">
        <f t="shared" si="9"/>
        <v>2.5190503180301023</v>
      </c>
      <c r="F176" s="49">
        <f>VLOOKUP($A176,'Data shares'!$C:$FB,98)</f>
        <v>7848450</v>
      </c>
      <c r="G176" s="49">
        <f>VLOOKUP($A176,'Data shares'!$C:$FB,99)</f>
        <v>7476750</v>
      </c>
      <c r="H176" s="50">
        <f t="shared" si="10"/>
        <v>4.9714113752633162</v>
      </c>
      <c r="I176" s="49">
        <f>VLOOKUP($A176,'Data shares'!$C:$FB,66)</f>
        <v>12829500</v>
      </c>
      <c r="J176" s="49">
        <f>VLOOKUP($A176,'Data shares'!$C:$FB,67)</f>
        <v>21714750</v>
      </c>
      <c r="K176" s="50">
        <f t="shared" si="11"/>
        <v>-69.256401262714846</v>
      </c>
      <c r="L176" s="50">
        <f>VLOOKUP($A176,'Data shares'!$C:$FB,118)</f>
        <v>0.67</v>
      </c>
      <c r="M176" s="50">
        <f>VLOOKUP($A176,'Data shares'!$C:$FB,119)</f>
        <v>0.69</v>
      </c>
      <c r="N176" s="50">
        <f>VLOOKUP($A176,'Data shares'!$C:$FB,121)*100</f>
        <v>-2.9000000000000004</v>
      </c>
      <c r="O176" s="50">
        <f>VLOOKUP($A176,'Data shares'!$C:$FB,124)</f>
        <v>0.36</v>
      </c>
      <c r="P176" s="50">
        <f>VLOOKUP($A176,'Data shares'!$C:$FB,125)</f>
        <v>0.43</v>
      </c>
      <c r="Q176" s="50">
        <f>VLOOKUP($A176,'Data shares'!$C:$FB,127)*100</f>
        <v>-16.28</v>
      </c>
    </row>
    <row r="177" spans="1:17" x14ac:dyDescent="0.25">
      <c r="A177" s="97" t="str">
        <f>'Data Vlaue (Cr)'!C172</f>
        <v>RBLBANK</v>
      </c>
      <c r="B177" s="140">
        <f>VLOOKUP($A177,'Data shares'!$C:$FB,7)</f>
        <v>291.60000000000002</v>
      </c>
      <c r="C177" s="140">
        <f>VLOOKUP($A177,'Data shares'!$C:$FB,3)</f>
        <v>292.60000000000002</v>
      </c>
      <c r="D177" s="140">
        <f>VLOOKUP($A177,'Data shares'!$C:$FB,4)</f>
        <v>287.75</v>
      </c>
      <c r="E177" s="50">
        <f t="shared" si="9"/>
        <v>1.6854908774978357</v>
      </c>
      <c r="F177" s="49">
        <f>VLOOKUP($A177,'Data shares'!$C:$FB,98)</f>
        <v>110293150</v>
      </c>
      <c r="G177" s="49">
        <f>VLOOKUP($A177,'Data shares'!$C:$FB,99)</f>
        <v>112445800</v>
      </c>
      <c r="H177" s="50">
        <f t="shared" si="10"/>
        <v>-1.9143889767336795</v>
      </c>
      <c r="I177" s="49">
        <f>VLOOKUP($A177,'Data shares'!$C:$FB,66)</f>
        <v>2266950</v>
      </c>
      <c r="J177" s="49">
        <f>VLOOKUP($A177,'Data shares'!$C:$FB,67)</f>
        <v>1498600</v>
      </c>
      <c r="K177" s="50">
        <f t="shared" si="11"/>
        <v>33.893557422969188</v>
      </c>
      <c r="L177" s="50">
        <f>VLOOKUP($A177,'Data shares'!$C:$FB,118)</f>
        <v>0.43</v>
      </c>
      <c r="M177" s="50">
        <f>VLOOKUP($A177,'Data shares'!$C:$FB,119)</f>
        <v>0.43</v>
      </c>
      <c r="N177" s="50">
        <f>VLOOKUP($A177,'Data shares'!$C:$FB,121)*100</f>
        <v>0</v>
      </c>
      <c r="O177" s="50">
        <f>VLOOKUP($A177,'Data shares'!$C:$FB,124)</f>
        <v>0.42</v>
      </c>
      <c r="P177" s="50">
        <f>VLOOKUP($A177,'Data shares'!$C:$FB,125)</f>
        <v>0.43</v>
      </c>
      <c r="Q177" s="50">
        <f>VLOOKUP($A177,'Data shares'!$C:$FB,127)*100</f>
        <v>-2.33</v>
      </c>
    </row>
    <row r="178" spans="1:17" x14ac:dyDescent="0.25">
      <c r="A178" s="97" t="str">
        <f>'Data Vlaue (Cr)'!C173</f>
        <v>RECLTD</v>
      </c>
      <c r="B178" s="140">
        <f>VLOOKUP($A178,'Data shares'!$C:$FB,7)</f>
        <v>372.95</v>
      </c>
      <c r="C178" s="140">
        <f>VLOOKUP($A178,'Data shares'!$C:$FB,3)</f>
        <v>374.65</v>
      </c>
      <c r="D178" s="140">
        <f>VLOOKUP($A178,'Data shares'!$C:$FB,4)</f>
        <v>373.7</v>
      </c>
      <c r="E178" s="50">
        <f t="shared" si="9"/>
        <v>0.25421461065025119</v>
      </c>
      <c r="F178" s="49">
        <f>VLOOKUP($A178,'Data shares'!$C:$FB,98)</f>
        <v>134229450</v>
      </c>
      <c r="G178" s="49">
        <f>VLOOKUP($A178,'Data shares'!$C:$FB,99)</f>
        <v>130368750</v>
      </c>
      <c r="H178" s="50">
        <f t="shared" si="10"/>
        <v>2.9613691931540345</v>
      </c>
      <c r="I178" s="49">
        <f>VLOOKUP($A178,'Data shares'!$C:$FB,66)</f>
        <v>32944725</v>
      </c>
      <c r="J178" s="49">
        <f>VLOOKUP($A178,'Data shares'!$C:$FB,67)</f>
        <v>23257275</v>
      </c>
      <c r="K178" s="50">
        <f t="shared" si="11"/>
        <v>29.40516273849607</v>
      </c>
      <c r="L178" s="50">
        <f>VLOOKUP($A178,'Data shares'!$C:$FB,118)</f>
        <v>0.89</v>
      </c>
      <c r="M178" s="50">
        <f>VLOOKUP($A178,'Data shares'!$C:$FB,119)</f>
        <v>0.91</v>
      </c>
      <c r="N178" s="50">
        <f>VLOOKUP($A178,'Data shares'!$C:$FB,121)*100</f>
        <v>-2.1999999999999997</v>
      </c>
      <c r="O178" s="50">
        <f>VLOOKUP($A178,'Data shares'!$C:$FB,124)</f>
        <v>0.4</v>
      </c>
      <c r="P178" s="50">
        <f>VLOOKUP($A178,'Data shares'!$C:$FB,125)</f>
        <v>0.44</v>
      </c>
      <c r="Q178" s="50">
        <f>VLOOKUP($A178,'Data shares'!$C:$FB,127)*100</f>
        <v>-9.09</v>
      </c>
    </row>
    <row r="179" spans="1:17" x14ac:dyDescent="0.25">
      <c r="A179" s="97" t="str">
        <f>'Data Vlaue (Cr)'!C174</f>
        <v>RELIANCE</v>
      </c>
      <c r="B179" s="140">
        <f>VLOOKUP($A179,'Data shares'!$C:$FB,7)</f>
        <v>1381.7</v>
      </c>
      <c r="C179" s="140">
        <f>VLOOKUP($A179,'Data shares'!$C:$FB,3)</f>
        <v>1387.8</v>
      </c>
      <c r="D179" s="140">
        <f>VLOOKUP($A179,'Data shares'!$C:$FB,4)</f>
        <v>1381.9</v>
      </c>
      <c r="E179" s="50">
        <f t="shared" si="9"/>
        <v>0.42694840437078391</v>
      </c>
      <c r="F179" s="49">
        <f>VLOOKUP($A179,'Data shares'!$C:$FB,98)</f>
        <v>224181500</v>
      </c>
      <c r="G179" s="49">
        <f>VLOOKUP($A179,'Data shares'!$C:$FB,99)</f>
        <v>223457000</v>
      </c>
      <c r="H179" s="50">
        <f t="shared" si="10"/>
        <v>0.32422345238681272</v>
      </c>
      <c r="I179" s="49">
        <f>VLOOKUP($A179,'Data shares'!$C:$FB,66)</f>
        <v>64844000</v>
      </c>
      <c r="J179" s="49">
        <f>VLOOKUP($A179,'Data shares'!$C:$FB,67)</f>
        <v>75457500</v>
      </c>
      <c r="K179" s="50">
        <f t="shared" si="11"/>
        <v>-16.367744124360005</v>
      </c>
      <c r="L179" s="50">
        <f>VLOOKUP($A179,'Data shares'!$C:$FB,118)</f>
        <v>0.73</v>
      </c>
      <c r="M179" s="50">
        <f>VLOOKUP($A179,'Data shares'!$C:$FB,119)</f>
        <v>0.73</v>
      </c>
      <c r="N179" s="50">
        <f>VLOOKUP($A179,'Data shares'!$C:$FB,121)*100</f>
        <v>0</v>
      </c>
      <c r="O179" s="50">
        <f>VLOOKUP($A179,'Data shares'!$C:$FB,124)</f>
        <v>0.53</v>
      </c>
      <c r="P179" s="50">
        <f>VLOOKUP($A179,'Data shares'!$C:$FB,125)</f>
        <v>0.56000000000000005</v>
      </c>
      <c r="Q179" s="50">
        <f>VLOOKUP($A179,'Data shares'!$C:$FB,127)*100</f>
        <v>-5.36</v>
      </c>
    </row>
    <row r="180" spans="1:17" x14ac:dyDescent="0.25">
      <c r="A180" s="97" t="str">
        <f>'Data Vlaue (Cr)'!C175</f>
        <v>RVNL</v>
      </c>
      <c r="B180" s="140">
        <f>VLOOKUP($A180,'Data shares'!$C:$FB,7)</f>
        <v>342</v>
      </c>
      <c r="C180" s="140">
        <f>VLOOKUP($A180,'Data shares'!$C:$FB,3)</f>
        <v>340.65</v>
      </c>
      <c r="D180" s="140">
        <f>VLOOKUP($A180,'Data shares'!$C:$FB,4)</f>
        <v>343.4</v>
      </c>
      <c r="E180" s="50">
        <f t="shared" si="9"/>
        <v>-0.80081537565521266</v>
      </c>
      <c r="F180" s="49">
        <f>VLOOKUP($A180,'Data shares'!$C:$FB,98)</f>
        <v>67199000</v>
      </c>
      <c r="G180" s="49">
        <f>VLOOKUP($A180,'Data shares'!$C:$FB,99)</f>
        <v>65793750</v>
      </c>
      <c r="H180" s="50">
        <f t="shared" si="10"/>
        <v>2.1358411703239288</v>
      </c>
      <c r="I180" s="49">
        <f>VLOOKUP($A180,'Data shares'!$C:$FB,66)</f>
        <v>18756375</v>
      </c>
      <c r="J180" s="49">
        <f>VLOOKUP($A180,'Data shares'!$C:$FB,67)</f>
        <v>28730625</v>
      </c>
      <c r="K180" s="50">
        <f t="shared" si="11"/>
        <v>-53.177919507367498</v>
      </c>
      <c r="L180" s="50">
        <f>VLOOKUP($A180,'Data shares'!$C:$FB,118)</f>
        <v>0.4</v>
      </c>
      <c r="M180" s="50">
        <f>VLOOKUP($A180,'Data shares'!$C:$FB,119)</f>
        <v>0.4</v>
      </c>
      <c r="N180" s="50">
        <f>VLOOKUP($A180,'Data shares'!$C:$FB,121)*100</f>
        <v>0</v>
      </c>
      <c r="O180" s="50">
        <f>VLOOKUP($A180,'Data shares'!$C:$FB,124)</f>
        <v>0.3</v>
      </c>
      <c r="P180" s="50">
        <f>VLOOKUP($A180,'Data shares'!$C:$FB,125)</f>
        <v>0.27</v>
      </c>
      <c r="Q180" s="50">
        <f>VLOOKUP($A180,'Data shares'!$C:$FB,127)*100</f>
        <v>11.110000000000001</v>
      </c>
    </row>
    <row r="181" spans="1:17" x14ac:dyDescent="0.25">
      <c r="A181" s="97" t="str">
        <f>'Data Vlaue (Cr)'!C176</f>
        <v>SAIL</v>
      </c>
      <c r="B181" s="140">
        <f>VLOOKUP($A181,'Data shares'!$C:$FB,7)</f>
        <v>132.16999999999999</v>
      </c>
      <c r="C181" s="140">
        <f>VLOOKUP($A181,'Data shares'!$C:$FB,3)</f>
        <v>132.71</v>
      </c>
      <c r="D181" s="140">
        <f>VLOOKUP($A181,'Data shares'!$C:$FB,4)</f>
        <v>137.22</v>
      </c>
      <c r="E181" s="50">
        <f t="shared" si="9"/>
        <v>-3.2866929019093361</v>
      </c>
      <c r="F181" s="49">
        <f>VLOOKUP($A181,'Data shares'!$C:$FB,98)</f>
        <v>285952700</v>
      </c>
      <c r="G181" s="49">
        <f>VLOOKUP($A181,'Data shares'!$C:$FB,99)</f>
        <v>266377200</v>
      </c>
      <c r="H181" s="50">
        <f t="shared" si="10"/>
        <v>7.348789611122875</v>
      </c>
      <c r="I181" s="49">
        <f>VLOOKUP($A181,'Data shares'!$C:$FB,66)</f>
        <v>146541300</v>
      </c>
      <c r="J181" s="49">
        <f>VLOOKUP($A181,'Data shares'!$C:$FB,67)</f>
        <v>261799400</v>
      </c>
      <c r="K181" s="50">
        <f t="shared" si="11"/>
        <v>-78.652298021103945</v>
      </c>
      <c r="L181" s="50">
        <f>VLOOKUP($A181,'Data shares'!$C:$FB,118)</f>
        <v>0.51</v>
      </c>
      <c r="M181" s="50">
        <f>VLOOKUP($A181,'Data shares'!$C:$FB,119)</f>
        <v>0.57999999999999996</v>
      </c>
      <c r="N181" s="50">
        <f>VLOOKUP($A181,'Data shares'!$C:$FB,121)*100</f>
        <v>-12.07</v>
      </c>
      <c r="O181" s="50">
        <f>VLOOKUP($A181,'Data shares'!$C:$FB,124)</f>
        <v>0.4</v>
      </c>
      <c r="P181" s="50">
        <f>VLOOKUP($A181,'Data shares'!$C:$FB,125)</f>
        <v>0.51</v>
      </c>
      <c r="Q181" s="50">
        <f>VLOOKUP($A181,'Data shares'!$C:$FB,127)*100</f>
        <v>-21.57</v>
      </c>
    </row>
    <row r="182" spans="1:17" x14ac:dyDescent="0.25">
      <c r="A182" s="97" t="str">
        <f>'Data Vlaue (Cr)'!C177</f>
        <v>SAMMAANCAP</v>
      </c>
      <c r="B182" s="140">
        <f>VLOOKUP($A182,'Data shares'!$C:$FB,7)</f>
        <v>162.22</v>
      </c>
      <c r="C182" s="140">
        <f>VLOOKUP($A182,'Data shares'!$C:$FB,3)</f>
        <v>163.13</v>
      </c>
      <c r="D182" s="140">
        <f>VLOOKUP($A182,'Data shares'!$C:$FB,4)</f>
        <v>162.19999999999999</v>
      </c>
      <c r="E182" s="50">
        <f t="shared" si="9"/>
        <v>0.57336621454994263</v>
      </c>
      <c r="F182" s="49">
        <f>VLOOKUP($A182,'Data shares'!$C:$FB,98)</f>
        <v>175977500</v>
      </c>
      <c r="G182" s="49">
        <f>VLOOKUP($A182,'Data shares'!$C:$FB,99)</f>
        <v>168130000</v>
      </c>
      <c r="H182" s="50">
        <f t="shared" si="10"/>
        <v>4.6675191815856776</v>
      </c>
      <c r="I182" s="49">
        <f>VLOOKUP($A182,'Data shares'!$C:$FB,66)</f>
        <v>96702700</v>
      </c>
      <c r="J182" s="49">
        <f>VLOOKUP($A182,'Data shares'!$C:$FB,67)</f>
        <v>46435700</v>
      </c>
      <c r="K182" s="50">
        <f t="shared" si="11"/>
        <v>51.980968473475919</v>
      </c>
      <c r="L182" s="50">
        <f>VLOOKUP($A182,'Data shares'!$C:$FB,118)</f>
        <v>1.01</v>
      </c>
      <c r="M182" s="50">
        <f>VLOOKUP($A182,'Data shares'!$C:$FB,119)</f>
        <v>1.03</v>
      </c>
      <c r="N182" s="50">
        <f>VLOOKUP($A182,'Data shares'!$C:$FB,121)*100</f>
        <v>-1.94</v>
      </c>
      <c r="O182" s="50">
        <f>VLOOKUP($A182,'Data shares'!$C:$FB,124)</f>
        <v>0.5</v>
      </c>
      <c r="P182" s="50">
        <f>VLOOKUP($A182,'Data shares'!$C:$FB,125)</f>
        <v>0.71</v>
      </c>
      <c r="Q182" s="50">
        <f>VLOOKUP($A182,'Data shares'!$C:$FB,127)*100</f>
        <v>-29.580000000000002</v>
      </c>
    </row>
    <row r="183" spans="1:17" x14ac:dyDescent="0.25">
      <c r="A183" s="97" t="str">
        <f>'Data Vlaue (Cr)'!C178</f>
        <v>SBICARD</v>
      </c>
      <c r="B183" s="140">
        <f>VLOOKUP($A183,'Data shares'!$C:$FB,7)</f>
        <v>921.75</v>
      </c>
      <c r="C183" s="140">
        <f>VLOOKUP($A183,'Data shares'!$C:$FB,3)</f>
        <v>912.2</v>
      </c>
      <c r="D183" s="140">
        <f>VLOOKUP($A183,'Data shares'!$C:$FB,4)</f>
        <v>912.75</v>
      </c>
      <c r="E183" s="50">
        <f>(C183-D183)/D183*100</f>
        <v>-6.0257463708568014E-2</v>
      </c>
      <c r="F183" s="49">
        <f>VLOOKUP($A183,'Data shares'!$C:$FB,98)</f>
        <v>30353600</v>
      </c>
      <c r="G183" s="49">
        <f>VLOOKUP($A183,'Data shares'!$C:$FB,99)</f>
        <v>29804000</v>
      </c>
      <c r="H183" s="50">
        <f>(F183-G183)/G183*100</f>
        <v>1.8440477788216347</v>
      </c>
      <c r="I183" s="49">
        <f>VLOOKUP($A183,'Data shares'!$C:$FB,66)</f>
        <v>11016800</v>
      </c>
      <c r="J183" s="49">
        <f>VLOOKUP($A183,'Data shares'!$C:$FB,67)</f>
        <v>11359200</v>
      </c>
      <c r="K183" s="50">
        <f>(I183-J183)/I183*100</f>
        <v>-3.1079805388134485</v>
      </c>
      <c r="L183" s="50">
        <f>VLOOKUP($A183,'Data shares'!$C:$FB,118)</f>
        <v>0.6</v>
      </c>
      <c r="M183" s="50">
        <f>VLOOKUP($A183,'Data shares'!$C:$FB,119)</f>
        <v>0.63</v>
      </c>
      <c r="N183" s="50">
        <f>VLOOKUP($A183,'Data shares'!$C:$FB,121)*100</f>
        <v>-4.7600000000000007</v>
      </c>
      <c r="O183" s="50">
        <f>VLOOKUP($A183,'Data shares'!$C:$FB,124)</f>
        <v>0.47</v>
      </c>
      <c r="P183" s="50">
        <f>VLOOKUP($A183,'Data shares'!$C:$FB,125)</f>
        <v>0.55000000000000004</v>
      </c>
      <c r="Q183" s="50">
        <f>VLOOKUP($A183,'Data shares'!$C:$FB,127)*100</f>
        <v>-14.549999999999999</v>
      </c>
    </row>
    <row r="184" spans="1:17" x14ac:dyDescent="0.25">
      <c r="A184" s="97" t="str">
        <f>'Data Vlaue (Cr)'!C179</f>
        <v>SBILIFE</v>
      </c>
      <c r="B184" s="140">
        <f>VLOOKUP($A184,'Data shares'!$C:$FB,7)</f>
        <v>1810.4</v>
      </c>
      <c r="C184" s="140">
        <f>VLOOKUP($A184,'Data shares'!$C:$FB,3)</f>
        <v>1820.4</v>
      </c>
      <c r="D184" s="140">
        <f>VLOOKUP($A184,'Data shares'!$C:$FB,4)</f>
        <v>1817.1</v>
      </c>
      <c r="E184" s="50">
        <f t="shared" ref="E184:E189" si="12">(C184-D184)/D184*100</f>
        <v>0.18160805679380232</v>
      </c>
      <c r="F184" s="49">
        <f>VLOOKUP($A184,'Data shares'!$C:$FB,98)</f>
        <v>10534500</v>
      </c>
      <c r="G184" s="49">
        <f>VLOOKUP($A184,'Data shares'!$C:$FB,99)</f>
        <v>9366750</v>
      </c>
      <c r="H184" s="50">
        <f t="shared" ref="H184:H189" si="13">(F184-G184)/G184*100</f>
        <v>12.466970934422292</v>
      </c>
      <c r="I184" s="49">
        <f>VLOOKUP($A184,'Data shares'!$C:$FB,66)</f>
        <v>11584875</v>
      </c>
      <c r="J184" s="49">
        <f>VLOOKUP($A184,'Data shares'!$C:$FB,67)</f>
        <v>6309375</v>
      </c>
      <c r="K184" s="50">
        <f t="shared" ref="K184:K189" si="14">(I184-J184)/I184*100</f>
        <v>45.537824102547503</v>
      </c>
      <c r="L184" s="50">
        <f>VLOOKUP($A184,'Data shares'!$C:$FB,118)</f>
        <v>0.49</v>
      </c>
      <c r="M184" s="50">
        <f>VLOOKUP($A184,'Data shares'!$C:$FB,119)</f>
        <v>0.56999999999999995</v>
      </c>
      <c r="N184" s="50">
        <f>VLOOKUP($A184,'Data shares'!$C:$FB,121)*100</f>
        <v>-14.04</v>
      </c>
      <c r="O184" s="50">
        <f>VLOOKUP($A184,'Data shares'!$C:$FB,124)</f>
        <v>0.35</v>
      </c>
      <c r="P184" s="50">
        <f>VLOOKUP($A184,'Data shares'!$C:$FB,125)</f>
        <v>0.41</v>
      </c>
      <c r="Q184" s="50">
        <f>VLOOKUP($A184,'Data shares'!$C:$FB,127)*100</f>
        <v>-14.63</v>
      </c>
    </row>
    <row r="185" spans="1:17" x14ac:dyDescent="0.25">
      <c r="A185" s="97" t="str">
        <f>'Data Vlaue (Cr)'!C180</f>
        <v>SBIN</v>
      </c>
      <c r="B185" s="140">
        <f>VLOOKUP($A185,'Data shares'!$C:$FB,7)</f>
        <v>880.65</v>
      </c>
      <c r="C185" s="140">
        <f>VLOOKUP($A185,'Data shares'!$C:$FB,3)</f>
        <v>883.35</v>
      </c>
      <c r="D185" s="140">
        <f>VLOOKUP($A185,'Data shares'!$C:$FB,4)</f>
        <v>866.85</v>
      </c>
      <c r="E185" s="50">
        <f t="shared" si="12"/>
        <v>1.9034435023360441</v>
      </c>
      <c r="F185" s="49">
        <f>VLOOKUP($A185,'Data shares'!$C:$FB,98)</f>
        <v>172230750</v>
      </c>
      <c r="G185" s="49">
        <f>VLOOKUP($A185,'Data shares'!$C:$FB,99)</f>
        <v>173742000</v>
      </c>
      <c r="H185" s="50">
        <f t="shared" si="13"/>
        <v>-0.86982422212245736</v>
      </c>
      <c r="I185" s="49">
        <f>VLOOKUP($A185,'Data shares'!$C:$FB,66)</f>
        <v>264138750</v>
      </c>
      <c r="J185" s="49">
        <f>VLOOKUP($A185,'Data shares'!$C:$FB,67)</f>
        <v>77118750</v>
      </c>
      <c r="K185" s="50">
        <f t="shared" si="14"/>
        <v>70.803696920652499</v>
      </c>
      <c r="L185" s="50">
        <f>VLOOKUP($A185,'Data shares'!$C:$FB,118)</f>
        <v>0.68</v>
      </c>
      <c r="M185" s="50">
        <f>VLOOKUP($A185,'Data shares'!$C:$FB,119)</f>
        <v>0.56999999999999995</v>
      </c>
      <c r="N185" s="50">
        <f>VLOOKUP($A185,'Data shares'!$C:$FB,121)*100</f>
        <v>19.3</v>
      </c>
      <c r="O185" s="50">
        <f>VLOOKUP($A185,'Data shares'!$C:$FB,124)</f>
        <v>0.5</v>
      </c>
      <c r="P185" s="50">
        <f>VLOOKUP($A185,'Data shares'!$C:$FB,125)</f>
        <v>0.57999999999999996</v>
      </c>
      <c r="Q185" s="50">
        <f>VLOOKUP($A185,'Data shares'!$C:$FB,127)*100</f>
        <v>-13.79</v>
      </c>
    </row>
    <row r="186" spans="1:17" x14ac:dyDescent="0.25">
      <c r="A186" s="97" t="str">
        <f>'Data Vlaue (Cr)'!C181</f>
        <v>SHREECEM</v>
      </c>
      <c r="B186" s="140">
        <f>VLOOKUP($A186,'Data shares'!$C:$FB,7)</f>
        <v>29445</v>
      </c>
      <c r="C186" s="140">
        <f>VLOOKUP($A186,'Data shares'!$C:$FB,3)</f>
        <v>29605</v>
      </c>
      <c r="D186" s="140">
        <f>VLOOKUP($A186,'Data shares'!$C:$FB,4)</f>
        <v>29655</v>
      </c>
      <c r="E186" s="50">
        <f t="shared" si="12"/>
        <v>-0.16860563142808968</v>
      </c>
      <c r="F186" s="49">
        <f>VLOOKUP($A186,'Data shares'!$C:$FB,98)</f>
        <v>273000</v>
      </c>
      <c r="G186" s="49">
        <f>VLOOKUP($A186,'Data shares'!$C:$FB,99)</f>
        <v>273075</v>
      </c>
      <c r="H186" s="50">
        <f t="shared" si="13"/>
        <v>-2.7464982147761604E-2</v>
      </c>
      <c r="I186" s="49">
        <f>VLOOKUP($A186,'Data shares'!$C:$FB,66)</f>
        <v>32000</v>
      </c>
      <c r="J186" s="49">
        <f>VLOOKUP($A186,'Data shares'!$C:$FB,67)</f>
        <v>66225</v>
      </c>
      <c r="K186" s="50">
        <f t="shared" si="14"/>
        <v>-106.953125</v>
      </c>
      <c r="L186" s="50">
        <f>VLOOKUP($A186,'Data shares'!$C:$FB,118)</f>
        <v>0.76</v>
      </c>
      <c r="M186" s="50">
        <f>VLOOKUP($A186,'Data shares'!$C:$FB,119)</f>
        <v>0.77</v>
      </c>
      <c r="N186" s="50">
        <f>VLOOKUP($A186,'Data shares'!$C:$FB,121)*100</f>
        <v>-1.3</v>
      </c>
      <c r="O186" s="50">
        <f>VLOOKUP($A186,'Data shares'!$C:$FB,124)</f>
        <v>0.28000000000000003</v>
      </c>
      <c r="P186" s="50">
        <f>VLOOKUP($A186,'Data shares'!$C:$FB,125)</f>
        <v>1.4</v>
      </c>
      <c r="Q186" s="50">
        <f>VLOOKUP($A186,'Data shares'!$C:$FB,127)*100</f>
        <v>-80</v>
      </c>
    </row>
    <row r="187" spans="1:17" x14ac:dyDescent="0.25">
      <c r="A187" s="97" t="str">
        <f>'Data Vlaue (Cr)'!C182</f>
        <v>SHRIRAMFIN</v>
      </c>
      <c r="B187" s="140">
        <f>VLOOKUP($A187,'Data shares'!$C:$FB,7)</f>
        <v>665.05</v>
      </c>
      <c r="C187" s="140">
        <f>VLOOKUP($A187,'Data shares'!$C:$FB,3)</f>
        <v>667.3</v>
      </c>
      <c r="D187" s="140">
        <f>VLOOKUP($A187,'Data shares'!$C:$FB,4)</f>
        <v>671.7</v>
      </c>
      <c r="E187" s="50">
        <f t="shared" si="12"/>
        <v>-0.65505433973501426</v>
      </c>
      <c r="F187" s="49">
        <f>VLOOKUP($A187,'Data shares'!$C:$FB,98)</f>
        <v>62994525</v>
      </c>
      <c r="G187" s="49">
        <f>VLOOKUP($A187,'Data shares'!$C:$FB,99)</f>
        <v>63621525</v>
      </c>
      <c r="H187" s="50">
        <f t="shared" si="13"/>
        <v>-0.98551551538571258</v>
      </c>
      <c r="I187" s="49">
        <f>VLOOKUP($A187,'Data shares'!$C:$FB,66)</f>
        <v>13001175</v>
      </c>
      <c r="J187" s="49">
        <f>VLOOKUP($A187,'Data shares'!$C:$FB,67)</f>
        <v>11667150</v>
      </c>
      <c r="K187" s="50">
        <f t="shared" si="14"/>
        <v>10.2608033504664</v>
      </c>
      <c r="L187" s="50">
        <f>VLOOKUP($A187,'Data shares'!$C:$FB,118)</f>
        <v>0.93</v>
      </c>
      <c r="M187" s="50">
        <f>VLOOKUP($A187,'Data shares'!$C:$FB,119)</f>
        <v>0.94</v>
      </c>
      <c r="N187" s="50">
        <f>VLOOKUP($A187,'Data shares'!$C:$FB,121)*100</f>
        <v>-1.06</v>
      </c>
      <c r="O187" s="50">
        <f>VLOOKUP($A187,'Data shares'!$C:$FB,124)</f>
        <v>0.56999999999999995</v>
      </c>
      <c r="P187" s="50">
        <f>VLOOKUP($A187,'Data shares'!$C:$FB,125)</f>
        <v>0.56999999999999995</v>
      </c>
      <c r="Q187" s="50">
        <f>VLOOKUP($A187,'Data shares'!$C:$FB,127)*100</f>
        <v>0</v>
      </c>
    </row>
    <row r="188" spans="1:17" x14ac:dyDescent="0.25">
      <c r="A188" s="97" t="str">
        <f>'Data Vlaue (Cr)'!C183</f>
        <v>SIEMENS</v>
      </c>
      <c r="B188" s="140">
        <f>VLOOKUP($A188,'Data shares'!$C:$FB,7)</f>
        <v>3147.4</v>
      </c>
      <c r="C188" s="140">
        <f>VLOOKUP($A188,'Data shares'!$C:$FB,3)</f>
        <v>3157.5</v>
      </c>
      <c r="D188" s="140">
        <f>VLOOKUP($A188,'Data shares'!$C:$FB,4)</f>
        <v>3188.2</v>
      </c>
      <c r="E188" s="50">
        <f t="shared" si="12"/>
        <v>-0.96292578884636537</v>
      </c>
      <c r="F188" s="49">
        <f>VLOOKUP($A188,'Data shares'!$C:$FB,98)</f>
        <v>3628250</v>
      </c>
      <c r="G188" s="49">
        <f>VLOOKUP($A188,'Data shares'!$C:$FB,99)</f>
        <v>3475750</v>
      </c>
      <c r="H188" s="50">
        <f t="shared" si="13"/>
        <v>4.3875422570668201</v>
      </c>
      <c r="I188" s="49">
        <f>VLOOKUP($A188,'Data shares'!$C:$FB,66)</f>
        <v>2329875</v>
      </c>
      <c r="J188" s="49">
        <f>VLOOKUP($A188,'Data shares'!$C:$FB,67)</f>
        <v>1957750</v>
      </c>
      <c r="K188" s="50">
        <f t="shared" si="14"/>
        <v>15.971886903803853</v>
      </c>
      <c r="L188" s="50">
        <f>VLOOKUP($A188,'Data shares'!$C:$FB,118)</f>
        <v>0.41</v>
      </c>
      <c r="M188" s="50">
        <f>VLOOKUP($A188,'Data shares'!$C:$FB,119)</f>
        <v>0.45</v>
      </c>
      <c r="N188" s="50">
        <f>VLOOKUP($A188,'Data shares'!$C:$FB,121)*100</f>
        <v>-8.89</v>
      </c>
      <c r="O188" s="50">
        <f>VLOOKUP($A188,'Data shares'!$C:$FB,124)</f>
        <v>0.31</v>
      </c>
      <c r="P188" s="50">
        <f>VLOOKUP($A188,'Data shares'!$C:$FB,125)</f>
        <v>0.49</v>
      </c>
      <c r="Q188" s="50">
        <f>VLOOKUP($A188,'Data shares'!$C:$FB,127)*100</f>
        <v>-36.730000000000004</v>
      </c>
    </row>
    <row r="189" spans="1:17" x14ac:dyDescent="0.25">
      <c r="A189" s="97" t="str">
        <f>'Data Vlaue (Cr)'!C216</f>
        <v>ZYDUSLIFE</v>
      </c>
      <c r="B189" s="140">
        <f>VLOOKUP($A189,'Data shares'!$C:$FB,7)</f>
        <v>993.45</v>
      </c>
      <c r="C189" s="140">
        <f>VLOOKUP($A189,'Data shares'!$C:$FB,3)</f>
        <v>999.2</v>
      </c>
      <c r="D189" s="140">
        <f>VLOOKUP($A189,'Data shares'!$C:$FB,4)</f>
        <v>1000.1</v>
      </c>
      <c r="E189" s="50">
        <f t="shared" si="12"/>
        <v>-8.9991000899907733E-2</v>
      </c>
      <c r="F189" s="49">
        <f>VLOOKUP($A189,'Data shares'!$C:$FB,98)</f>
        <v>14105700</v>
      </c>
      <c r="G189" s="49">
        <f>VLOOKUP($A189,'Data shares'!$C:$FB,99)</f>
        <v>13554000</v>
      </c>
      <c r="H189" s="50">
        <f t="shared" si="13"/>
        <v>4.0703851261620185</v>
      </c>
      <c r="I189" s="49">
        <f>VLOOKUP($A189,'Data shares'!$C:$FB,66)</f>
        <v>12168900</v>
      </c>
      <c r="J189" s="49">
        <f>VLOOKUP($A189,'Data shares'!$C:$FB,67)</f>
        <v>15173100</v>
      </c>
      <c r="K189" s="50">
        <f t="shared" si="14"/>
        <v>-24.687523112195844</v>
      </c>
      <c r="L189" s="50">
        <f>VLOOKUP($A189,'Data shares'!$C:$FB,118)</f>
        <v>0.62</v>
      </c>
      <c r="M189" s="50">
        <f>VLOOKUP($A189,'Data shares'!$C:$FB,119)</f>
        <v>0.6</v>
      </c>
      <c r="N189" s="50">
        <f>VLOOKUP($A189,'Data shares'!$C:$FB,121)*100</f>
        <v>3.3300000000000005</v>
      </c>
      <c r="O189" s="50">
        <f>VLOOKUP($A189,'Data shares'!$C:$FB,124)</f>
        <v>0.4</v>
      </c>
      <c r="P189" s="50">
        <f>VLOOKUP($A189,'Data shares'!$C:$FB,125)</f>
        <v>0.22</v>
      </c>
      <c r="Q189" s="50">
        <f>VLOOKUP($A189,'Data shares'!$C:$FB,127)*100</f>
        <v>81.820000000000007</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57" t="s">
        <v>391</v>
      </c>
      <c r="B231" s="257"/>
      <c r="C231" s="257"/>
      <c r="D231" s="257"/>
      <c r="E231" s="257"/>
      <c r="F231" s="113">
        <f>SUM(F7:F172)</f>
        <v>20751087167</v>
      </c>
      <c r="G231" s="113">
        <f>SUM(G7:G172)</f>
        <v>20478762361</v>
      </c>
      <c r="H231" s="114">
        <f>(F231-G231)/G231*100</f>
        <v>1.329791328203596</v>
      </c>
      <c r="I231" s="113">
        <f>SUM(I7:I172)</f>
        <v>16073971772</v>
      </c>
      <c r="J231" s="113">
        <f>SUM(J7:J172)</f>
        <v>12801169245</v>
      </c>
      <c r="K231" s="114">
        <f>(I231-J231)/J231*100</f>
        <v>25.566434318320741</v>
      </c>
      <c r="L231" s="113"/>
      <c r="M231" s="113"/>
      <c r="N231" s="113"/>
      <c r="O231" s="113"/>
      <c r="P231" s="257"/>
      <c r="Q231" s="257"/>
    </row>
    <row r="232" spans="1:17" s="64" customFormat="1" x14ac:dyDescent="0.25">
      <c r="A232" s="257" t="s">
        <v>398</v>
      </c>
      <c r="B232" s="257"/>
      <c r="C232" s="257"/>
      <c r="D232" s="257"/>
      <c r="E232" s="257"/>
      <c r="F232" s="113">
        <f>F231/10000000</f>
        <v>2075.1087167000001</v>
      </c>
      <c r="G232" s="113">
        <f>G231/10000000</f>
        <v>2047.8762360999999</v>
      </c>
      <c r="H232" s="114">
        <f>(F232-G232)/G232*100</f>
        <v>1.3297913282036031</v>
      </c>
      <c r="I232" s="113">
        <f>I231/10000000</f>
        <v>1607.3971772</v>
      </c>
      <c r="J232" s="113">
        <f>J231/10000000</f>
        <v>1280.1169245000001</v>
      </c>
      <c r="K232" s="114">
        <f>(I232-J232)/J232*100</f>
        <v>25.566434318320731</v>
      </c>
      <c r="L232" s="113"/>
      <c r="M232" s="113"/>
      <c r="N232" s="113"/>
      <c r="O232" s="113"/>
      <c r="P232" s="257"/>
      <c r="Q232" s="257"/>
    </row>
  </sheetData>
  <mergeCells count="15">
    <mergeCell ref="A3:Q3"/>
    <mergeCell ref="A4:A5"/>
    <mergeCell ref="B4:E4"/>
    <mergeCell ref="F4:H4"/>
    <mergeCell ref="I4:K4"/>
    <mergeCell ref="L4:Q4"/>
    <mergeCell ref="A232:E232"/>
    <mergeCell ref="P231:Q231"/>
    <mergeCell ref="P232:Q232"/>
    <mergeCell ref="A231:E231"/>
    <mergeCell ref="O5:Q5"/>
    <mergeCell ref="C5:E5"/>
    <mergeCell ref="F5:H5"/>
    <mergeCell ref="I5:K5"/>
    <mergeCell ref="L5:N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45940</v>
      </c>
      <c r="E6" s="66" t="s">
        <v>368</v>
      </c>
      <c r="F6" s="71" t="s">
        <v>333</v>
      </c>
      <c r="G6" s="71" t="s">
        <v>328</v>
      </c>
      <c r="H6" s="66">
        <f>D6</f>
        <v>45940</v>
      </c>
      <c r="I6" s="71" t="s">
        <v>322</v>
      </c>
      <c r="J6" s="71" t="s">
        <v>328</v>
      </c>
      <c r="K6" s="66">
        <f>D6</f>
        <v>45940</v>
      </c>
      <c r="L6" s="78" t="s">
        <v>333</v>
      </c>
      <c r="M6" s="78" t="s">
        <v>328</v>
      </c>
      <c r="N6" s="66">
        <f>D6</f>
        <v>45940</v>
      </c>
      <c r="O6" s="78" t="s">
        <v>322</v>
      </c>
      <c r="P6" s="78" t="s">
        <v>328</v>
      </c>
    </row>
    <row r="7" spans="1:36" x14ac:dyDescent="0.25">
      <c r="A7" s="79" t="str">
        <f>'Data shares'!B2</f>
        <v>Finance</v>
      </c>
      <c r="B7" s="79" t="str">
        <f>'Data shares'!C2</f>
        <v>360ONE</v>
      </c>
      <c r="C7" s="79">
        <f>VLOOKUP($B7,'Data shares'!$C:$FB,7)</f>
        <v>1095.0999999999999</v>
      </c>
      <c r="D7" s="165">
        <f>VLOOKUP($B7,'Data shares'!$C:$FB,98)</f>
        <v>4059000</v>
      </c>
      <c r="E7" s="165">
        <f>VLOOKUP(B7,'Snapshot (Volume)'!$A$7:$G$168,7,0)</f>
        <v>4044000</v>
      </c>
      <c r="F7" s="165">
        <f>D7-E7</f>
        <v>15000</v>
      </c>
      <c r="G7" s="166">
        <f>F7/E7</f>
        <v>3.70919881305638E-3</v>
      </c>
      <c r="H7" s="165">
        <f>VLOOKUP($B7,'Data shares'!$C:$FB,66)</f>
        <v>1488500</v>
      </c>
      <c r="I7" s="165">
        <f>VLOOKUP($B7,'Data shares'!$C:$FB,67)</f>
        <v>1249000</v>
      </c>
      <c r="J7" s="81">
        <f>(H7-I7)/I7*100</f>
        <v>19.175340272217774</v>
      </c>
      <c r="K7" s="81">
        <f>VLOOKUP($B7,'Data Vlaue (Cr)'!$C:$FB,99)</f>
        <v>444</v>
      </c>
      <c r="L7" s="81">
        <f>VLOOKUP(B7,'OI(Value)'!$A$7:$C$209,3,0)</f>
        <v>2</v>
      </c>
      <c r="M7" s="81">
        <f t="shared" ref="M7:M36" si="0">L7/K7*100</f>
        <v>0.45045045045045046</v>
      </c>
      <c r="N7" s="81">
        <f>VLOOKUP($B7,'Data Vlaue (Cr)'!$C:$FB,67)</f>
        <v>163</v>
      </c>
      <c r="O7" s="81">
        <f>VLOOKUP($B7,'Data Vlaue (Cr)'!$C:$FB,68)</f>
        <v>137</v>
      </c>
      <c r="P7" s="81">
        <f t="shared" ref="P7:P23" si="1">(N7-O7)/N7*100</f>
        <v>15.950920245398773</v>
      </c>
      <c r="Q7" s="1"/>
      <c r="R7" s="1"/>
      <c r="S7" s="1"/>
      <c r="T7" s="1"/>
      <c r="U7" s="1"/>
      <c r="V7" s="1"/>
      <c r="W7" s="1"/>
      <c r="X7" s="1"/>
      <c r="Y7" s="1"/>
      <c r="Z7" s="1"/>
      <c r="AA7" s="1"/>
      <c r="AB7" s="1"/>
      <c r="AC7" s="1"/>
      <c r="AD7" s="1"/>
      <c r="AE7" s="1"/>
      <c r="AF7" s="1"/>
      <c r="AG7" s="1"/>
      <c r="AH7" s="1"/>
      <c r="AI7" s="1"/>
      <c r="AJ7" s="1"/>
    </row>
    <row r="8" spans="1:36" x14ac:dyDescent="0.25">
      <c r="A8" s="79" t="str">
        <f>'Data shares'!B3</f>
        <v>Capital_Goods</v>
      </c>
      <c r="B8" s="79" t="str">
        <f>'Data shares'!C3</f>
        <v>ABB</v>
      </c>
      <c r="C8" s="79">
        <f>VLOOKUP($B8,'Data shares'!$C:$FB,7)</f>
        <v>5186</v>
      </c>
      <c r="D8" s="165">
        <f>VLOOKUP($B8,'Data shares'!$C:$FB,98)</f>
        <v>4563125</v>
      </c>
      <c r="E8" s="165">
        <f>VLOOKUP(B8,'Snapshot (Volume)'!$A$7:$G$168,7,0)</f>
        <v>4606875</v>
      </c>
      <c r="F8" s="165">
        <f t="shared" ref="F8:F23" si="2">D8-E8</f>
        <v>-43750</v>
      </c>
      <c r="G8" s="166">
        <f t="shared" ref="G8:G23" si="3">F8/E8</f>
        <v>-9.4966761633428296E-3</v>
      </c>
      <c r="H8" s="165">
        <f>VLOOKUP($B8,'Data shares'!$C:$FB,66)</f>
        <v>1791375</v>
      </c>
      <c r="I8" s="165">
        <f>VLOOKUP($B8,'Data shares'!$C:$FB,67)</f>
        <v>2727750</v>
      </c>
      <c r="J8" s="81">
        <f t="shared" ref="J8:J22" si="4">(H8-I8)/I8*100</f>
        <v>-34.327742645037119</v>
      </c>
      <c r="K8" s="81">
        <f>VLOOKUP($B8,'Data Vlaue (Cr)'!$C:$FB,99)</f>
        <v>2372</v>
      </c>
      <c r="L8" s="81">
        <f>VLOOKUP(B8,'OI(Value)'!$A$7:$C$209,3,0)</f>
        <v>-23</v>
      </c>
      <c r="M8" s="81">
        <f t="shared" si="0"/>
        <v>-0.96964586846542999</v>
      </c>
      <c r="N8" s="81">
        <f>VLOOKUP($B8,'Data Vlaue (Cr)'!$C:$FB,67)</f>
        <v>931</v>
      </c>
      <c r="O8" s="81">
        <f>VLOOKUP($B8,'Data Vlaue (Cr)'!$C:$FB,68)</f>
        <v>1418</v>
      </c>
      <c r="P8" s="81">
        <f t="shared" si="1"/>
        <v>-52.309344790547797</v>
      </c>
      <c r="Q8" s="1"/>
      <c r="R8" s="1"/>
      <c r="S8" s="1"/>
      <c r="T8" s="1"/>
      <c r="U8" s="1"/>
      <c r="V8" s="1"/>
      <c r="W8" s="1"/>
      <c r="X8" s="1"/>
      <c r="Y8" s="1"/>
      <c r="Z8" s="1"/>
      <c r="AA8" s="1"/>
      <c r="AB8" s="1"/>
      <c r="AC8" s="1"/>
      <c r="AD8" s="1"/>
      <c r="AE8" s="1"/>
      <c r="AF8" s="1"/>
      <c r="AG8" s="1"/>
      <c r="AH8" s="1"/>
      <c r="AI8" s="1"/>
      <c r="AJ8" s="1"/>
    </row>
    <row r="9" spans="1:36" x14ac:dyDescent="0.25">
      <c r="A9" s="79" t="str">
        <f>'Data shares'!B4</f>
        <v>Finance</v>
      </c>
      <c r="B9" s="79" t="str">
        <f>'Data shares'!C4</f>
        <v>ABCAPITAL</v>
      </c>
      <c r="C9" s="79">
        <f>VLOOKUP($B9,'Data shares'!$C:$FB,7)</f>
        <v>293.35000000000002</v>
      </c>
      <c r="D9" s="165">
        <f>VLOOKUP($B9,'Data shares'!$C:$FB,98)</f>
        <v>107498700</v>
      </c>
      <c r="E9" s="165">
        <f>VLOOKUP(B9,'Snapshot (Volume)'!$A$7:$G$168,7,0)</f>
        <v>102895200</v>
      </c>
      <c r="F9" s="165">
        <f t="shared" si="2"/>
        <v>4603500</v>
      </c>
      <c r="G9" s="166">
        <f t="shared" si="3"/>
        <v>4.4739696312364428E-2</v>
      </c>
      <c r="H9" s="165">
        <f>VLOOKUP($B9,'Data shares'!$C:$FB,66)</f>
        <v>35640700</v>
      </c>
      <c r="I9" s="165">
        <f>VLOOKUP($B9,'Data shares'!$C:$FB,67)</f>
        <v>27924800</v>
      </c>
      <c r="J9" s="81">
        <f t="shared" si="4"/>
        <v>27.630994671403197</v>
      </c>
      <c r="K9" s="81">
        <f>VLOOKUP($B9,'Data Vlaue (Cr)'!$C:$FB,99)</f>
        <v>3171</v>
      </c>
      <c r="L9" s="81">
        <f>VLOOKUP(B9,'OI(Value)'!$A$7:$C$209,3,0)</f>
        <v>136</v>
      </c>
      <c r="M9" s="81">
        <f t="shared" si="0"/>
        <v>4.2888678650268055</v>
      </c>
      <c r="N9" s="81">
        <f>VLOOKUP($B9,'Data Vlaue (Cr)'!$C:$FB,67)</f>
        <v>1051</v>
      </c>
      <c r="O9" s="81">
        <f>VLOOKUP($B9,'Data Vlaue (Cr)'!$C:$FB,68)</f>
        <v>824</v>
      </c>
      <c r="P9" s="81">
        <f t="shared" si="1"/>
        <v>21.59847764034253</v>
      </c>
      <c r="Q9" s="1"/>
      <c r="R9" s="1"/>
      <c r="S9" s="1"/>
      <c r="T9" s="1"/>
      <c r="U9" s="1"/>
      <c r="V9" s="1"/>
      <c r="W9" s="1"/>
      <c r="X9" s="1"/>
      <c r="Y9" s="1"/>
      <c r="Z9" s="1"/>
      <c r="AA9" s="1"/>
      <c r="AB9" s="1"/>
      <c r="AC9" s="1"/>
      <c r="AD9" s="1"/>
      <c r="AE9" s="1"/>
      <c r="AF9" s="1"/>
      <c r="AG9" s="1"/>
      <c r="AH9" s="1"/>
      <c r="AI9" s="1"/>
      <c r="AJ9" s="1"/>
    </row>
    <row r="10" spans="1:36" x14ac:dyDescent="0.25">
      <c r="A10" s="79" t="str">
        <f>'Data shares'!B5</f>
        <v>Power</v>
      </c>
      <c r="B10" s="79" t="str">
        <f>'Data shares'!C5</f>
        <v>ADANIENSOL</v>
      </c>
      <c r="C10" s="4">
        <f>VLOOKUP($B10,'Data shares'!$C:$FB,7)</f>
        <v>925.85</v>
      </c>
      <c r="D10" s="82">
        <f>VLOOKUP($B10,'Data shares'!$C:$FB,98)</f>
        <v>23994225</v>
      </c>
      <c r="E10" s="165">
        <f>VLOOKUP(B10,'Snapshot (Volume)'!$A$7:$G$168,7,0)</f>
        <v>23959125</v>
      </c>
      <c r="F10" s="165">
        <f t="shared" si="2"/>
        <v>35100</v>
      </c>
      <c r="G10" s="166">
        <f t="shared" si="3"/>
        <v>1.4649950697281308E-3</v>
      </c>
      <c r="H10" s="165">
        <f>VLOOKUP($B10,'Data shares'!$C:$FB,66)</f>
        <v>7223175</v>
      </c>
      <c r="I10" s="165">
        <f>VLOOKUP($B10,'Data shares'!$C:$FB,67)</f>
        <v>7107750</v>
      </c>
      <c r="J10" s="81">
        <f t="shared" si="4"/>
        <v>1.6239316239316242</v>
      </c>
      <c r="K10" s="5">
        <f>VLOOKUP($B10,'Data Vlaue (Cr)'!$C:$FB,99)</f>
        <v>2234</v>
      </c>
      <c r="L10" s="81">
        <f>VLOOKUP(B10,'OI(Value)'!$A$7:$C$209,3,0)</f>
        <v>3</v>
      </c>
      <c r="M10" s="33">
        <f t="shared" si="0"/>
        <v>0.13428827215756492</v>
      </c>
      <c r="N10" s="5">
        <f>VLOOKUP($B10,'Data Vlaue (Cr)'!$C:$FB,67)</f>
        <v>673</v>
      </c>
      <c r="O10" s="5">
        <f>VLOOKUP($B10,'Data Vlaue (Cr)'!$C:$FB,68)</f>
        <v>662</v>
      </c>
      <c r="P10" s="5">
        <f t="shared" si="1"/>
        <v>1.6344725111441309</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Infrastructure</v>
      </c>
      <c r="B11" s="79" t="str">
        <f>'Data shares'!C6</f>
        <v>ADANIENT</v>
      </c>
      <c r="C11" s="4">
        <f>VLOOKUP($B11,'Data shares'!$C:$FB,7)</f>
        <v>2550.9</v>
      </c>
      <c r="D11" s="82">
        <f>VLOOKUP($B11,'Data shares'!$C:$FB,98)</f>
        <v>27175500</v>
      </c>
      <c r="E11" s="165">
        <f>VLOOKUP(B11,'Snapshot (Volume)'!$A$7:$G$168,7,0)</f>
        <v>27064800</v>
      </c>
      <c r="F11" s="165">
        <f t="shared" si="2"/>
        <v>110700</v>
      </c>
      <c r="G11" s="166">
        <f t="shared" si="3"/>
        <v>4.0901835594573024E-3</v>
      </c>
      <c r="H11" s="165">
        <f>VLOOKUP($B11,'Data shares'!$C:$FB,66)</f>
        <v>11472600</v>
      </c>
      <c r="I11" s="165">
        <f>VLOOKUP($B11,'Data shares'!$C:$FB,67)</f>
        <v>12392400</v>
      </c>
      <c r="J11" s="81">
        <f t="shared" si="4"/>
        <v>-7.4222910816306777</v>
      </c>
      <c r="K11" s="5">
        <f>VLOOKUP($B11,'Data Vlaue (Cr)'!$C:$FB,99)</f>
        <v>6970</v>
      </c>
      <c r="L11" s="81">
        <f>VLOOKUP(B11,'OI(Value)'!$A$7:$C$209,3,0)</f>
        <v>28</v>
      </c>
      <c r="M11" s="33">
        <f t="shared" si="0"/>
        <v>0.40172166427546624</v>
      </c>
      <c r="N11" s="5">
        <f>VLOOKUP($B11,'Data Vlaue (Cr)'!$C:$FB,67)</f>
        <v>2942</v>
      </c>
      <c r="O11" s="5">
        <f>VLOOKUP($B11,'Data Vlaue (Cr)'!$C:$FB,68)</f>
        <v>3178</v>
      </c>
      <c r="P11" s="5">
        <f t="shared" si="1"/>
        <v>-8.0217539089055059</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Power</v>
      </c>
      <c r="B12" s="79" t="str">
        <f>'Data shares'!C7</f>
        <v>ADANIGREEN</v>
      </c>
      <c r="C12" s="4">
        <f>VLOOKUP($B12,'Data shares'!$C:$FB,7)</f>
        <v>1064.3</v>
      </c>
      <c r="D12" s="82">
        <f>VLOOKUP($B12,'Data shares'!$C:$FB,98)</f>
        <v>36364200</v>
      </c>
      <c r="E12" s="165">
        <f>VLOOKUP(B12,'Snapshot (Volume)'!$A$7:$G$168,7,0)</f>
        <v>36378000</v>
      </c>
      <c r="F12" s="165">
        <f t="shared" si="2"/>
        <v>-13800</v>
      </c>
      <c r="G12" s="166">
        <f t="shared" si="3"/>
        <v>-3.7935015668810821E-4</v>
      </c>
      <c r="H12" s="165">
        <f>VLOOKUP($B12,'Data shares'!$C:$FB,66)</f>
        <v>17619000</v>
      </c>
      <c r="I12" s="165">
        <f>VLOOKUP($B12,'Data shares'!$C:$FB,67)</f>
        <v>11973000</v>
      </c>
      <c r="J12" s="81">
        <f t="shared" si="4"/>
        <v>47.156101227762463</v>
      </c>
      <c r="K12" s="5">
        <f>VLOOKUP($B12,'Data Vlaue (Cr)'!$C:$FB,99)</f>
        <v>3892</v>
      </c>
      <c r="L12" s="81">
        <f>VLOOKUP(B12,'OI(Value)'!$A$7:$C$209,3,0)</f>
        <v>-1</v>
      </c>
      <c r="M12" s="33">
        <f t="shared" si="0"/>
        <v>-2.5693730729701953E-2</v>
      </c>
      <c r="N12" s="5">
        <f>VLOOKUP($B12,'Data Vlaue (Cr)'!$C:$FB,67)</f>
        <v>1886</v>
      </c>
      <c r="O12" s="5">
        <f>VLOOKUP($B12,'Data Vlaue (Cr)'!$C:$FB,68)</f>
        <v>1281</v>
      </c>
      <c r="P12" s="5">
        <f t="shared" si="1"/>
        <v>32.078472958642628</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Infrastructure</v>
      </c>
      <c r="B13" s="79" t="str">
        <f>'Data shares'!C8</f>
        <v>ADANIPORTS</v>
      </c>
      <c r="C13" s="4">
        <f>VLOOKUP($B13,'Data shares'!$C:$FB,7)</f>
        <v>1409.4</v>
      </c>
      <c r="D13" s="82">
        <f>VLOOKUP($B13,'Data shares'!$C:$FB,98)</f>
        <v>34877350</v>
      </c>
      <c r="E13" s="165">
        <f>VLOOKUP(B13,'Snapshot (Volume)'!$A$7:$G$168,7,0)</f>
        <v>34826050</v>
      </c>
      <c r="F13" s="165">
        <f t="shared" si="2"/>
        <v>51300</v>
      </c>
      <c r="G13" s="166">
        <f t="shared" si="3"/>
        <v>1.4730352710112114E-3</v>
      </c>
      <c r="H13" s="165">
        <f>VLOOKUP($B13,'Data shares'!$C:$FB,66)</f>
        <v>19906775</v>
      </c>
      <c r="I13" s="165">
        <f>VLOOKUP($B13,'Data shares'!$C:$FB,67)</f>
        <v>9720400</v>
      </c>
      <c r="J13" s="81">
        <f t="shared" si="4"/>
        <v>104.79378420641126</v>
      </c>
      <c r="K13" s="5">
        <f>VLOOKUP($B13,'Data Vlaue (Cr)'!$C:$FB,99)</f>
        <v>4943</v>
      </c>
      <c r="L13" s="81">
        <f>VLOOKUP(B13,'OI(Value)'!$A$7:$C$209,3,0)</f>
        <v>7</v>
      </c>
      <c r="M13" s="33">
        <f t="shared" si="0"/>
        <v>0.14161440420797086</v>
      </c>
      <c r="N13" s="5">
        <f>VLOOKUP($B13,'Data Vlaue (Cr)'!$C:$FB,67)</f>
        <v>2821</v>
      </c>
      <c r="O13" s="5">
        <f>VLOOKUP($B13,'Data Vlaue (Cr)'!$C:$FB,68)</f>
        <v>1378</v>
      </c>
      <c r="P13" s="5">
        <f t="shared" si="1"/>
        <v>51.152073732718897</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Pharma</v>
      </c>
      <c r="B14" s="79" t="str">
        <f>'Data shares'!C9</f>
        <v>ALKEM</v>
      </c>
      <c r="C14" s="4">
        <f>VLOOKUP($B14,'Data shares'!$C:$FB,7)</f>
        <v>5454.5</v>
      </c>
      <c r="D14" s="82">
        <f>VLOOKUP($B14,'Data shares'!$C:$FB,98)</f>
        <v>1868750</v>
      </c>
      <c r="E14" s="165">
        <f>VLOOKUP(B14,'Snapshot (Volume)'!$A$7:$G$168,7,0)</f>
        <v>1844625</v>
      </c>
      <c r="F14" s="165">
        <f t="shared" si="2"/>
        <v>24125</v>
      </c>
      <c r="G14" s="166">
        <f t="shared" si="3"/>
        <v>1.3078538998441417E-2</v>
      </c>
      <c r="H14" s="165">
        <f>VLOOKUP($B14,'Data shares'!$C:$FB,66)</f>
        <v>510125</v>
      </c>
      <c r="I14" s="165">
        <f>VLOOKUP($B14,'Data shares'!$C:$FB,67)</f>
        <v>412250</v>
      </c>
      <c r="J14" s="81">
        <f t="shared" si="4"/>
        <v>23.741661613098845</v>
      </c>
      <c r="K14" s="5">
        <f>VLOOKUP($B14,'Data Vlaue (Cr)'!$C:$FB,99)</f>
        <v>1025</v>
      </c>
      <c r="L14" s="81">
        <f>VLOOKUP(B14,'OI(Value)'!$A$7:$C$209,3,0)</f>
        <v>13</v>
      </c>
      <c r="M14" s="33">
        <f t="shared" si="0"/>
        <v>1.2682926829268293</v>
      </c>
      <c r="N14" s="5">
        <f>VLOOKUP($B14,'Data Vlaue (Cr)'!$C:$FB,67)</f>
        <v>280</v>
      </c>
      <c r="O14" s="5">
        <f>VLOOKUP($B14,'Data Vlaue (Cr)'!$C:$FB,68)</f>
        <v>226</v>
      </c>
      <c r="P14" s="5">
        <f t="shared" si="1"/>
        <v>19.285714285714288</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Capital_Goods</v>
      </c>
      <c r="B15" s="79" t="str">
        <f>'Data shares'!C10</f>
        <v>AMBER</v>
      </c>
      <c r="C15" s="4">
        <f>VLOOKUP($B15,'Data shares'!$C:$FB,7)</f>
        <v>8284.5</v>
      </c>
      <c r="D15" s="82">
        <f>VLOOKUP($B15,'Data shares'!$C:$FB,98)</f>
        <v>1422800</v>
      </c>
      <c r="E15" s="165">
        <f>VLOOKUP(B15,'Snapshot (Volume)'!$A$7:$G$168,7,0)</f>
        <v>1520000</v>
      </c>
      <c r="F15" s="165">
        <f t="shared" si="2"/>
        <v>-97200</v>
      </c>
      <c r="G15" s="166">
        <f t="shared" si="3"/>
        <v>-6.3947368421052628E-2</v>
      </c>
      <c r="H15" s="165">
        <f>VLOOKUP($B15,'Data shares'!$C:$FB,66)</f>
        <v>1326300</v>
      </c>
      <c r="I15" s="165">
        <f>VLOOKUP($B15,'Data shares'!$C:$FB,67)</f>
        <v>2594400</v>
      </c>
      <c r="J15" s="81">
        <f t="shared" si="4"/>
        <v>-48.878353376503235</v>
      </c>
      <c r="K15" s="5">
        <f>VLOOKUP($B15,'Data Vlaue (Cr)'!$C:$FB,99)</f>
        <v>1173</v>
      </c>
      <c r="L15" s="81">
        <f>VLOOKUP(B15,'OI(Value)'!$A$7:$C$209,3,0)</f>
        <v>-80</v>
      </c>
      <c r="M15" s="33">
        <f t="shared" si="0"/>
        <v>-6.8201193520886623</v>
      </c>
      <c r="N15" s="5">
        <f>VLOOKUP($B15,'Data Vlaue (Cr)'!$C:$FB,67)</f>
        <v>1094</v>
      </c>
      <c r="O15" s="5">
        <f>VLOOKUP($B15,'Data Vlaue (Cr)'!$C:$FB,68)</f>
        <v>2139</v>
      </c>
      <c r="P15" s="5">
        <f t="shared" si="1"/>
        <v>-95.521023765996347</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Cement</v>
      </c>
      <c r="B16" s="79" t="str">
        <f>'Data shares'!C11</f>
        <v>AMBUJACEM</v>
      </c>
      <c r="C16" s="4">
        <f>VLOOKUP($B16,'Data shares'!$C:$FB,7)</f>
        <v>569.25</v>
      </c>
      <c r="D16" s="82">
        <f>VLOOKUP($B16,'Data shares'!$C:$FB,98)</f>
        <v>60790800</v>
      </c>
      <c r="E16" s="165">
        <f>VLOOKUP(B16,'Snapshot (Volume)'!$A$7:$G$168,7,0)</f>
        <v>61364100</v>
      </c>
      <c r="F16" s="165">
        <f t="shared" si="2"/>
        <v>-573300</v>
      </c>
      <c r="G16" s="166">
        <f t="shared" si="3"/>
        <v>-9.3425960781629656E-3</v>
      </c>
      <c r="H16" s="165">
        <f>VLOOKUP($B16,'Data shares'!$C:$FB,66)</f>
        <v>10464300</v>
      </c>
      <c r="I16" s="165">
        <f>VLOOKUP($B16,'Data shares'!$C:$FB,67)</f>
        <v>7100100</v>
      </c>
      <c r="J16" s="81">
        <f t="shared" si="4"/>
        <v>47.382431233362908</v>
      </c>
      <c r="K16" s="5">
        <f>VLOOKUP($B16,'Data Vlaue (Cr)'!$C:$FB,99)</f>
        <v>3478</v>
      </c>
      <c r="L16" s="81">
        <f>VLOOKUP(B16,'OI(Value)'!$A$7:$C$209,3,0)</f>
        <v>-33</v>
      </c>
      <c r="M16" s="33">
        <f t="shared" si="0"/>
        <v>-0.94882116158711904</v>
      </c>
      <c r="N16" s="5">
        <f>VLOOKUP($B16,'Data Vlaue (Cr)'!$C:$FB,67)</f>
        <v>599</v>
      </c>
      <c r="O16" s="5">
        <f>VLOOKUP($B16,'Data Vlaue (Cr)'!$C:$FB,68)</f>
        <v>406</v>
      </c>
      <c r="P16" s="5">
        <f t="shared" si="1"/>
        <v>32.220367278797994</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Finance</v>
      </c>
      <c r="B17" s="79" t="str">
        <f>'Data shares'!C12</f>
        <v>ANGELONE</v>
      </c>
      <c r="C17" s="4">
        <f>VLOOKUP($B17,'Data shares'!$C:$FB,7)</f>
        <v>2303.3000000000002</v>
      </c>
      <c r="D17" s="82">
        <f>VLOOKUP($B17,'Data shares'!$C:$FB,98)</f>
        <v>7478000</v>
      </c>
      <c r="E17" s="165">
        <f>VLOOKUP(B17,'Snapshot (Volume)'!$A$7:$G$168,7,0)</f>
        <v>7745000</v>
      </c>
      <c r="F17" s="165">
        <f t="shared" si="2"/>
        <v>-267000</v>
      </c>
      <c r="G17" s="166">
        <f t="shared" si="3"/>
        <v>-3.4473854099418978E-2</v>
      </c>
      <c r="H17" s="165">
        <f>VLOOKUP($B17,'Data shares'!$C:$FB,66)</f>
        <v>9373750</v>
      </c>
      <c r="I17" s="165">
        <f>VLOOKUP($B17,'Data shares'!$C:$FB,67)</f>
        <v>8715000</v>
      </c>
      <c r="J17" s="81">
        <f t="shared" si="4"/>
        <v>7.558806655192198</v>
      </c>
      <c r="K17" s="5">
        <f>VLOOKUP($B17,'Data Vlaue (Cr)'!$C:$FB,99)</f>
        <v>1729</v>
      </c>
      <c r="L17" s="81">
        <f>VLOOKUP(B17,'OI(Value)'!$A$7:$C$209,3,0)</f>
        <v>-62</v>
      </c>
      <c r="M17" s="33">
        <f t="shared" si="0"/>
        <v>-3.5858877964141125</v>
      </c>
      <c r="N17" s="5">
        <f>VLOOKUP($B17,'Data Vlaue (Cr)'!$C:$FB,67)</f>
        <v>2167</v>
      </c>
      <c r="O17" s="5">
        <f>VLOOKUP($B17,'Data Vlaue (Cr)'!$C:$FB,68)</f>
        <v>2015</v>
      </c>
      <c r="P17" s="5">
        <f t="shared" si="1"/>
        <v>7.014305491462852</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Metals</v>
      </c>
      <c r="B18" s="79" t="str">
        <f>'Data shares'!C13</f>
        <v>APLAPOLLO</v>
      </c>
      <c r="C18" s="4">
        <f>VLOOKUP($B18,'Data shares'!$C:$FB,7)</f>
        <v>1738.6</v>
      </c>
      <c r="D18" s="82">
        <f>VLOOKUP($B18,'Data shares'!$C:$FB,98)</f>
        <v>11254250</v>
      </c>
      <c r="E18" s="165">
        <f>VLOOKUP(B18,'Snapshot (Volume)'!$A$7:$G$168,7,0)</f>
        <v>11251450</v>
      </c>
      <c r="F18" s="165">
        <f t="shared" si="2"/>
        <v>2800</v>
      </c>
      <c r="G18" s="166">
        <f t="shared" si="3"/>
        <v>2.4885681401063862E-4</v>
      </c>
      <c r="H18" s="165">
        <f>VLOOKUP($B18,'Data shares'!$C:$FB,66)</f>
        <v>943600</v>
      </c>
      <c r="I18" s="165">
        <f>VLOOKUP($B18,'Data shares'!$C:$FB,67)</f>
        <v>1652700</v>
      </c>
      <c r="J18" s="81">
        <f t="shared" si="4"/>
        <v>-42.905548496399831</v>
      </c>
      <c r="K18" s="5">
        <f>VLOOKUP($B18,'Data Vlaue (Cr)'!$C:$FB,99)</f>
        <v>1965</v>
      </c>
      <c r="L18" s="81">
        <f>VLOOKUP(B18,'OI(Value)'!$A$7:$C$209,3,0)</f>
        <v>0</v>
      </c>
      <c r="M18" s="33">
        <f t="shared" si="0"/>
        <v>0</v>
      </c>
      <c r="N18" s="5">
        <f>VLOOKUP($B18,'Data Vlaue (Cr)'!$C:$FB,67)</f>
        <v>165</v>
      </c>
      <c r="O18" s="5">
        <f>VLOOKUP($B18,'Data Vlaue (Cr)'!$C:$FB,68)</f>
        <v>289</v>
      </c>
      <c r="P18" s="5">
        <f t="shared" si="1"/>
        <v>-75.151515151515142</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Pharma</v>
      </c>
      <c r="B19" s="79" t="str">
        <f>'Data shares'!C14</f>
        <v>APOLLOHOSP</v>
      </c>
      <c r="C19" s="4">
        <f>VLOOKUP($B19,'Data shares'!$C:$FB,7)</f>
        <v>7681</v>
      </c>
      <c r="D19" s="82">
        <f>VLOOKUP($B19,'Data shares'!$C:$FB,98)</f>
        <v>4009750</v>
      </c>
      <c r="E19" s="165">
        <f>VLOOKUP(B19,'Snapshot (Volume)'!$A$7:$G$168,7,0)</f>
        <v>3952000</v>
      </c>
      <c r="F19" s="165">
        <f t="shared" si="2"/>
        <v>57750</v>
      </c>
      <c r="G19" s="166">
        <f t="shared" si="3"/>
        <v>1.4612854251012147E-2</v>
      </c>
      <c r="H19" s="165">
        <f>VLOOKUP($B19,'Data shares'!$C:$FB,66)</f>
        <v>1691000</v>
      </c>
      <c r="I19" s="165">
        <f>VLOOKUP($B19,'Data shares'!$C:$FB,67)</f>
        <v>2271500</v>
      </c>
      <c r="J19" s="81">
        <f t="shared" si="4"/>
        <v>-25.555800132071322</v>
      </c>
      <c r="K19" s="5">
        <f>VLOOKUP($B19,'Data Vlaue (Cr)'!$C:$FB,99)</f>
        <v>3096</v>
      </c>
      <c r="L19" s="81">
        <f>VLOOKUP(B19,'OI(Value)'!$A$7:$C$209,3,0)</f>
        <v>45</v>
      </c>
      <c r="M19" s="33">
        <f t="shared" si="0"/>
        <v>1.4534883720930232</v>
      </c>
      <c r="N19" s="5">
        <f>VLOOKUP($B19,'Data Vlaue (Cr)'!$C:$FB,67)</f>
        <v>1306</v>
      </c>
      <c r="O19" s="5">
        <f>VLOOKUP($B19,'Data Vlaue (Cr)'!$C:$FB,68)</f>
        <v>1754</v>
      </c>
      <c r="P19" s="5">
        <f t="shared" si="1"/>
        <v>-34.30321592649311</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Automobile</v>
      </c>
      <c r="B20" s="79" t="str">
        <f>'Data shares'!C15</f>
        <v>ASHOKLEY</v>
      </c>
      <c r="C20" s="4">
        <f>VLOOKUP($B20,'Data shares'!$C:$FB,7)</f>
        <v>137.55000000000001</v>
      </c>
      <c r="D20" s="82">
        <f>VLOOKUP($B20,'Data shares'!$C:$FB,98)</f>
        <v>247740000</v>
      </c>
      <c r="E20" s="165">
        <f>VLOOKUP(B20,'Snapshot (Volume)'!$A$7:$G$168,7,0)</f>
        <v>237300000</v>
      </c>
      <c r="F20" s="165">
        <f t="shared" si="2"/>
        <v>10440000</v>
      </c>
      <c r="G20" s="166">
        <f t="shared" si="3"/>
        <v>4.3994943109987361E-2</v>
      </c>
      <c r="H20" s="165">
        <f>VLOOKUP($B20,'Data shares'!$C:$FB,66)</f>
        <v>73300000</v>
      </c>
      <c r="I20" s="165">
        <f>VLOOKUP($B20,'Data shares'!$C:$FB,67)</f>
        <v>79090000</v>
      </c>
      <c r="J20" s="81">
        <f t="shared" si="4"/>
        <v>-7.3207738019977233</v>
      </c>
      <c r="K20" s="5">
        <f>VLOOKUP($B20,'Data Vlaue (Cr)'!$C:$FB,99)</f>
        <v>3412</v>
      </c>
      <c r="L20" s="81">
        <f>VLOOKUP(B20,'OI(Value)'!$A$7:$C$209,3,0)</f>
        <v>144</v>
      </c>
      <c r="M20" s="33">
        <f t="shared" si="0"/>
        <v>4.2203985932004686</v>
      </c>
      <c r="N20" s="5">
        <f>VLOOKUP($B20,'Data Vlaue (Cr)'!$C:$FB,67)</f>
        <v>1009</v>
      </c>
      <c r="O20" s="5">
        <f>VLOOKUP($B20,'Data Vlaue (Cr)'!$C:$FB,68)</f>
        <v>1089</v>
      </c>
      <c r="P20" s="5">
        <f t="shared" si="1"/>
        <v>-7.928642220019821</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FMCG</v>
      </c>
      <c r="B21" s="79" t="str">
        <f>'Data shares'!C16</f>
        <v>ASIANPAINT</v>
      </c>
      <c r="C21" s="4">
        <f>VLOOKUP($B21,'Data shares'!$C:$FB,7)</f>
        <v>2340.1999999999998</v>
      </c>
      <c r="D21" s="82">
        <f>VLOOKUP($B21,'Data shares'!$C:$FB,98)</f>
        <v>23140500</v>
      </c>
      <c r="E21" s="165">
        <f>VLOOKUP(B21,'Snapshot (Volume)'!$A$7:$G$168,7,0)</f>
        <v>23316000</v>
      </c>
      <c r="F21" s="165">
        <f t="shared" si="2"/>
        <v>-175500</v>
      </c>
      <c r="G21" s="166">
        <f t="shared" si="3"/>
        <v>-7.5270200720535252E-3</v>
      </c>
      <c r="H21" s="165">
        <f>VLOOKUP($B21,'Data shares'!$C:$FB,66)</f>
        <v>7820250</v>
      </c>
      <c r="I21" s="165">
        <f>VLOOKUP($B21,'Data shares'!$C:$FB,67)</f>
        <v>6886500</v>
      </c>
      <c r="J21" s="81">
        <f t="shared" si="4"/>
        <v>13.559137442822914</v>
      </c>
      <c r="K21" s="5">
        <f>VLOOKUP($B21,'Data Vlaue (Cr)'!$C:$FB,99)</f>
        <v>5441</v>
      </c>
      <c r="L21" s="81">
        <f>VLOOKUP(B21,'OI(Value)'!$A$7:$C$209,3,0)</f>
        <v>-41</v>
      </c>
      <c r="M21" s="33">
        <f t="shared" si="0"/>
        <v>-0.75353795258224598</v>
      </c>
      <c r="N21" s="5">
        <f>VLOOKUP($B21,'Data Vlaue (Cr)'!$C:$FB,67)</f>
        <v>1839</v>
      </c>
      <c r="O21" s="5">
        <f>VLOOKUP($B21,'Data Vlaue (Cr)'!$C:$FB,68)</f>
        <v>1619</v>
      </c>
      <c r="P21" s="5">
        <f t="shared" si="1"/>
        <v>11.963023382272976</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Capital_Goods</v>
      </c>
      <c r="B22" s="79" t="str">
        <f>'Data shares'!C17</f>
        <v>ASTRAL</v>
      </c>
      <c r="C22" s="4">
        <f>VLOOKUP($B22,'Data shares'!$C:$FB,7)</f>
        <v>1427.1</v>
      </c>
      <c r="D22" s="82">
        <f>VLOOKUP($B22,'Data shares'!$C:$FB,98)</f>
        <v>13017325</v>
      </c>
      <c r="E22" s="165">
        <f>VLOOKUP(B22,'Snapshot (Volume)'!$A$7:$G$168,7,0)</f>
        <v>12724500</v>
      </c>
      <c r="F22" s="165">
        <f t="shared" si="2"/>
        <v>292825</v>
      </c>
      <c r="G22" s="166">
        <f t="shared" si="3"/>
        <v>2.3012692050768203E-2</v>
      </c>
      <c r="H22" s="165">
        <f>VLOOKUP($B22,'Data shares'!$C:$FB,66)</f>
        <v>8944125</v>
      </c>
      <c r="I22" s="165">
        <f>VLOOKUP($B22,'Data shares'!$C:$FB,67)</f>
        <v>4504150</v>
      </c>
      <c r="J22" s="81">
        <f t="shared" si="4"/>
        <v>98.575202868465752</v>
      </c>
      <c r="K22" s="5">
        <f>VLOOKUP($B22,'Data Vlaue (Cr)'!$C:$FB,99)</f>
        <v>1865</v>
      </c>
      <c r="L22" s="81">
        <f>VLOOKUP(B22,'OI(Value)'!$A$7:$C$209,3,0)</f>
        <v>42</v>
      </c>
      <c r="M22" s="33">
        <f t="shared" si="0"/>
        <v>2.2520107238605895</v>
      </c>
      <c r="N22" s="5">
        <f>VLOOKUP($B22,'Data Vlaue (Cr)'!$C:$FB,67)</f>
        <v>1282</v>
      </c>
      <c r="O22" s="5">
        <f>VLOOKUP($B22,'Data Vlaue (Cr)'!$C:$FB,68)</f>
        <v>645</v>
      </c>
      <c r="P22" s="5">
        <f t="shared" si="1"/>
        <v>49.68798751950078</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Banking</v>
      </c>
      <c r="B23" s="79" t="str">
        <f>'Data shares'!C18</f>
        <v>AUBANK</v>
      </c>
      <c r="C23" s="4">
        <f>VLOOKUP($B23,'Data shares'!$C:$FB,7)</f>
        <v>763.25</v>
      </c>
      <c r="D23" s="82">
        <f>VLOOKUP($B23,'Data shares'!$C:$FB,98)</f>
        <v>32794000</v>
      </c>
      <c r="E23" s="165">
        <f>VLOOKUP(B23,'Snapshot (Volume)'!$A$7:$G$168,7,0)</f>
        <v>30106000</v>
      </c>
      <c r="F23" s="165">
        <f t="shared" si="2"/>
        <v>2688000</v>
      </c>
      <c r="G23" s="166">
        <f t="shared" si="3"/>
        <v>8.9284528001062916E-2</v>
      </c>
      <c r="H23" s="165">
        <f>VLOOKUP($B23,'Data shares'!$C:$FB,66)</f>
        <v>18527000</v>
      </c>
      <c r="I23" s="165">
        <f>VLOOKUP($B23,'Data shares'!$C:$FB,67)</f>
        <v>12477000</v>
      </c>
      <c r="J23" s="81">
        <f>(H23-I23)/I23*100</f>
        <v>48.489220165103788</v>
      </c>
      <c r="K23" s="5">
        <f>VLOOKUP($B23,'Data Vlaue (Cr)'!$C:$FB,99)</f>
        <v>2517</v>
      </c>
      <c r="L23" s="81">
        <f>VLOOKUP(B23,'OI(Value)'!$A$7:$C$209,3,0)</f>
        <v>206</v>
      </c>
      <c r="M23" s="33">
        <f t="shared" si="0"/>
        <v>8.1843464441795781</v>
      </c>
      <c r="N23" s="5">
        <f>VLOOKUP($B23,'Data Vlaue (Cr)'!$C:$FB,67)</f>
        <v>1422</v>
      </c>
      <c r="O23" s="5">
        <f>VLOOKUP($B23,'Data Vlaue (Cr)'!$C:$FB,68)</f>
        <v>958</v>
      </c>
      <c r="P23" s="5">
        <f t="shared" si="1"/>
        <v>32.63009845288326</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Pharma</v>
      </c>
      <c r="B24" s="79" t="str">
        <f>'Data shares'!C19</f>
        <v>AUROPHARMA</v>
      </c>
      <c r="C24" s="79">
        <f>VLOOKUP($B24,'Data shares'!$C:$FB,7)</f>
        <v>1130.3</v>
      </c>
      <c r="D24" s="80">
        <f>VLOOKUP($B24,'Data shares'!$C:$FB,98)</f>
        <v>26973100</v>
      </c>
      <c r="E24" s="165">
        <f>VLOOKUP(B24,'Snapshot (Volume)'!$A$7:$G$168,7,0)</f>
        <v>26223450</v>
      </c>
      <c r="F24" s="165">
        <f t="shared" ref="F24:F36" si="5">D24-E24</f>
        <v>749650</v>
      </c>
      <c r="G24" s="166">
        <f t="shared" ref="G24:G36" si="6">F24/E24</f>
        <v>2.8587008955724743E-2</v>
      </c>
      <c r="H24" s="165">
        <f>VLOOKUP($B24,'Data shares'!$C:$FB,66)</f>
        <v>17376150</v>
      </c>
      <c r="I24" s="165">
        <f>VLOOKUP($B24,'Data shares'!$C:$FB,67)</f>
        <v>42793300</v>
      </c>
      <c r="J24" s="81">
        <f t="shared" ref="J24:J36" si="7">(H24-I24)/I24*100</f>
        <v>-59.395162326812844</v>
      </c>
      <c r="K24" s="81">
        <f>VLOOKUP($B24,'Data Vlaue (Cr)'!$C:$FB,99)</f>
        <v>3065</v>
      </c>
      <c r="L24" s="81">
        <f>VLOOKUP(B24,'OI(Value)'!$A$7:$C$209,3,0)</f>
        <v>85</v>
      </c>
      <c r="M24" s="81">
        <f t="shared" si="0"/>
        <v>2.7732463295269167</v>
      </c>
      <c r="N24" s="81">
        <f>VLOOKUP($B24,'Data Vlaue (Cr)'!$C:$FB,67)</f>
        <v>1975</v>
      </c>
      <c r="O24" s="81">
        <f>VLOOKUP($B24,'Data Vlaue (Cr)'!$C:$FB,68)</f>
        <v>4863</v>
      </c>
      <c r="P24" s="81">
        <f t="shared" ref="P24:P36" si="8">(N24-O24)/N24*100</f>
        <v>-146.22784810126583</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Banking</v>
      </c>
      <c r="B25" s="79" t="str">
        <f>'Data shares'!C20</f>
        <v>AXISBANK</v>
      </c>
      <c r="C25" s="4">
        <f>VLOOKUP($B25,'Data shares'!$C:$FB,7)</f>
        <v>1180.4000000000001</v>
      </c>
      <c r="D25" s="82">
        <f>VLOOKUP($B25,'Data shares'!$C:$FB,98)</f>
        <v>123714375</v>
      </c>
      <c r="E25" s="165">
        <f>VLOOKUP(B25,'Snapshot (Volume)'!$A$7:$G$168,7,0)</f>
        <v>125468125</v>
      </c>
      <c r="F25" s="165">
        <f t="shared" si="5"/>
        <v>-1753750</v>
      </c>
      <c r="G25" s="166">
        <f t="shared" si="6"/>
        <v>-1.39776536869424E-2</v>
      </c>
      <c r="H25" s="165">
        <f>VLOOKUP($B25,'Data shares'!$C:$FB,66)</f>
        <v>59223125</v>
      </c>
      <c r="I25" s="165">
        <f>VLOOKUP($B25,'Data shares'!$C:$FB,67)</f>
        <v>65233125</v>
      </c>
      <c r="J25" s="81">
        <f t="shared" si="7"/>
        <v>-9.2131106703841024</v>
      </c>
      <c r="K25" s="5">
        <f>VLOOKUP($B25,'Data Vlaue (Cr)'!$C:$FB,99)</f>
        <v>14645</v>
      </c>
      <c r="L25" s="81">
        <f>VLOOKUP(B25,'OI(Value)'!$A$7:$C$209,3,0)</f>
        <v>-208</v>
      </c>
      <c r="M25" s="33">
        <f t="shared" si="0"/>
        <v>-1.4202799590303858</v>
      </c>
      <c r="N25" s="5">
        <f>VLOOKUP($B25,'Data Vlaue (Cr)'!$C:$FB,67)</f>
        <v>7011</v>
      </c>
      <c r="O25" s="5">
        <f>VLOOKUP($B25,'Data Vlaue (Cr)'!$C:$FB,68)</f>
        <v>7722</v>
      </c>
      <c r="P25" s="5">
        <f t="shared" si="8"/>
        <v>-10.141206675224646</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Automobile</v>
      </c>
      <c r="B26" s="79" t="str">
        <f>'Data shares'!C21</f>
        <v>BAJAJ-AUTO</v>
      </c>
      <c r="C26" s="4">
        <f>VLOOKUP($B26,'Data shares'!$C:$FB,7)</f>
        <v>8946.5</v>
      </c>
      <c r="D26" s="82">
        <f>VLOOKUP($B26,'Data shares'!$C:$FB,98)</f>
        <v>5747775</v>
      </c>
      <c r="E26" s="165">
        <f>VLOOKUP(B26,'Snapshot (Volume)'!$A$7:$G$168,7,0)</f>
        <v>5678925</v>
      </c>
      <c r="F26" s="165">
        <f t="shared" si="5"/>
        <v>68850</v>
      </c>
      <c r="G26" s="166">
        <f t="shared" si="6"/>
        <v>1.2123773425428228E-2</v>
      </c>
      <c r="H26" s="165">
        <f>VLOOKUP($B26,'Data shares'!$C:$FB,66)</f>
        <v>5317875</v>
      </c>
      <c r="I26" s="165">
        <f>VLOOKUP($B26,'Data shares'!$C:$FB,67)</f>
        <v>2575725</v>
      </c>
      <c r="J26" s="81">
        <f t="shared" si="7"/>
        <v>106.46128759863727</v>
      </c>
      <c r="K26" s="5">
        <f>VLOOKUP($B26,'Data Vlaue (Cr)'!$C:$FB,99)</f>
        <v>5169</v>
      </c>
      <c r="L26" s="81">
        <f>VLOOKUP(B26,'OI(Value)'!$A$7:$C$209,3,0)</f>
        <v>62</v>
      </c>
      <c r="M26" s="33">
        <f t="shared" si="0"/>
        <v>1.1994583091507063</v>
      </c>
      <c r="N26" s="5">
        <f>VLOOKUP($B26,'Data Vlaue (Cr)'!$C:$FB,67)</f>
        <v>4783</v>
      </c>
      <c r="O26" s="5">
        <f>VLOOKUP($B26,'Data Vlaue (Cr)'!$C:$FB,68)</f>
        <v>2316</v>
      </c>
      <c r="P26" s="5">
        <f t="shared" si="8"/>
        <v>51.578507213046208</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Finance</v>
      </c>
      <c r="B27" s="79" t="str">
        <f>'Data shares'!C22</f>
        <v>BAJAJFINSV</v>
      </c>
      <c r="C27" s="4">
        <f>VLOOKUP($B27,'Data shares'!$C:$FB,7)</f>
        <v>2004.3</v>
      </c>
      <c r="D27" s="82">
        <f>VLOOKUP($B27,'Data shares'!$C:$FB,98)</f>
        <v>26152000</v>
      </c>
      <c r="E27" s="165">
        <f>VLOOKUP(B27,'Snapshot (Volume)'!$A$7:$G$168,7,0)</f>
        <v>25504500</v>
      </c>
      <c r="F27" s="165">
        <f t="shared" si="5"/>
        <v>647500</v>
      </c>
      <c r="G27" s="166">
        <f t="shared" si="6"/>
        <v>2.5387676684506654E-2</v>
      </c>
      <c r="H27" s="165">
        <f>VLOOKUP($B27,'Data shares'!$C:$FB,66)</f>
        <v>6465000</v>
      </c>
      <c r="I27" s="165">
        <f>VLOOKUP($B27,'Data shares'!$C:$FB,67)</f>
        <v>5271000</v>
      </c>
      <c r="J27" s="81">
        <f t="shared" si="7"/>
        <v>22.652248150256117</v>
      </c>
      <c r="K27" s="5">
        <f>VLOOKUP($B27,'Data Vlaue (Cr)'!$C:$FB,99)</f>
        <v>5271</v>
      </c>
      <c r="L27" s="81">
        <f>VLOOKUP(B27,'OI(Value)'!$A$7:$C$209,3,0)</f>
        <v>131</v>
      </c>
      <c r="M27" s="33">
        <f t="shared" si="0"/>
        <v>2.4852969076076645</v>
      </c>
      <c r="N27" s="5">
        <f>VLOOKUP($B27,'Data Vlaue (Cr)'!$C:$FB,67)</f>
        <v>1303</v>
      </c>
      <c r="O27" s="5">
        <f>VLOOKUP($B27,'Data Vlaue (Cr)'!$C:$FB,68)</f>
        <v>1062</v>
      </c>
      <c r="P27" s="5">
        <f t="shared" si="8"/>
        <v>18.49577897160399</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Finance</v>
      </c>
      <c r="B28" s="79" t="str">
        <f>'Data shares'!C23</f>
        <v>BAJFINANCE</v>
      </c>
      <c r="C28" s="4">
        <f>VLOOKUP($B28,'Data shares'!$C:$FB,7)</f>
        <v>1023.85</v>
      </c>
      <c r="D28" s="82">
        <f>VLOOKUP($B28,'Data shares'!$C:$FB,98)</f>
        <v>123231750</v>
      </c>
      <c r="E28" s="165">
        <f>VLOOKUP(B28,'Snapshot (Volume)'!$A$7:$G$168,7,0)</f>
        <v>121425750</v>
      </c>
      <c r="F28" s="165">
        <f t="shared" si="5"/>
        <v>1806000</v>
      </c>
      <c r="G28" s="166">
        <f t="shared" si="6"/>
        <v>1.4873286761662991E-2</v>
      </c>
      <c r="H28" s="165">
        <f>VLOOKUP($B28,'Data shares'!$C:$FB,66)</f>
        <v>27846750</v>
      </c>
      <c r="I28" s="165">
        <f>VLOOKUP($B28,'Data shares'!$C:$FB,67)</f>
        <v>23292750</v>
      </c>
      <c r="J28" s="81">
        <f t="shared" si="7"/>
        <v>19.551147889364717</v>
      </c>
      <c r="K28" s="5">
        <f>VLOOKUP($B28,'Data Vlaue (Cr)'!$C:$FB,99)</f>
        <v>12684</v>
      </c>
      <c r="L28" s="81">
        <f>VLOOKUP(B28,'OI(Value)'!$A$7:$C$209,3,0)</f>
        <v>186</v>
      </c>
      <c r="M28" s="33">
        <f t="shared" si="0"/>
        <v>1.4664143803216652</v>
      </c>
      <c r="N28" s="5">
        <f>VLOOKUP($B28,'Data Vlaue (Cr)'!$C:$FB,67)</f>
        <v>2866</v>
      </c>
      <c r="O28" s="5">
        <f>VLOOKUP($B28,'Data Vlaue (Cr)'!$C:$FB,68)</f>
        <v>2398</v>
      </c>
      <c r="P28" s="5">
        <f t="shared" si="8"/>
        <v>16.329378925331472</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BANDHANBNK</v>
      </c>
      <c r="C29" s="4">
        <f>VLOOKUP($B29,'Data shares'!$C:$FB,7)</f>
        <v>169.32</v>
      </c>
      <c r="D29" s="82">
        <f>VLOOKUP($B29,'Data shares'!$C:$FB,98)</f>
        <v>155361600</v>
      </c>
      <c r="E29" s="165">
        <f>VLOOKUP(B29,'Snapshot (Volume)'!$A$7:$G$168,7,0)</f>
        <v>154083600</v>
      </c>
      <c r="F29" s="165">
        <f t="shared" si="5"/>
        <v>1278000</v>
      </c>
      <c r="G29" s="166">
        <f t="shared" si="6"/>
        <v>8.2941987336744467E-3</v>
      </c>
      <c r="H29" s="165">
        <f>VLOOKUP($B29,'Data shares'!$C:$FB,66)</f>
        <v>117244800</v>
      </c>
      <c r="I29" s="165">
        <f>VLOOKUP($B29,'Data shares'!$C:$FB,67)</f>
        <v>36565200</v>
      </c>
      <c r="J29" s="81">
        <f t="shared" si="7"/>
        <v>220.64585999803091</v>
      </c>
      <c r="K29" s="5">
        <f>VLOOKUP($B29,'Data Vlaue (Cr)'!$C:$FB,99)</f>
        <v>2645</v>
      </c>
      <c r="L29" s="81">
        <f>VLOOKUP(B29,'OI(Value)'!$A$7:$C$209,3,0)</f>
        <v>22</v>
      </c>
      <c r="M29" s="33">
        <f t="shared" si="0"/>
        <v>0.83175803402646498</v>
      </c>
      <c r="N29" s="5">
        <f>VLOOKUP($B29,'Data Vlaue (Cr)'!$C:$FB,67)</f>
        <v>1996</v>
      </c>
      <c r="O29" s="5">
        <f>VLOOKUP($B29,'Data Vlaue (Cr)'!$C:$FB,68)</f>
        <v>622</v>
      </c>
      <c r="P29" s="5">
        <f t="shared" si="8"/>
        <v>68.837675350701403</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Banking</v>
      </c>
      <c r="B30" s="79" t="str">
        <f>'Data shares'!C25</f>
        <v>BANKBARODA</v>
      </c>
      <c r="C30" s="4">
        <f>VLOOKUP($B30,'Data shares'!$C:$FB,7)</f>
        <v>266.95</v>
      </c>
      <c r="D30" s="82">
        <f>VLOOKUP($B30,'Data shares'!$C:$FB,98)</f>
        <v>202029750</v>
      </c>
      <c r="E30" s="165">
        <f>VLOOKUP(B30,'Snapshot (Volume)'!$A$7:$G$168,7,0)</f>
        <v>202240350</v>
      </c>
      <c r="F30" s="165">
        <f t="shared" si="5"/>
        <v>-210600</v>
      </c>
      <c r="G30" s="166">
        <f t="shared" si="6"/>
        <v>-1.0413352231639235E-3</v>
      </c>
      <c r="H30" s="165">
        <f>VLOOKUP($B30,'Data shares'!$C:$FB,66)</f>
        <v>138314475</v>
      </c>
      <c r="I30" s="165">
        <f>VLOOKUP($B30,'Data shares'!$C:$FB,67)</f>
        <v>79580475</v>
      </c>
      <c r="J30" s="81">
        <f t="shared" si="7"/>
        <v>73.804535597456535</v>
      </c>
      <c r="K30" s="5">
        <f>VLOOKUP($B30,'Data Vlaue (Cr)'!$C:$FB,99)</f>
        <v>5407</v>
      </c>
      <c r="L30" s="81">
        <f>VLOOKUP(B30,'OI(Value)'!$A$7:$C$209,3,0)</f>
        <v>-6</v>
      </c>
      <c r="M30" s="33">
        <f t="shared" si="0"/>
        <v>-0.1109672646569262</v>
      </c>
      <c r="N30" s="5">
        <f>VLOOKUP($B30,'Data Vlaue (Cr)'!$C:$FB,67)</f>
        <v>3702</v>
      </c>
      <c r="O30" s="5">
        <f>VLOOKUP($B30,'Data Vlaue (Cr)'!$C:$FB,68)</f>
        <v>2130</v>
      </c>
      <c r="P30" s="5">
        <f t="shared" si="8"/>
        <v>42.463533225283626</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Banking</v>
      </c>
      <c r="B31" s="79" t="str">
        <f>'Data shares'!C26</f>
        <v>BANKINDIA</v>
      </c>
      <c r="C31" s="4">
        <f>VLOOKUP($B31,'Data shares'!$C:$FB,7)</f>
        <v>126.77</v>
      </c>
      <c r="D31" s="82">
        <f>VLOOKUP($B31,'Data shares'!$C:$FB,98)</f>
        <v>113620000</v>
      </c>
      <c r="E31" s="165">
        <f>VLOOKUP(B31,'Snapshot (Volume)'!$A$7:$G$168,7,0)</f>
        <v>111066800</v>
      </c>
      <c r="F31" s="165">
        <f t="shared" si="5"/>
        <v>2553200</v>
      </c>
      <c r="G31" s="166">
        <f t="shared" si="6"/>
        <v>2.2987967601479468E-2</v>
      </c>
      <c r="H31" s="165">
        <f>VLOOKUP($B31,'Data shares'!$C:$FB,66)</f>
        <v>51620400</v>
      </c>
      <c r="I31" s="165">
        <f>VLOOKUP($B31,'Data shares'!$C:$FB,67)</f>
        <v>25006800</v>
      </c>
      <c r="J31" s="81">
        <f t="shared" si="7"/>
        <v>106.42545227698066</v>
      </c>
      <c r="K31" s="5">
        <f>VLOOKUP($B31,'Data Vlaue (Cr)'!$C:$FB,99)</f>
        <v>1446</v>
      </c>
      <c r="L31" s="81">
        <f>VLOOKUP(B31,'OI(Value)'!$A$7:$C$209,3,0)</f>
        <v>33</v>
      </c>
      <c r="M31" s="33">
        <f t="shared" si="0"/>
        <v>2.2821576763485476</v>
      </c>
      <c r="N31" s="5">
        <f>VLOOKUP($B31,'Data Vlaue (Cr)'!$C:$FB,67)</f>
        <v>657</v>
      </c>
      <c r="O31" s="5">
        <f>VLOOKUP($B31,'Data Vlaue (Cr)'!$C:$FB,68)</f>
        <v>318</v>
      </c>
      <c r="P31" s="5">
        <f t="shared" si="8"/>
        <v>51.598173515981735</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Index</v>
      </c>
      <c r="B32" s="79" t="str">
        <f>'Data shares'!C27</f>
        <v>BANKNIFTY</v>
      </c>
      <c r="C32" s="4">
        <f>VLOOKUP($B32,'Data shares'!$C:$FB,7)</f>
        <v>56609.75</v>
      </c>
      <c r="D32" s="82">
        <f>VLOOKUP($B32,'Data shares'!$C:$FB,98)</f>
        <v>40408310</v>
      </c>
      <c r="E32" s="165">
        <f>VLOOKUP(B32,'Snapshot (Volume)'!$A$7:$G$168,7,0)</f>
        <v>38324730</v>
      </c>
      <c r="F32" s="165">
        <f t="shared" si="5"/>
        <v>2083580</v>
      </c>
      <c r="G32" s="166">
        <f t="shared" si="6"/>
        <v>5.4366462594778883E-2</v>
      </c>
      <c r="H32" s="165">
        <f>VLOOKUP($B32,'Data shares'!$C:$FB,66)</f>
        <v>120178765</v>
      </c>
      <c r="I32" s="165">
        <f>VLOOKUP($B32,'Data shares'!$C:$FB,67)</f>
        <v>85088255</v>
      </c>
      <c r="J32" s="81">
        <f t="shared" si="7"/>
        <v>41.240133553097309</v>
      </c>
      <c r="K32" s="5">
        <f>VLOOKUP($B32,'Data Vlaue (Cr)'!$C:$FB,99)</f>
        <v>229771</v>
      </c>
      <c r="L32" s="81">
        <f>VLOOKUP(B32,'OI(Value)'!$A$7:$C$209,3,0)</f>
        <v>11848</v>
      </c>
      <c r="M32" s="33">
        <f t="shared" si="0"/>
        <v>5.1564383668957356</v>
      </c>
      <c r="N32" s="5">
        <f>VLOOKUP($B32,'Data Vlaue (Cr)'!$C:$FB,67)</f>
        <v>683363</v>
      </c>
      <c r="O32" s="5">
        <f>VLOOKUP($B32,'Data Vlaue (Cr)'!$C:$FB,68)</f>
        <v>483831</v>
      </c>
      <c r="P32" s="5">
        <f t="shared" si="8"/>
        <v>29.198537234237147</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Capital_Goods</v>
      </c>
      <c r="B33" s="79" t="str">
        <f>'Data shares'!C28</f>
        <v>BDL</v>
      </c>
      <c r="C33" s="4">
        <f>VLOOKUP($B33,'Data shares'!$C:$FB,7)</f>
        <v>1537.1</v>
      </c>
      <c r="D33" s="82">
        <f>VLOOKUP($B33,'Data shares'!$C:$FB,98)</f>
        <v>9812075</v>
      </c>
      <c r="E33" s="165">
        <f>VLOOKUP(B33,'Snapshot (Volume)'!$A$7:$G$168,7,0)</f>
        <v>10041850</v>
      </c>
      <c r="F33" s="165">
        <f t="shared" si="5"/>
        <v>-229775</v>
      </c>
      <c r="G33" s="166">
        <f t="shared" si="6"/>
        <v>-2.2881739918441325E-2</v>
      </c>
      <c r="H33" s="165">
        <f>VLOOKUP($B33,'Data shares'!$C:$FB,66)</f>
        <v>6124300</v>
      </c>
      <c r="I33" s="165">
        <f>VLOOKUP($B33,'Data shares'!$C:$FB,67)</f>
        <v>5244850</v>
      </c>
      <c r="J33" s="81">
        <f t="shared" si="7"/>
        <v>16.767877060354444</v>
      </c>
      <c r="K33" s="5">
        <f>VLOOKUP($B33,'Data Vlaue (Cr)'!$C:$FB,99)</f>
        <v>1511</v>
      </c>
      <c r="L33" s="81">
        <f>VLOOKUP(B33,'OI(Value)'!$A$7:$C$209,3,0)</f>
        <v>-35</v>
      </c>
      <c r="M33" s="33">
        <f t="shared" si="0"/>
        <v>-2.316346790205162</v>
      </c>
      <c r="N33" s="5">
        <f>VLOOKUP($B33,'Data Vlaue (Cr)'!$C:$FB,67)</f>
        <v>943</v>
      </c>
      <c r="O33" s="5">
        <f>VLOOKUP($B33,'Data Vlaue (Cr)'!$C:$FB,68)</f>
        <v>808</v>
      </c>
      <c r="P33" s="5">
        <f t="shared" si="8"/>
        <v>14.316012725344645</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Capital_Goods</v>
      </c>
      <c r="B34" s="79" t="str">
        <f>'Data shares'!C29</f>
        <v>BEL</v>
      </c>
      <c r="C34" s="4">
        <f>VLOOKUP($B34,'Data shares'!$C:$FB,7)</f>
        <v>413.5</v>
      </c>
      <c r="D34" s="82">
        <f>VLOOKUP($B34,'Data shares'!$C:$FB,98)</f>
        <v>210518100</v>
      </c>
      <c r="E34" s="165">
        <f>VLOOKUP(B34,'Snapshot (Volume)'!$A$7:$G$168,7,0)</f>
        <v>211760700</v>
      </c>
      <c r="F34" s="165">
        <f t="shared" si="5"/>
        <v>-1242600</v>
      </c>
      <c r="G34" s="166">
        <f t="shared" si="6"/>
        <v>-5.8679443352803425E-3</v>
      </c>
      <c r="H34" s="165">
        <f>VLOOKUP($B34,'Data shares'!$C:$FB,66)</f>
        <v>176303850</v>
      </c>
      <c r="I34" s="165">
        <f>VLOOKUP($B34,'Data shares'!$C:$FB,67)</f>
        <v>128877000</v>
      </c>
      <c r="J34" s="81">
        <f t="shared" si="7"/>
        <v>36.800088456435205</v>
      </c>
      <c r="K34" s="5">
        <f>VLOOKUP($B34,'Data Vlaue (Cr)'!$C:$FB,99)</f>
        <v>8735</v>
      </c>
      <c r="L34" s="81">
        <f>VLOOKUP(B34,'OI(Value)'!$A$7:$C$209,3,0)</f>
        <v>-52</v>
      </c>
      <c r="M34" s="33">
        <f t="shared" si="0"/>
        <v>-0.59530623926731541</v>
      </c>
      <c r="N34" s="5">
        <f>VLOOKUP($B34,'Data Vlaue (Cr)'!$C:$FB,67)</f>
        <v>7316</v>
      </c>
      <c r="O34" s="5">
        <f>VLOOKUP($B34,'Data Vlaue (Cr)'!$C:$FB,68)</f>
        <v>5348</v>
      </c>
      <c r="P34" s="5">
        <f t="shared" si="8"/>
        <v>26.899945325314377</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Automobile</v>
      </c>
      <c r="B35" s="79" t="str">
        <f>'Data shares'!C30</f>
        <v>BHARATFORG</v>
      </c>
      <c r="C35" s="4">
        <f>VLOOKUP($B35,'Data shares'!$C:$FB,7)</f>
        <v>1220</v>
      </c>
      <c r="D35" s="82">
        <f>VLOOKUP($B35,'Data shares'!$C:$FB,98)</f>
        <v>16423500</v>
      </c>
      <c r="E35" s="165">
        <f>VLOOKUP(B35,'Snapshot (Volume)'!$A$7:$G$168,7,0)</f>
        <v>16302500</v>
      </c>
      <c r="F35" s="165">
        <f t="shared" si="5"/>
        <v>121000</v>
      </c>
      <c r="G35" s="166">
        <f t="shared" si="6"/>
        <v>7.4221745131114857E-3</v>
      </c>
      <c r="H35" s="165">
        <f>VLOOKUP($B35,'Data shares'!$C:$FB,66)</f>
        <v>5952000</v>
      </c>
      <c r="I35" s="165">
        <f>VLOOKUP($B35,'Data shares'!$C:$FB,67)</f>
        <v>5743000</v>
      </c>
      <c r="J35" s="81">
        <f t="shared" si="7"/>
        <v>3.6392129549016197</v>
      </c>
      <c r="K35" s="5">
        <f>VLOOKUP($B35,'Data Vlaue (Cr)'!$C:$FB,99)</f>
        <v>1995</v>
      </c>
      <c r="L35" s="81">
        <f>VLOOKUP(B35,'OI(Value)'!$A$7:$C$209,3,0)</f>
        <v>15</v>
      </c>
      <c r="M35" s="33">
        <f t="shared" si="0"/>
        <v>0.75187969924812026</v>
      </c>
      <c r="N35" s="5">
        <f>VLOOKUP($B35,'Data Vlaue (Cr)'!$C:$FB,67)</f>
        <v>723</v>
      </c>
      <c r="O35" s="5">
        <f>VLOOKUP($B35,'Data Vlaue (Cr)'!$C:$FB,68)</f>
        <v>698</v>
      </c>
      <c r="P35" s="5">
        <f t="shared" si="8"/>
        <v>3.4578146611341634</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Telecom</v>
      </c>
      <c r="B36" s="79" t="str">
        <f>'Data shares'!C31</f>
        <v>BHARTIARTL</v>
      </c>
      <c r="C36" s="4">
        <f>VLOOKUP($B36,'Data shares'!$C:$FB,7)</f>
        <v>1939.9</v>
      </c>
      <c r="D36" s="82">
        <f>VLOOKUP($B36,'Data shares'!$C:$FB,98)</f>
        <v>68647950</v>
      </c>
      <c r="E36" s="165">
        <f>VLOOKUP(B36,'Snapshot (Volume)'!$A$7:$G$168,7,0)</f>
        <v>66244450</v>
      </c>
      <c r="F36" s="165">
        <f t="shared" si="5"/>
        <v>2403500</v>
      </c>
      <c r="G36" s="166">
        <f t="shared" si="6"/>
        <v>3.6282284780083461E-2</v>
      </c>
      <c r="H36" s="165">
        <f>VLOOKUP($B36,'Data shares'!$C:$FB,66)</f>
        <v>21015425</v>
      </c>
      <c r="I36" s="165">
        <f>VLOOKUP($B36,'Data shares'!$C:$FB,67)</f>
        <v>31544750</v>
      </c>
      <c r="J36" s="81">
        <f t="shared" si="7"/>
        <v>-33.37900918536365</v>
      </c>
      <c r="K36" s="5">
        <f>VLOOKUP($B36,'Data Vlaue (Cr)'!$C:$FB,99)</f>
        <v>13390</v>
      </c>
      <c r="L36" s="81">
        <f>VLOOKUP(B36,'OI(Value)'!$A$7:$C$209,3,0)</f>
        <v>469</v>
      </c>
      <c r="M36" s="33">
        <f t="shared" si="0"/>
        <v>3.5026138909634055</v>
      </c>
      <c r="N36" s="5">
        <f>VLOOKUP($B36,'Data Vlaue (Cr)'!$C:$FB,67)</f>
        <v>4099</v>
      </c>
      <c r="O36" s="5">
        <f>VLOOKUP($B36,'Data Vlaue (Cr)'!$C:$FB,68)</f>
        <v>6153</v>
      </c>
      <c r="P36" s="5">
        <f t="shared" si="8"/>
        <v>-50.10978287387168</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Capital_Goods</v>
      </c>
      <c r="B37" s="79" t="str">
        <f>'Data shares'!C32</f>
        <v>BHEL</v>
      </c>
      <c r="C37" s="4">
        <f>VLOOKUP($B37,'Data shares'!$C:$FB,7)</f>
        <v>239.64</v>
      </c>
      <c r="D37" s="82">
        <f>VLOOKUP($B37,'Data shares'!$C:$FB,98)</f>
        <v>93930375</v>
      </c>
      <c r="E37" s="165">
        <f>VLOOKUP(B37,'Snapshot (Volume)'!$A$7:$G$168,7,0)</f>
        <v>93681000</v>
      </c>
      <c r="F37" s="165">
        <f t="shared" ref="F37:F43" si="9">D37-E37</f>
        <v>249375</v>
      </c>
      <c r="G37" s="166">
        <f t="shared" ref="G37:G43" si="10">F37/E37</f>
        <v>2.6619592019726519E-3</v>
      </c>
      <c r="H37" s="165">
        <f>VLOOKUP($B37,'Data shares'!$C:$FB,66)</f>
        <v>46270875</v>
      </c>
      <c r="I37" s="165">
        <f>VLOOKUP($B37,'Data shares'!$C:$FB,67)</f>
        <v>32794125</v>
      </c>
      <c r="J37" s="81">
        <f t="shared" ref="J37:J43" si="11">(H37-I37)/I37*100</f>
        <v>41.095013207396143</v>
      </c>
      <c r="K37" s="5">
        <f>VLOOKUP($B37,'Data Vlaue (Cr)'!$C:$FB,99)</f>
        <v>2257</v>
      </c>
      <c r="L37" s="81">
        <f>VLOOKUP(B37,'OI(Value)'!$A$7:$C$209,3,0)</f>
        <v>6</v>
      </c>
      <c r="M37" s="33">
        <f t="shared" ref="M37:M65" si="12">L37/K37*100</f>
        <v>0.26583961010190521</v>
      </c>
      <c r="N37" s="5">
        <f>VLOOKUP($B37,'Data Vlaue (Cr)'!$C:$FB,67)</f>
        <v>1112</v>
      </c>
      <c r="O37" s="5">
        <f>VLOOKUP($B37,'Data Vlaue (Cr)'!$C:$FB,68)</f>
        <v>788</v>
      </c>
      <c r="P37" s="5">
        <f t="shared" ref="P37:P43" si="13">(N37-O37)/N37*100</f>
        <v>29.136690647482016</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Pharma</v>
      </c>
      <c r="B38" s="79" t="str">
        <f>'Data shares'!C33</f>
        <v>BIOCON</v>
      </c>
      <c r="C38" s="4">
        <f>VLOOKUP($B38,'Data shares'!$C:$FB,7)</f>
        <v>353.45</v>
      </c>
      <c r="D38" s="82">
        <f>VLOOKUP($B38,'Data shares'!$C:$FB,98)</f>
        <v>67137500</v>
      </c>
      <c r="E38" s="165">
        <f>VLOOKUP(B38,'Snapshot (Volume)'!$A$7:$G$168,7,0)</f>
        <v>64955000</v>
      </c>
      <c r="F38" s="165">
        <f t="shared" si="9"/>
        <v>2182500</v>
      </c>
      <c r="G38" s="166">
        <f t="shared" si="10"/>
        <v>3.3600184743283815E-2</v>
      </c>
      <c r="H38" s="165">
        <f>VLOOKUP($B38,'Data shares'!$C:$FB,66)</f>
        <v>58707500</v>
      </c>
      <c r="I38" s="165">
        <f>VLOOKUP($B38,'Data shares'!$C:$FB,67)</f>
        <v>31752500</v>
      </c>
      <c r="J38" s="81">
        <f t="shared" si="11"/>
        <v>84.890953468230848</v>
      </c>
      <c r="K38" s="5">
        <f>VLOOKUP($B38,'Data Vlaue (Cr)'!$C:$FB,99)</f>
        <v>2381</v>
      </c>
      <c r="L38" s="81">
        <f>VLOOKUP(B38,'OI(Value)'!$A$7:$C$209,3,0)</f>
        <v>77</v>
      </c>
      <c r="M38" s="33">
        <f t="shared" si="12"/>
        <v>3.2339353212935738</v>
      </c>
      <c r="N38" s="5">
        <f>VLOOKUP($B38,'Data Vlaue (Cr)'!$C:$FB,67)</f>
        <v>2082</v>
      </c>
      <c r="O38" s="5">
        <f>VLOOKUP($B38,'Data Vlaue (Cr)'!$C:$FB,68)</f>
        <v>1126</v>
      </c>
      <c r="P38" s="5">
        <f t="shared" si="13"/>
        <v>45.917387127761764</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BLUESTARCO</v>
      </c>
      <c r="C39" s="4">
        <f>VLOOKUP($B39,'Data shares'!$C:$FB,7)</f>
        <v>1949.1</v>
      </c>
      <c r="D39" s="82">
        <f>VLOOKUP($B39,'Data shares'!$C:$FB,98)</f>
        <v>2665000</v>
      </c>
      <c r="E39" s="165">
        <f>VLOOKUP(B39,'Snapshot (Volume)'!$A$7:$G$168,7,0)</f>
        <v>2506400</v>
      </c>
      <c r="F39" s="165">
        <f t="shared" si="9"/>
        <v>158600</v>
      </c>
      <c r="G39" s="166">
        <f t="shared" si="10"/>
        <v>6.3278008298755184E-2</v>
      </c>
      <c r="H39" s="165">
        <f>VLOOKUP($B39,'Data shares'!$C:$FB,66)</f>
        <v>5622175</v>
      </c>
      <c r="I39" s="165">
        <f>VLOOKUP($B39,'Data shares'!$C:$FB,67)</f>
        <v>718250</v>
      </c>
      <c r="J39" s="81">
        <f t="shared" si="11"/>
        <v>682.76018099547514</v>
      </c>
      <c r="K39" s="5">
        <f>VLOOKUP($B39,'Data Vlaue (Cr)'!$C:$FB,99)</f>
        <v>522</v>
      </c>
      <c r="L39" s="81">
        <f>VLOOKUP(B39,'OI(Value)'!$A$7:$C$209,3,0)</f>
        <v>31</v>
      </c>
      <c r="M39" s="33">
        <f t="shared" si="12"/>
        <v>5.9386973180076632</v>
      </c>
      <c r="N39" s="5">
        <f>VLOOKUP($B39,'Data Vlaue (Cr)'!$C:$FB,67)</f>
        <v>1101</v>
      </c>
      <c r="O39" s="5">
        <f>VLOOKUP($B39,'Data Vlaue (Cr)'!$C:$FB,68)</f>
        <v>141</v>
      </c>
      <c r="P39" s="5">
        <f t="shared" si="13"/>
        <v>87.19346049046321</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BOSCHLTD</v>
      </c>
      <c r="C40" s="4">
        <f>VLOOKUP($B40,'Data shares'!$C:$FB,7)</f>
        <v>38625</v>
      </c>
      <c r="D40" s="82">
        <f>VLOOKUP($B40,'Data shares'!$C:$FB,98)</f>
        <v>343950</v>
      </c>
      <c r="E40" s="165">
        <f>VLOOKUP(B40,'Snapshot (Volume)'!$A$7:$G$168,7,0)</f>
        <v>335725</v>
      </c>
      <c r="F40" s="165">
        <f t="shared" si="9"/>
        <v>8225</v>
      </c>
      <c r="G40" s="166">
        <f t="shared" si="10"/>
        <v>2.4499218110060318E-2</v>
      </c>
      <c r="H40" s="165">
        <f>VLOOKUP($B40,'Data shares'!$C:$FB,66)</f>
        <v>126575</v>
      </c>
      <c r="I40" s="165">
        <f>VLOOKUP($B40,'Data shares'!$C:$FB,67)</f>
        <v>148550</v>
      </c>
      <c r="J40" s="81">
        <f t="shared" si="11"/>
        <v>-14.792998990238976</v>
      </c>
      <c r="K40" s="5">
        <f>VLOOKUP($B40,'Data Vlaue (Cr)'!$C:$FB,99)</f>
        <v>1335</v>
      </c>
      <c r="L40" s="81">
        <f>VLOOKUP(B40,'OI(Value)'!$A$7:$C$209,3,0)</f>
        <v>32</v>
      </c>
      <c r="M40" s="33">
        <f t="shared" si="12"/>
        <v>2.3970037453183521</v>
      </c>
      <c r="N40" s="5">
        <f>VLOOKUP($B40,'Data Vlaue (Cr)'!$C:$FB,67)</f>
        <v>491</v>
      </c>
      <c r="O40" s="5">
        <f>VLOOKUP($B40,'Data Vlaue (Cr)'!$C:$FB,68)</f>
        <v>576</v>
      </c>
      <c r="P40" s="5">
        <f t="shared" si="13"/>
        <v>-17.311608961303463</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Oil_Gas</v>
      </c>
      <c r="B41" s="79" t="str">
        <f>'Data shares'!C36</f>
        <v>BPCL</v>
      </c>
      <c r="C41" s="4">
        <f>VLOOKUP($B41,'Data shares'!$C:$FB,7)</f>
        <v>338.7</v>
      </c>
      <c r="D41" s="82">
        <f>VLOOKUP($B41,'Data shares'!$C:$FB,98)</f>
        <v>60288850</v>
      </c>
      <c r="E41" s="165">
        <f>VLOOKUP(B41,'Snapshot (Volume)'!$A$7:$G$168,7,0)</f>
        <v>60028150</v>
      </c>
      <c r="F41" s="165">
        <f t="shared" si="9"/>
        <v>260700</v>
      </c>
      <c r="G41" s="166">
        <f t="shared" si="10"/>
        <v>4.3429624267947624E-3</v>
      </c>
      <c r="H41" s="165">
        <f>VLOOKUP($B41,'Data shares'!$C:$FB,66)</f>
        <v>31388675</v>
      </c>
      <c r="I41" s="165">
        <f>VLOOKUP($B41,'Data shares'!$C:$FB,67)</f>
        <v>46357200</v>
      </c>
      <c r="J41" s="81">
        <f t="shared" si="11"/>
        <v>-32.289536468984323</v>
      </c>
      <c r="K41" s="5">
        <f>VLOOKUP($B41,'Data Vlaue (Cr)'!$C:$FB,99)</f>
        <v>2050</v>
      </c>
      <c r="L41" s="81">
        <f>VLOOKUP(B41,'OI(Value)'!$A$7:$C$209,3,0)</f>
        <v>9</v>
      </c>
      <c r="M41" s="33">
        <f t="shared" si="12"/>
        <v>0.4390243902439025</v>
      </c>
      <c r="N41" s="5">
        <f>VLOOKUP($B41,'Data Vlaue (Cr)'!$C:$FB,67)</f>
        <v>1067</v>
      </c>
      <c r="O41" s="5">
        <f>VLOOKUP($B41,'Data Vlaue (Cr)'!$C:$FB,68)</f>
        <v>1576</v>
      </c>
      <c r="P41" s="5">
        <f t="shared" si="13"/>
        <v>-47.703842549203372</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FMCG</v>
      </c>
      <c r="B42" s="79" t="str">
        <f>'Data shares'!C37</f>
        <v>BRITANNIA</v>
      </c>
      <c r="C42" s="4">
        <f>VLOOKUP($B42,'Data shares'!$C:$FB,7)</f>
        <v>5871.5</v>
      </c>
      <c r="D42" s="82">
        <f>VLOOKUP($B42,'Data shares'!$C:$FB,98)</f>
        <v>5205250</v>
      </c>
      <c r="E42" s="165">
        <f>VLOOKUP(B42,'Snapshot (Volume)'!$A$7:$G$168,7,0)</f>
        <v>5211750</v>
      </c>
      <c r="F42" s="165">
        <f t="shared" si="9"/>
        <v>-6500</v>
      </c>
      <c r="G42" s="166">
        <f t="shared" si="10"/>
        <v>-1.2471818487072481E-3</v>
      </c>
      <c r="H42" s="165">
        <f>VLOOKUP($B42,'Data shares'!$C:$FB,66)</f>
        <v>856750</v>
      </c>
      <c r="I42" s="165">
        <f>VLOOKUP($B42,'Data shares'!$C:$FB,67)</f>
        <v>1460125</v>
      </c>
      <c r="J42" s="81">
        <f t="shared" si="11"/>
        <v>-41.32351682218988</v>
      </c>
      <c r="K42" s="5">
        <f>VLOOKUP($B42,'Data Vlaue (Cr)'!$C:$FB,99)</f>
        <v>3069</v>
      </c>
      <c r="L42" s="81">
        <f>VLOOKUP(B42,'OI(Value)'!$A$7:$C$209,3,0)</f>
        <v>-4</v>
      </c>
      <c r="M42" s="33">
        <f t="shared" si="12"/>
        <v>-0.13033561420658196</v>
      </c>
      <c r="N42" s="5">
        <f>VLOOKUP($B42,'Data Vlaue (Cr)'!$C:$FB,67)</f>
        <v>505</v>
      </c>
      <c r="O42" s="5">
        <f>VLOOKUP($B42,'Data Vlaue (Cr)'!$C:$FB,68)</f>
        <v>861</v>
      </c>
      <c r="P42" s="5">
        <f t="shared" si="13"/>
        <v>-70.495049504950487</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Finance</v>
      </c>
      <c r="B43" s="79" t="str">
        <f>'Data shares'!C38</f>
        <v>BSE</v>
      </c>
      <c r="C43" s="4">
        <f>VLOOKUP($B43,'Data shares'!$C:$FB,7)</f>
        <v>2385</v>
      </c>
      <c r="D43" s="82">
        <f>VLOOKUP($B43,'Data shares'!$C:$FB,98)</f>
        <v>30337125</v>
      </c>
      <c r="E43" s="165">
        <f>VLOOKUP(B43,'Snapshot (Volume)'!$A$7:$G$168,7,0)</f>
        <v>30070125</v>
      </c>
      <c r="F43" s="165">
        <f t="shared" si="9"/>
        <v>267000</v>
      </c>
      <c r="G43" s="166">
        <f t="shared" si="10"/>
        <v>8.8792447653609687E-3</v>
      </c>
      <c r="H43" s="165">
        <f>VLOOKUP($B43,'Data shares'!$C:$FB,66)</f>
        <v>56261250</v>
      </c>
      <c r="I43" s="165">
        <f>VLOOKUP($B43,'Data shares'!$C:$FB,67)</f>
        <v>61701750</v>
      </c>
      <c r="J43" s="81">
        <f t="shared" si="11"/>
        <v>-8.8174160376326451</v>
      </c>
      <c r="K43" s="5">
        <f>VLOOKUP($B43,'Data Vlaue (Cr)'!$C:$FB,99)</f>
        <v>7261</v>
      </c>
      <c r="L43" s="81">
        <f>VLOOKUP(B43,'OI(Value)'!$A$7:$C$209,3,0)</f>
        <v>64</v>
      </c>
      <c r="M43" s="33">
        <f t="shared" si="12"/>
        <v>0.88142129183308093</v>
      </c>
      <c r="N43" s="5">
        <f>VLOOKUP($B43,'Data Vlaue (Cr)'!$C:$FB,67)</f>
        <v>13466</v>
      </c>
      <c r="O43" s="5">
        <f>VLOOKUP($B43,'Data Vlaue (Cr)'!$C:$FB,68)</f>
        <v>14768</v>
      </c>
      <c r="P43" s="5">
        <f t="shared" si="13"/>
        <v>-9.6687954849249973</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Finance</v>
      </c>
      <c r="B44" s="79" t="str">
        <f>'Data shares'!C39</f>
        <v>CAMS</v>
      </c>
      <c r="C44" s="79">
        <f>VLOOKUP($B44,'Data shares'!$C:$FB,7)</f>
        <v>3860.8</v>
      </c>
      <c r="D44" s="165">
        <f>VLOOKUP($B44,'Data shares'!$C:$FB,98)</f>
        <v>3985650</v>
      </c>
      <c r="E44" s="165">
        <f>VLOOKUP(B44,'Snapshot (Volume)'!$A$7:$G$168,7,0)</f>
        <v>3964050</v>
      </c>
      <c r="F44" s="165">
        <f t="shared" ref="F44:F49" si="14">D44-E44</f>
        <v>21600</v>
      </c>
      <c r="G44" s="166">
        <f t="shared" ref="G44:G49" si="15">F44/E44</f>
        <v>5.4489726416165288E-3</v>
      </c>
      <c r="H44" s="165">
        <f>VLOOKUP($B44,'Data shares'!$C:$FB,66)</f>
        <v>2343300</v>
      </c>
      <c r="I44" s="165">
        <f>VLOOKUP($B44,'Data shares'!$C:$FB,67)</f>
        <v>2360400</v>
      </c>
      <c r="J44" s="81">
        <f t="shared" ref="J44:J49" si="16">(H44-I44)/I44*100</f>
        <v>-0.72445348246059993</v>
      </c>
      <c r="K44" s="81">
        <f>VLOOKUP($B44,'Data Vlaue (Cr)'!$C:$FB,99)</f>
        <v>1543</v>
      </c>
      <c r="L44" s="81">
        <f>VLOOKUP(B44,'OI(Value)'!$A$7:$C$209,3,0)</f>
        <v>8</v>
      </c>
      <c r="M44" s="81">
        <f t="shared" si="12"/>
        <v>0.51847051198963057</v>
      </c>
      <c r="N44" s="81">
        <f>VLOOKUP($B44,'Data Vlaue (Cr)'!$C:$FB,67)</f>
        <v>907</v>
      </c>
      <c r="O44" s="81">
        <f>VLOOKUP($B44,'Data Vlaue (Cr)'!$C:$FB,68)</f>
        <v>914</v>
      </c>
      <c r="P44" s="81">
        <f t="shared" ref="P44:P49" si="17">(N44-O44)/N44*100</f>
        <v>-0.77177508269018735</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Banking</v>
      </c>
      <c r="B45" s="79" t="str">
        <f>'Data shares'!C40</f>
        <v>CANBK</v>
      </c>
      <c r="C45" s="4">
        <f>VLOOKUP($B45,'Data shares'!$C:$FB,7)</f>
        <v>127.39</v>
      </c>
      <c r="D45" s="82">
        <f>VLOOKUP($B45,'Data shares'!$C:$FB,98)</f>
        <v>449185500</v>
      </c>
      <c r="E45" s="165">
        <f>VLOOKUP(B45,'Snapshot (Volume)'!$A$7:$G$168,7,0)</f>
        <v>457454250</v>
      </c>
      <c r="F45" s="165">
        <f t="shared" si="14"/>
        <v>-8268750</v>
      </c>
      <c r="G45" s="166">
        <f t="shared" si="15"/>
        <v>-1.807557804960824E-2</v>
      </c>
      <c r="H45" s="165">
        <f>VLOOKUP($B45,'Data shares'!$C:$FB,66)</f>
        <v>317270250</v>
      </c>
      <c r="I45" s="165">
        <f>VLOOKUP($B45,'Data shares'!$C:$FB,67)</f>
        <v>168250500</v>
      </c>
      <c r="J45" s="81">
        <f t="shared" si="16"/>
        <v>88.57016769638129</v>
      </c>
      <c r="K45" s="5">
        <f>VLOOKUP($B45,'Data Vlaue (Cr)'!$C:$FB,99)</f>
        <v>5739</v>
      </c>
      <c r="L45" s="81">
        <f>VLOOKUP(B45,'OI(Value)'!$A$7:$C$209,3,0)</f>
        <v>-106</v>
      </c>
      <c r="M45" s="33">
        <f t="shared" si="12"/>
        <v>-1.8470116745077541</v>
      </c>
      <c r="N45" s="5">
        <f>VLOOKUP($B45,'Data Vlaue (Cr)'!$C:$FB,67)</f>
        <v>4053</v>
      </c>
      <c r="O45" s="5">
        <f>VLOOKUP($B45,'Data Vlaue (Cr)'!$C:$FB,68)</f>
        <v>2150</v>
      </c>
      <c r="P45" s="5">
        <f t="shared" si="17"/>
        <v>46.95287441401431</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Finance</v>
      </c>
      <c r="B46" s="79" t="str">
        <f>'Data shares'!C41</f>
        <v>CDSL</v>
      </c>
      <c r="C46" s="4">
        <f>VLOOKUP($B46,'Data shares'!$C:$FB,7)</f>
        <v>1605.3</v>
      </c>
      <c r="D46" s="82">
        <f>VLOOKUP($B46,'Data shares'!$C:$FB,98)</f>
        <v>17299975</v>
      </c>
      <c r="E46" s="165">
        <f>VLOOKUP(B46,'Snapshot (Volume)'!$A$7:$G$168,7,0)</f>
        <v>17673325</v>
      </c>
      <c r="F46" s="165">
        <f t="shared" si="14"/>
        <v>-373350</v>
      </c>
      <c r="G46" s="166">
        <f t="shared" si="15"/>
        <v>-2.1125057112908862E-2</v>
      </c>
      <c r="H46" s="165">
        <f>VLOOKUP($B46,'Data shares'!$C:$FB,66)</f>
        <v>32985425</v>
      </c>
      <c r="I46" s="165">
        <f>VLOOKUP($B46,'Data shares'!$C:$FB,67)</f>
        <v>13303800</v>
      </c>
      <c r="J46" s="81">
        <f t="shared" si="16"/>
        <v>147.9398743216224</v>
      </c>
      <c r="K46" s="5">
        <f>VLOOKUP($B46,'Data Vlaue (Cr)'!$C:$FB,99)</f>
        <v>2793</v>
      </c>
      <c r="L46" s="81">
        <f>VLOOKUP(B46,'OI(Value)'!$A$7:$C$209,3,0)</f>
        <v>-60</v>
      </c>
      <c r="M46" s="33">
        <f t="shared" si="12"/>
        <v>-2.1482277121374866</v>
      </c>
      <c r="N46" s="5">
        <f>VLOOKUP($B46,'Data Vlaue (Cr)'!$C:$FB,67)</f>
        <v>5326</v>
      </c>
      <c r="O46" s="5">
        <f>VLOOKUP($B46,'Data Vlaue (Cr)'!$C:$FB,68)</f>
        <v>2148</v>
      </c>
      <c r="P46" s="5">
        <f t="shared" si="17"/>
        <v>59.669545625234697</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Power</v>
      </c>
      <c r="B47" s="79" t="str">
        <f>'Data shares'!C42</f>
        <v>CGPOWER</v>
      </c>
      <c r="C47" s="4">
        <f>VLOOKUP($B47,'Data shares'!$C:$FB,7)</f>
        <v>753.4</v>
      </c>
      <c r="D47" s="82">
        <f>VLOOKUP($B47,'Data shares'!$C:$FB,98)</f>
        <v>28114600</v>
      </c>
      <c r="E47" s="165">
        <f>VLOOKUP(B47,'Snapshot (Volume)'!$A$7:$G$168,7,0)</f>
        <v>27061450</v>
      </c>
      <c r="F47" s="165">
        <f t="shared" si="14"/>
        <v>1053150</v>
      </c>
      <c r="G47" s="166">
        <f t="shared" si="15"/>
        <v>3.8916983384112827E-2</v>
      </c>
      <c r="H47" s="165">
        <f>VLOOKUP($B47,'Data shares'!$C:$FB,66)</f>
        <v>11459700</v>
      </c>
      <c r="I47" s="165">
        <f>VLOOKUP($B47,'Data shares'!$C:$FB,67)</f>
        <v>17282200</v>
      </c>
      <c r="J47" s="81">
        <f t="shared" si="16"/>
        <v>-33.690733818611058</v>
      </c>
      <c r="K47" s="5">
        <f>VLOOKUP($B47,'Data Vlaue (Cr)'!$C:$FB,99)</f>
        <v>2125</v>
      </c>
      <c r="L47" s="81">
        <f>VLOOKUP(B47,'OI(Value)'!$A$7:$C$209,3,0)</f>
        <v>80</v>
      </c>
      <c r="M47" s="33">
        <f t="shared" si="12"/>
        <v>3.7647058823529407</v>
      </c>
      <c r="N47" s="5">
        <f>VLOOKUP($B47,'Data Vlaue (Cr)'!$C:$FB,67)</f>
        <v>866</v>
      </c>
      <c r="O47" s="5">
        <f>VLOOKUP($B47,'Data Vlaue (Cr)'!$C:$FB,68)</f>
        <v>1307</v>
      </c>
      <c r="P47" s="5">
        <f t="shared" si="17"/>
        <v>-50.92378752886836</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CHOLAFIN</v>
      </c>
      <c r="C48" s="4">
        <f>VLOOKUP($B48,'Data shares'!$C:$FB,7)</f>
        <v>1614.2</v>
      </c>
      <c r="D48" s="82">
        <f>VLOOKUP($B48,'Data shares'!$C:$FB,98)</f>
        <v>19998125</v>
      </c>
      <c r="E48" s="165">
        <f>VLOOKUP(B48,'Snapshot (Volume)'!$A$7:$G$168,7,0)</f>
        <v>19940000</v>
      </c>
      <c r="F48" s="165">
        <f t="shared" si="14"/>
        <v>58125</v>
      </c>
      <c r="G48" s="166">
        <f t="shared" si="15"/>
        <v>2.9149949849548648E-3</v>
      </c>
      <c r="H48" s="165">
        <f>VLOOKUP($B48,'Data shares'!$C:$FB,66)</f>
        <v>5520000</v>
      </c>
      <c r="I48" s="165">
        <f>VLOOKUP($B48,'Data shares'!$C:$FB,67)</f>
        <v>6890000</v>
      </c>
      <c r="J48" s="81">
        <f t="shared" si="16"/>
        <v>-19.883889695210449</v>
      </c>
      <c r="K48" s="5">
        <f>VLOOKUP($B48,'Data Vlaue (Cr)'!$C:$FB,99)</f>
        <v>3223</v>
      </c>
      <c r="L48" s="81">
        <f>VLOOKUP(B48,'OI(Value)'!$A$7:$C$209,3,0)</f>
        <v>9</v>
      </c>
      <c r="M48" s="33">
        <f t="shared" si="12"/>
        <v>0.27924294135898231</v>
      </c>
      <c r="N48" s="5">
        <f>VLOOKUP($B48,'Data Vlaue (Cr)'!$C:$FB,67)</f>
        <v>890</v>
      </c>
      <c r="O48" s="5">
        <f>VLOOKUP($B48,'Data Vlaue (Cr)'!$C:$FB,68)</f>
        <v>1110</v>
      </c>
      <c r="P48" s="5">
        <f t="shared" si="17"/>
        <v>-24.719101123595504</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Pharma</v>
      </c>
      <c r="B49" s="79" t="str">
        <f>'Data shares'!C44</f>
        <v>CIPLA</v>
      </c>
      <c r="C49" s="4">
        <f>VLOOKUP($B49,'Data shares'!$C:$FB,7)</f>
        <v>1561.8</v>
      </c>
      <c r="D49" s="82">
        <f>VLOOKUP($B49,'Data shares'!$C:$FB,98)</f>
        <v>18391125</v>
      </c>
      <c r="E49" s="165">
        <f>VLOOKUP(B49,'Snapshot (Volume)'!$A$7:$G$168,7,0)</f>
        <v>16362000</v>
      </c>
      <c r="F49" s="165">
        <f t="shared" si="14"/>
        <v>2029125</v>
      </c>
      <c r="G49" s="166">
        <f t="shared" si="15"/>
        <v>0.12401448478181151</v>
      </c>
      <c r="H49" s="165">
        <f>VLOOKUP($B49,'Data shares'!$C:$FB,66)</f>
        <v>32216625</v>
      </c>
      <c r="I49" s="165">
        <f>VLOOKUP($B49,'Data shares'!$C:$FB,67)</f>
        <v>8125875</v>
      </c>
      <c r="J49" s="81">
        <f t="shared" si="16"/>
        <v>296.46961096497301</v>
      </c>
      <c r="K49" s="5">
        <f>VLOOKUP($B49,'Data Vlaue (Cr)'!$C:$FB,99)</f>
        <v>2891</v>
      </c>
      <c r="L49" s="81">
        <f>VLOOKUP(B49,'OI(Value)'!$A$7:$C$209,3,0)</f>
        <v>319</v>
      </c>
      <c r="M49" s="33">
        <f t="shared" si="12"/>
        <v>11.034244206157039</v>
      </c>
      <c r="N49" s="5">
        <f>VLOOKUP($B49,'Data Vlaue (Cr)'!$C:$FB,67)</f>
        <v>5065</v>
      </c>
      <c r="O49" s="5">
        <f>VLOOKUP($B49,'Data Vlaue (Cr)'!$C:$FB,68)</f>
        <v>1278</v>
      </c>
      <c r="P49" s="5">
        <f t="shared" si="17"/>
        <v>74.768015794669296</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Metals</v>
      </c>
      <c r="B50" s="79" t="str">
        <f>'Data shares'!C45</f>
        <v>COALINDIA</v>
      </c>
      <c r="C50" s="4">
        <f>VLOOKUP($B50,'Data shares'!$C:$FB,7)</f>
        <v>384.5</v>
      </c>
      <c r="D50" s="82">
        <f>VLOOKUP($B50,'Data shares'!$C:$FB,98)</f>
        <v>120406500</v>
      </c>
      <c r="E50" s="165">
        <f>VLOOKUP(B50,'Snapshot (Volume)'!$A$7:$G$168,7,0)</f>
        <v>117598500</v>
      </c>
      <c r="F50" s="165">
        <f>D50-E50</f>
        <v>2808000</v>
      </c>
      <c r="G50" s="166">
        <f>F50/E50</f>
        <v>2.3877855584892665E-2</v>
      </c>
      <c r="H50" s="165">
        <f>VLOOKUP($B50,'Data shares'!$C:$FB,66)</f>
        <v>30369600</v>
      </c>
      <c r="I50" s="165">
        <f>VLOOKUP($B50,'Data shares'!$C:$FB,67)</f>
        <v>34118550</v>
      </c>
      <c r="J50" s="81">
        <f>(H50-I50)/I50*100</f>
        <v>-10.988010920745459</v>
      </c>
      <c r="K50" s="5">
        <f>VLOOKUP($B50,'Data Vlaue (Cr)'!$C:$FB,99)</f>
        <v>4644</v>
      </c>
      <c r="L50" s="81">
        <f>VLOOKUP(B50,'OI(Value)'!$A$7:$C$209,3,0)</f>
        <v>108</v>
      </c>
      <c r="M50" s="33">
        <f t="shared" si="12"/>
        <v>2.3255813953488373</v>
      </c>
      <c r="N50" s="5">
        <f>VLOOKUP($B50,'Data Vlaue (Cr)'!$C:$FB,67)</f>
        <v>1171</v>
      </c>
      <c r="O50" s="5">
        <f>VLOOKUP($B50,'Data Vlaue (Cr)'!$C:$FB,68)</f>
        <v>1316</v>
      </c>
      <c r="P50" s="5">
        <f>(N50-O50)/N50*100</f>
        <v>-12.382578992314262</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Technology</v>
      </c>
      <c r="B51" s="79" t="str">
        <f>'Data shares'!C46</f>
        <v>COFORGE</v>
      </c>
      <c r="C51" s="4">
        <f>VLOOKUP($B51,'Data shares'!$C:$FB,7)</f>
        <v>1722.3</v>
      </c>
      <c r="D51" s="82">
        <f>VLOOKUP($B51,'Data shares'!$C:$FB,98)</f>
        <v>19714125</v>
      </c>
      <c r="E51" s="165">
        <f>VLOOKUP(B51,'Snapshot (Volume)'!$A$7:$G$168,7,0)</f>
        <v>20287500</v>
      </c>
      <c r="F51" s="165">
        <f>D51-E51</f>
        <v>-573375</v>
      </c>
      <c r="G51" s="166">
        <f>F51/E51</f>
        <v>-2.8262476894639555E-2</v>
      </c>
      <c r="H51" s="165">
        <f>VLOOKUP($B51,'Data shares'!$C:$FB,66)</f>
        <v>13305750</v>
      </c>
      <c r="I51" s="165">
        <f>VLOOKUP($B51,'Data shares'!$C:$FB,67)</f>
        <v>13551375</v>
      </c>
      <c r="J51" s="81">
        <f>(H51-I51)/I51*100</f>
        <v>-1.8125466972908653</v>
      </c>
      <c r="K51" s="5">
        <f>VLOOKUP($B51,'Data Vlaue (Cr)'!$C:$FB,99)</f>
        <v>3413</v>
      </c>
      <c r="L51" s="81">
        <f>VLOOKUP(B51,'OI(Value)'!$A$7:$C$209,3,0)</f>
        <v>-99</v>
      </c>
      <c r="M51" s="33">
        <f t="shared" si="12"/>
        <v>-2.9006738939349548</v>
      </c>
      <c r="N51" s="5">
        <f>VLOOKUP($B51,'Data Vlaue (Cr)'!$C:$FB,67)</f>
        <v>2303</v>
      </c>
      <c r="O51" s="5">
        <f>VLOOKUP($B51,'Data Vlaue (Cr)'!$C:$FB,68)</f>
        <v>2346</v>
      </c>
      <c r="P51" s="5">
        <f>(N51-O51)/N51*100</f>
        <v>-1.8671298306556665</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FMCG</v>
      </c>
      <c r="B52" s="79" t="str">
        <f>'Data shares'!C47</f>
        <v>COLPAL</v>
      </c>
      <c r="C52" s="79">
        <f>VLOOKUP($B52,'Data shares'!$C:$FB,7)</f>
        <v>2227.8000000000002</v>
      </c>
      <c r="D52" s="80">
        <f>VLOOKUP($B52,'Data shares'!$C:$FB,98)</f>
        <v>8404875</v>
      </c>
      <c r="E52" s="165">
        <f>VLOOKUP(B52,'Snapshot (Volume)'!$A$7:$G$168,7,0)</f>
        <v>8253900</v>
      </c>
      <c r="F52" s="165">
        <f t="shared" ref="F52:F68" si="18">D52-E52</f>
        <v>150975</v>
      </c>
      <c r="G52" s="166">
        <f t="shared" ref="G52:G68" si="19">F52/E52</f>
        <v>1.8291353178497439E-2</v>
      </c>
      <c r="H52" s="165">
        <f>VLOOKUP($B52,'Data shares'!$C:$FB,66)</f>
        <v>2343375</v>
      </c>
      <c r="I52" s="165">
        <f>VLOOKUP($B52,'Data shares'!$C:$FB,67)</f>
        <v>1425375</v>
      </c>
      <c r="J52" s="81">
        <f t="shared" ref="J52:J68" si="20">(H52-I52)/I52*100</f>
        <v>64.404104183109709</v>
      </c>
      <c r="K52" s="81">
        <f>VLOOKUP($B52,'Data Vlaue (Cr)'!$C:$FB,99)</f>
        <v>1882</v>
      </c>
      <c r="L52" s="81">
        <f>VLOOKUP(B52,'OI(Value)'!$A$7:$C$209,3,0)</f>
        <v>34</v>
      </c>
      <c r="M52" s="81">
        <f t="shared" si="12"/>
        <v>1.8065887353878853</v>
      </c>
      <c r="N52" s="81">
        <f>VLOOKUP($B52,'Data Vlaue (Cr)'!$C:$FB,67)</f>
        <v>525</v>
      </c>
      <c r="O52" s="81">
        <f>VLOOKUP($B52,'Data Vlaue (Cr)'!$C:$FB,68)</f>
        <v>319</v>
      </c>
      <c r="P52" s="81">
        <f t="shared" ref="P52:P68" si="21">(N52-O52)/N52*100</f>
        <v>39.238095238095241</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Infrastructure</v>
      </c>
      <c r="B53" s="79" t="str">
        <f>'Data shares'!C48</f>
        <v>CONCOR</v>
      </c>
      <c r="C53" s="4">
        <f>VLOOKUP($B53,'Data shares'!$C:$FB,7)</f>
        <v>541.4</v>
      </c>
      <c r="D53" s="82">
        <f>VLOOKUP($B53,'Data shares'!$C:$FB,98)</f>
        <v>42998750</v>
      </c>
      <c r="E53" s="165">
        <f>VLOOKUP(B53,'Snapshot (Volume)'!$A$7:$G$168,7,0)</f>
        <v>43018750</v>
      </c>
      <c r="F53" s="165">
        <f t="shared" si="18"/>
        <v>-20000</v>
      </c>
      <c r="G53" s="166">
        <f t="shared" si="19"/>
        <v>-4.6491355513584193E-4</v>
      </c>
      <c r="H53" s="165">
        <f>VLOOKUP($B53,'Data shares'!$C:$FB,66)</f>
        <v>17983750</v>
      </c>
      <c r="I53" s="165">
        <f>VLOOKUP($B53,'Data shares'!$C:$FB,67)</f>
        <v>26731250</v>
      </c>
      <c r="J53" s="81">
        <f t="shared" si="20"/>
        <v>-32.72387187280804</v>
      </c>
      <c r="K53" s="5">
        <f>VLOOKUP($B53,'Data Vlaue (Cr)'!$C:$FB,99)</f>
        <v>2333</v>
      </c>
      <c r="L53" s="81">
        <f>VLOOKUP(B53,'OI(Value)'!$A$7:$C$209,3,0)</f>
        <v>-1</v>
      </c>
      <c r="M53" s="33">
        <f t="shared" si="12"/>
        <v>-4.2863266180882979E-2</v>
      </c>
      <c r="N53" s="5">
        <f>VLOOKUP($B53,'Data Vlaue (Cr)'!$C:$FB,67)</f>
        <v>976</v>
      </c>
      <c r="O53" s="5">
        <f>VLOOKUP($B53,'Data Vlaue (Cr)'!$C:$FB,68)</f>
        <v>1451</v>
      </c>
      <c r="P53" s="5">
        <f t="shared" si="21"/>
        <v>-48.668032786885249</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Capital_Goods</v>
      </c>
      <c r="B54" s="79" t="str">
        <f>'Data shares'!C49</f>
        <v>CROMPTON</v>
      </c>
      <c r="C54" s="4">
        <f>VLOOKUP($B54,'Data shares'!$C:$FB,7)</f>
        <v>287.75</v>
      </c>
      <c r="D54" s="82">
        <f>VLOOKUP($B54,'Data shares'!$C:$FB,98)</f>
        <v>80735400</v>
      </c>
      <c r="E54" s="165">
        <f>VLOOKUP(B54,'Snapshot (Volume)'!$A$7:$G$168,7,0)</f>
        <v>80031600</v>
      </c>
      <c r="F54" s="165">
        <f t="shared" si="18"/>
        <v>703800</v>
      </c>
      <c r="G54" s="166">
        <f t="shared" si="19"/>
        <v>8.7940263595879635E-3</v>
      </c>
      <c r="H54" s="165">
        <f>VLOOKUP($B54,'Data shares'!$C:$FB,66)</f>
        <v>26521200</v>
      </c>
      <c r="I54" s="165">
        <f>VLOOKUP($B54,'Data shares'!$C:$FB,67)</f>
        <v>19188000</v>
      </c>
      <c r="J54" s="81">
        <f t="shared" si="20"/>
        <v>38.217636022514071</v>
      </c>
      <c r="K54" s="5">
        <f>VLOOKUP($B54,'Data Vlaue (Cr)'!$C:$FB,99)</f>
        <v>2334</v>
      </c>
      <c r="L54" s="81">
        <f>VLOOKUP(B54,'OI(Value)'!$A$7:$C$209,3,0)</f>
        <v>20</v>
      </c>
      <c r="M54" s="33">
        <f t="shared" si="12"/>
        <v>0.85689802913453306</v>
      </c>
      <c r="N54" s="5">
        <f>VLOOKUP($B54,'Data Vlaue (Cr)'!$C:$FB,67)</f>
        <v>767</v>
      </c>
      <c r="O54" s="5">
        <f>VLOOKUP($B54,'Data Vlaue (Cr)'!$C:$FB,68)</f>
        <v>555</v>
      </c>
      <c r="P54" s="5">
        <f t="shared" si="21"/>
        <v>27.640156453715775</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Capital_Goods</v>
      </c>
      <c r="B55" s="79" t="str">
        <f>'Data shares'!C50</f>
        <v>CUMMINSIND</v>
      </c>
      <c r="C55" s="4">
        <f>VLOOKUP($B55,'Data shares'!$C:$FB,7)</f>
        <v>3966</v>
      </c>
      <c r="D55" s="82">
        <f>VLOOKUP($B55,'Data shares'!$C:$FB,98)</f>
        <v>4229400</v>
      </c>
      <c r="E55" s="165">
        <f>VLOOKUP(B55,'Snapshot (Volume)'!$A$7:$G$168,7,0)</f>
        <v>4125200</v>
      </c>
      <c r="F55" s="165">
        <f t="shared" si="18"/>
        <v>104200</v>
      </c>
      <c r="G55" s="166">
        <f t="shared" si="19"/>
        <v>2.5259381363327837E-2</v>
      </c>
      <c r="H55" s="165">
        <f>VLOOKUP($B55,'Data shares'!$C:$FB,66)</f>
        <v>4103800</v>
      </c>
      <c r="I55" s="165">
        <f>VLOOKUP($B55,'Data shares'!$C:$FB,67)</f>
        <v>1810000</v>
      </c>
      <c r="J55" s="81">
        <f t="shared" si="20"/>
        <v>126.7292817679558</v>
      </c>
      <c r="K55" s="5">
        <f>VLOOKUP($B55,'Data Vlaue (Cr)'!$C:$FB,99)</f>
        <v>1687</v>
      </c>
      <c r="L55" s="81">
        <f>VLOOKUP(B55,'OI(Value)'!$A$7:$C$209,3,0)</f>
        <v>42</v>
      </c>
      <c r="M55" s="33">
        <f t="shared" si="12"/>
        <v>2.4896265560165975</v>
      </c>
      <c r="N55" s="5">
        <f>VLOOKUP($B55,'Data Vlaue (Cr)'!$C:$FB,67)</f>
        <v>1637</v>
      </c>
      <c r="O55" s="5">
        <f>VLOOKUP($B55,'Data Vlaue (Cr)'!$C:$FB,68)</f>
        <v>722</v>
      </c>
      <c r="P55" s="5">
        <f t="shared" si="21"/>
        <v>55.894929749541845</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Technology</v>
      </c>
      <c r="B56" s="79" t="str">
        <f>'Data shares'!C51</f>
        <v>CYIENT</v>
      </c>
      <c r="C56" s="4">
        <f>VLOOKUP($B56,'Data shares'!$C:$FB,7)</f>
        <v>1176.9000000000001</v>
      </c>
      <c r="D56" s="82">
        <f>VLOOKUP($B56,'Data shares'!$C:$FB,98)</f>
        <v>7184625</v>
      </c>
      <c r="E56" s="165">
        <f>VLOOKUP(B56,'Snapshot (Volume)'!$A$7:$G$168,7,0)</f>
        <v>6775350</v>
      </c>
      <c r="F56" s="165">
        <f t="shared" si="18"/>
        <v>409275</v>
      </c>
      <c r="G56" s="166">
        <f t="shared" si="19"/>
        <v>6.0406473466315391E-2</v>
      </c>
      <c r="H56" s="165">
        <f>VLOOKUP($B56,'Data shares'!$C:$FB,66)</f>
        <v>2348125</v>
      </c>
      <c r="I56" s="165">
        <f>VLOOKUP($B56,'Data shares'!$C:$FB,67)</f>
        <v>2170900</v>
      </c>
      <c r="J56" s="81">
        <f t="shared" si="20"/>
        <v>8.1636648394675024</v>
      </c>
      <c r="K56" s="5">
        <f>VLOOKUP($B56,'Data Vlaue (Cr)'!$C:$FB,99)</f>
        <v>847</v>
      </c>
      <c r="L56" s="81">
        <f>VLOOKUP(B56,'OI(Value)'!$A$7:$C$209,3,0)</f>
        <v>48</v>
      </c>
      <c r="M56" s="33">
        <f t="shared" si="12"/>
        <v>5.667060212514758</v>
      </c>
      <c r="N56" s="5">
        <f>VLOOKUP($B56,'Data Vlaue (Cr)'!$C:$FB,67)</f>
        <v>277</v>
      </c>
      <c r="O56" s="5">
        <f>VLOOKUP($B56,'Data Vlaue (Cr)'!$C:$FB,68)</f>
        <v>256</v>
      </c>
      <c r="P56" s="5">
        <f t="shared" si="21"/>
        <v>7.5812274368231041</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FMCG</v>
      </c>
      <c r="B57" s="79" t="str">
        <f>'Data shares'!C52</f>
        <v>DABUR</v>
      </c>
      <c r="C57" s="4">
        <f>VLOOKUP($B57,'Data shares'!$C:$FB,7)</f>
        <v>489.7</v>
      </c>
      <c r="D57" s="82">
        <f>VLOOKUP($B57,'Data shares'!$C:$FB,98)</f>
        <v>55740000</v>
      </c>
      <c r="E57" s="165">
        <f>VLOOKUP(B57,'Snapshot (Volume)'!$A$7:$G$168,7,0)</f>
        <v>56068750</v>
      </c>
      <c r="F57" s="165">
        <f t="shared" si="18"/>
        <v>-328750</v>
      </c>
      <c r="G57" s="166">
        <f t="shared" si="19"/>
        <v>-5.8633374205774164E-3</v>
      </c>
      <c r="H57" s="165">
        <f>VLOOKUP($B57,'Data shares'!$C:$FB,66)</f>
        <v>16525000</v>
      </c>
      <c r="I57" s="165">
        <f>VLOOKUP($B57,'Data shares'!$C:$FB,67)</f>
        <v>23620000</v>
      </c>
      <c r="J57" s="81">
        <f t="shared" si="20"/>
        <v>-30.038103302286196</v>
      </c>
      <c r="K57" s="5">
        <f>VLOOKUP($B57,'Data Vlaue (Cr)'!$C:$FB,99)</f>
        <v>2739</v>
      </c>
      <c r="L57" s="81">
        <f>VLOOKUP(B57,'OI(Value)'!$A$7:$C$209,3,0)</f>
        <v>-16</v>
      </c>
      <c r="M57" s="33">
        <f t="shared" si="12"/>
        <v>-0.58415480102227091</v>
      </c>
      <c r="N57" s="5">
        <f>VLOOKUP($B57,'Data Vlaue (Cr)'!$C:$FB,67)</f>
        <v>812</v>
      </c>
      <c r="O57" s="5">
        <f>VLOOKUP($B57,'Data Vlaue (Cr)'!$C:$FB,68)</f>
        <v>1161</v>
      </c>
      <c r="P57" s="5">
        <f t="shared" si="21"/>
        <v>-42.980295566502463</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Cement</v>
      </c>
      <c r="B58" s="79" t="str">
        <f>'Data shares'!C53</f>
        <v>DALBHARAT</v>
      </c>
      <c r="C58" s="4">
        <f>VLOOKUP($B58,'Data shares'!$C:$FB,7)</f>
        <v>2227.6999999999998</v>
      </c>
      <c r="D58" s="82">
        <f>VLOOKUP($B58,'Data shares'!$C:$FB,98)</f>
        <v>3293225</v>
      </c>
      <c r="E58" s="165">
        <f>VLOOKUP(B58,'Snapshot (Volume)'!$A$7:$G$168,7,0)</f>
        <v>3208725</v>
      </c>
      <c r="F58" s="165">
        <f t="shared" si="18"/>
        <v>84500</v>
      </c>
      <c r="G58" s="166">
        <f t="shared" si="19"/>
        <v>2.633444748303454E-2</v>
      </c>
      <c r="H58" s="165">
        <f>VLOOKUP($B58,'Data shares'!$C:$FB,66)</f>
        <v>781950</v>
      </c>
      <c r="I58" s="165">
        <f>VLOOKUP($B58,'Data shares'!$C:$FB,67)</f>
        <v>1271075</v>
      </c>
      <c r="J58" s="81">
        <f t="shared" si="20"/>
        <v>-38.481206852467395</v>
      </c>
      <c r="K58" s="5">
        <f>VLOOKUP($B58,'Data Vlaue (Cr)'!$C:$FB,99)</f>
        <v>737</v>
      </c>
      <c r="L58" s="81">
        <f>VLOOKUP(B58,'OI(Value)'!$A$7:$C$209,3,0)</f>
        <v>19</v>
      </c>
      <c r="M58" s="33">
        <f t="shared" si="12"/>
        <v>2.5780189959294439</v>
      </c>
      <c r="N58" s="5">
        <f>VLOOKUP($B58,'Data Vlaue (Cr)'!$C:$FB,67)</f>
        <v>175</v>
      </c>
      <c r="O58" s="5">
        <f>VLOOKUP($B58,'Data Vlaue (Cr)'!$C:$FB,68)</f>
        <v>284</v>
      </c>
      <c r="P58" s="5">
        <f t="shared" si="21"/>
        <v>-62.285714285714292</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New_Age</v>
      </c>
      <c r="B59" s="79" t="str">
        <f>'Data shares'!C54</f>
        <v>DELHIVERY</v>
      </c>
      <c r="C59" s="4">
        <f>VLOOKUP($B59,'Data shares'!$C:$FB,7)</f>
        <v>464.85</v>
      </c>
      <c r="D59" s="82">
        <f>VLOOKUP($B59,'Data shares'!$C:$FB,98)</f>
        <v>31757875</v>
      </c>
      <c r="E59" s="165">
        <f>VLOOKUP(B59,'Snapshot (Volume)'!$A$7:$G$168,7,0)</f>
        <v>30627000</v>
      </c>
      <c r="F59" s="165">
        <f t="shared" si="18"/>
        <v>1130875</v>
      </c>
      <c r="G59" s="166">
        <f t="shared" si="19"/>
        <v>3.6924119241192412E-2</v>
      </c>
      <c r="H59" s="165">
        <f>VLOOKUP($B59,'Data shares'!$C:$FB,66)</f>
        <v>15842625</v>
      </c>
      <c r="I59" s="165">
        <f>VLOOKUP($B59,'Data shares'!$C:$FB,67)</f>
        <v>18666700</v>
      </c>
      <c r="J59" s="81">
        <f t="shared" si="20"/>
        <v>-15.128946198310361</v>
      </c>
      <c r="K59" s="5">
        <f>VLOOKUP($B59,'Data Vlaue (Cr)'!$C:$FB,99)</f>
        <v>1485</v>
      </c>
      <c r="L59" s="81">
        <f>VLOOKUP(B59,'OI(Value)'!$A$7:$C$209,3,0)</f>
        <v>53</v>
      </c>
      <c r="M59" s="33">
        <f t="shared" si="12"/>
        <v>3.5690235690235688</v>
      </c>
      <c r="N59" s="5">
        <f>VLOOKUP($B59,'Data Vlaue (Cr)'!$C:$FB,67)</f>
        <v>741</v>
      </c>
      <c r="O59" s="5">
        <f>VLOOKUP($B59,'Data Vlaue (Cr)'!$C:$FB,68)</f>
        <v>873</v>
      </c>
      <c r="P59" s="5">
        <f t="shared" si="21"/>
        <v>-17.813765182186234</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Pharma</v>
      </c>
      <c r="B60" s="79" t="str">
        <f>'Data shares'!C55</f>
        <v>DIVISLAB</v>
      </c>
      <c r="C60" s="4">
        <f>VLOOKUP($B60,'Data shares'!$C:$FB,7)</f>
        <v>6474.5</v>
      </c>
      <c r="D60" s="82">
        <f>VLOOKUP($B60,'Data shares'!$C:$FB,98)</f>
        <v>6040600</v>
      </c>
      <c r="E60" s="165">
        <f>VLOOKUP(B60,'Snapshot (Volume)'!$A$7:$G$168,7,0)</f>
        <v>4510700</v>
      </c>
      <c r="F60" s="165">
        <f t="shared" si="18"/>
        <v>1529900</v>
      </c>
      <c r="G60" s="166">
        <f t="shared" si="19"/>
        <v>0.33917130378876892</v>
      </c>
      <c r="H60" s="165">
        <f>VLOOKUP($B60,'Data shares'!$C:$FB,66)</f>
        <v>21603100</v>
      </c>
      <c r="I60" s="165">
        <f>VLOOKUP($B60,'Data shares'!$C:$FB,67)</f>
        <v>2996200</v>
      </c>
      <c r="J60" s="81">
        <f t="shared" si="20"/>
        <v>621.01662105333423</v>
      </c>
      <c r="K60" s="5">
        <f>VLOOKUP($B60,'Data Vlaue (Cr)'!$C:$FB,99)</f>
        <v>3925</v>
      </c>
      <c r="L60" s="81">
        <f>VLOOKUP(B60,'OI(Value)'!$A$7:$C$209,3,0)</f>
        <v>994</v>
      </c>
      <c r="M60" s="33">
        <f t="shared" si="12"/>
        <v>25.324840764331206</v>
      </c>
      <c r="N60" s="5">
        <f>VLOOKUP($B60,'Data Vlaue (Cr)'!$C:$FB,67)</f>
        <v>14039</v>
      </c>
      <c r="O60" s="5">
        <f>VLOOKUP($B60,'Data Vlaue (Cr)'!$C:$FB,68)</f>
        <v>1947</v>
      </c>
      <c r="P60" s="5">
        <f t="shared" si="21"/>
        <v>86.131490846926411</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Capital_Goods</v>
      </c>
      <c r="B61" s="79" t="str">
        <f>'Data shares'!C56</f>
        <v>DIXON</v>
      </c>
      <c r="C61" s="4">
        <f>VLOOKUP($B61,'Data shares'!$C:$FB,7)</f>
        <v>17445</v>
      </c>
      <c r="D61" s="82">
        <f>VLOOKUP($B61,'Data shares'!$C:$FB,98)</f>
        <v>3074600</v>
      </c>
      <c r="E61" s="165">
        <f>VLOOKUP(B61,'Snapshot (Volume)'!$A$7:$G$168,7,0)</f>
        <v>3230850</v>
      </c>
      <c r="F61" s="165">
        <f t="shared" si="18"/>
        <v>-156250</v>
      </c>
      <c r="G61" s="166">
        <f t="shared" si="19"/>
        <v>-4.8361886190940465E-2</v>
      </c>
      <c r="H61" s="165">
        <f>VLOOKUP($B61,'Data shares'!$C:$FB,66)</f>
        <v>2911700</v>
      </c>
      <c r="I61" s="165">
        <f>VLOOKUP($B61,'Data shares'!$C:$FB,67)</f>
        <v>1764450</v>
      </c>
      <c r="J61" s="81">
        <f t="shared" si="20"/>
        <v>65.020261271217663</v>
      </c>
      <c r="K61" s="5">
        <f>VLOOKUP($B61,'Data Vlaue (Cr)'!$C:$FB,99)</f>
        <v>5377</v>
      </c>
      <c r="L61" s="81">
        <f>VLOOKUP(B61,'OI(Value)'!$A$7:$C$209,3,0)</f>
        <v>-273</v>
      </c>
      <c r="M61" s="33">
        <f t="shared" si="12"/>
        <v>-5.0771805839687563</v>
      </c>
      <c r="N61" s="5">
        <f>VLOOKUP($B61,'Data Vlaue (Cr)'!$C:$FB,67)</f>
        <v>5092</v>
      </c>
      <c r="O61" s="5">
        <f>VLOOKUP($B61,'Data Vlaue (Cr)'!$C:$FB,68)</f>
        <v>3086</v>
      </c>
      <c r="P61" s="5">
        <f t="shared" si="21"/>
        <v>39.395129615082482</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Realty</v>
      </c>
      <c r="B62" s="79" t="str">
        <f>'Data shares'!C57</f>
        <v>DLF</v>
      </c>
      <c r="C62" s="4">
        <f>VLOOKUP($B62,'Data shares'!$C:$FB,7)</f>
        <v>740.2</v>
      </c>
      <c r="D62" s="82">
        <f>VLOOKUP($B62,'Data shares'!$C:$FB,98)</f>
        <v>68737350</v>
      </c>
      <c r="E62" s="165">
        <f>VLOOKUP(B62,'Snapshot (Volume)'!$A$7:$G$168,7,0)</f>
        <v>69640725</v>
      </c>
      <c r="F62" s="165">
        <f t="shared" si="18"/>
        <v>-903375</v>
      </c>
      <c r="G62" s="166"/>
      <c r="H62" s="165">
        <f>VLOOKUP($B62,'Data shares'!$C:$FB,66)</f>
        <v>44042625</v>
      </c>
      <c r="I62" s="165">
        <f>VLOOKUP($B62,'Data shares'!$C:$FB,67)</f>
        <v>19114425</v>
      </c>
      <c r="J62" s="81"/>
      <c r="K62" s="5">
        <f>VLOOKUP($B62,'Data Vlaue (Cr)'!$C:$FB,99)</f>
        <v>5104</v>
      </c>
      <c r="L62" s="81">
        <f>VLOOKUP(B62,'OI(Value)'!$A$7:$C$209,3,0)</f>
        <v>-67</v>
      </c>
      <c r="M62" s="33"/>
      <c r="N62" s="5">
        <f>VLOOKUP($B62,'Data Vlaue (Cr)'!$C:$FB,67)</f>
        <v>3271</v>
      </c>
      <c r="O62" s="5">
        <f>VLOOKUP($B62,'Data Vlaue (Cr)'!$C:$FB,68)</f>
        <v>1419</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New_Age</v>
      </c>
      <c r="B63" s="79" t="str">
        <f>'Data shares'!C58</f>
        <v>DMART</v>
      </c>
      <c r="C63" s="4">
        <f>VLOOKUP($B63,'Data shares'!$C:$FB,7)</f>
        <v>4320.3999999999996</v>
      </c>
      <c r="D63" s="82">
        <f>VLOOKUP($B63,'Data shares'!$C:$FB,98)</f>
        <v>10623600</v>
      </c>
      <c r="E63" s="165">
        <f>VLOOKUP(B63,'Snapshot (Volume)'!$A$7:$G$168,7,0)</f>
        <v>9247650</v>
      </c>
      <c r="F63" s="165">
        <f t="shared" si="18"/>
        <v>1375950</v>
      </c>
      <c r="G63" s="166">
        <f t="shared" si="19"/>
        <v>0.14878915183857522</v>
      </c>
      <c r="H63" s="165">
        <f>VLOOKUP($B63,'Data shares'!$C:$FB,66)</f>
        <v>11075400</v>
      </c>
      <c r="I63" s="165">
        <f>VLOOKUP($B63,'Data shares'!$C:$FB,67)</f>
        <v>2647050</v>
      </c>
      <c r="J63" s="81">
        <f t="shared" si="20"/>
        <v>318.40539468464897</v>
      </c>
      <c r="K63" s="5">
        <f>VLOOKUP($B63,'Data Vlaue (Cr)'!$C:$FB,99)</f>
        <v>4608</v>
      </c>
      <c r="L63" s="81">
        <f>VLOOKUP(B63,'OI(Value)'!$A$7:$C$209,3,0)</f>
        <v>597</v>
      </c>
      <c r="M63" s="33">
        <f t="shared" si="12"/>
        <v>12.955729166666666</v>
      </c>
      <c r="N63" s="5">
        <f>VLOOKUP($B63,'Data Vlaue (Cr)'!$C:$FB,67)</f>
        <v>4804</v>
      </c>
      <c r="O63" s="5">
        <f>VLOOKUP($B63,'Data Vlaue (Cr)'!$C:$FB,68)</f>
        <v>1148</v>
      </c>
      <c r="P63" s="5">
        <f t="shared" si="21"/>
        <v>76.103247293921726</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Pharma</v>
      </c>
      <c r="B64" s="79" t="str">
        <f>'Data shares'!C59</f>
        <v>DRREDDY</v>
      </c>
      <c r="C64" s="4">
        <f>VLOOKUP($B64,'Data shares'!$C:$FB,7)</f>
        <v>1264.4000000000001</v>
      </c>
      <c r="D64" s="82">
        <f>VLOOKUP($B64,'Data shares'!$C:$FB,98)</f>
        <v>21013750</v>
      </c>
      <c r="E64" s="165">
        <f>VLOOKUP(B64,'Snapshot (Volume)'!$A$7:$G$168,7,0)</f>
        <v>21113750</v>
      </c>
      <c r="F64" s="165">
        <f t="shared" si="18"/>
        <v>-100000</v>
      </c>
      <c r="G64" s="166">
        <f t="shared" si="19"/>
        <v>-4.7362500740039072E-3</v>
      </c>
      <c r="H64" s="165">
        <f>VLOOKUP($B64,'Data shares'!$C:$FB,66)</f>
        <v>12853750</v>
      </c>
      <c r="I64" s="165">
        <f>VLOOKUP($B64,'Data shares'!$C:$FB,67)</f>
        <v>20705000</v>
      </c>
      <c r="J64" s="81">
        <f t="shared" si="20"/>
        <v>-37.919584641390969</v>
      </c>
      <c r="K64" s="5">
        <f>VLOOKUP($B64,'Data Vlaue (Cr)'!$C:$FB,99)</f>
        <v>2671</v>
      </c>
      <c r="L64" s="81">
        <f>VLOOKUP(B64,'OI(Value)'!$A$7:$C$209,3,0)</f>
        <v>-13</v>
      </c>
      <c r="M64" s="33">
        <f t="shared" si="12"/>
        <v>-0.48670909771621118</v>
      </c>
      <c r="N64" s="5">
        <f>VLOOKUP($B64,'Data Vlaue (Cr)'!$C:$FB,67)</f>
        <v>1634</v>
      </c>
      <c r="O64" s="5">
        <f>VLOOKUP($B64,'Data Vlaue (Cr)'!$C:$FB,68)</f>
        <v>2631</v>
      </c>
      <c r="P64" s="5">
        <f t="shared" si="21"/>
        <v>-61.015911872705018</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Automobile</v>
      </c>
      <c r="B65" s="79" t="str">
        <f>'Data shares'!C60</f>
        <v>EICHERMOT</v>
      </c>
      <c r="C65" s="4">
        <f>VLOOKUP($B65,'Data shares'!$C:$FB,7)</f>
        <v>6965</v>
      </c>
      <c r="D65" s="82">
        <f>VLOOKUP($B65,'Data shares'!$C:$FB,98)</f>
        <v>6782125</v>
      </c>
      <c r="E65" s="165">
        <f>VLOOKUP(B65,'Snapshot (Volume)'!$A$7:$G$168,7,0)</f>
        <v>6744675</v>
      </c>
      <c r="F65" s="165">
        <f t="shared" si="18"/>
        <v>37450</v>
      </c>
      <c r="G65" s="166">
        <f t="shared" si="19"/>
        <v>5.5525284761682361E-3</v>
      </c>
      <c r="H65" s="165">
        <f>VLOOKUP($B65,'Data shares'!$C:$FB,66)</f>
        <v>3686550</v>
      </c>
      <c r="I65" s="165">
        <f>VLOOKUP($B65,'Data shares'!$C:$FB,67)</f>
        <v>4903325</v>
      </c>
      <c r="J65" s="81">
        <f t="shared" si="20"/>
        <v>-24.815303900924373</v>
      </c>
      <c r="K65" s="5">
        <f>VLOOKUP($B65,'Data Vlaue (Cr)'!$C:$FB,99)</f>
        <v>4737</v>
      </c>
      <c r="L65" s="81">
        <f>VLOOKUP(B65,'OI(Value)'!$A$7:$C$209,3,0)</f>
        <v>26</v>
      </c>
      <c r="M65" s="33">
        <f t="shared" si="12"/>
        <v>0.5488705932024488</v>
      </c>
      <c r="N65" s="5">
        <f>VLOOKUP($B65,'Data Vlaue (Cr)'!$C:$FB,67)</f>
        <v>2575</v>
      </c>
      <c r="O65" s="5">
        <f>VLOOKUP($B65,'Data Vlaue (Cr)'!$C:$FB,68)</f>
        <v>3424</v>
      </c>
      <c r="P65" s="5">
        <f t="shared" si="21"/>
        <v>-32.970873786407765</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New_Age</v>
      </c>
      <c r="B66" s="79" t="str">
        <f>'Data shares'!C61</f>
        <v>ETERNAL</v>
      </c>
      <c r="C66" s="4">
        <f>VLOOKUP($B66,'Data shares'!$C:$FB,7)</f>
        <v>348.3</v>
      </c>
      <c r="D66" s="82">
        <f>VLOOKUP($B66,'Data shares'!$C:$FB,98)</f>
        <v>332465075</v>
      </c>
      <c r="E66" s="165">
        <f>VLOOKUP(B66,'Snapshot (Volume)'!$A$7:$G$168,7,0)</f>
        <v>334133475</v>
      </c>
      <c r="F66" s="165">
        <f t="shared" si="18"/>
        <v>-1668400</v>
      </c>
      <c r="G66" s="166">
        <f t="shared" si="19"/>
        <v>-4.9932141638906425E-3</v>
      </c>
      <c r="H66" s="165">
        <f>VLOOKUP($B66,'Data shares'!$C:$FB,66)</f>
        <v>113291150</v>
      </c>
      <c r="I66" s="165">
        <f>VLOOKUP($B66,'Data shares'!$C:$FB,67)</f>
        <v>179765250</v>
      </c>
      <c r="J66" s="81">
        <f t="shared" si="20"/>
        <v>-36.978281397544855</v>
      </c>
      <c r="K66" s="5">
        <f>VLOOKUP($B66,'Data Vlaue (Cr)'!$C:$FB,99)</f>
        <v>11616</v>
      </c>
      <c r="L66" s="81">
        <f>VLOOKUP(B66,'OI(Value)'!$A$7:$C$209,3,0)</f>
        <v>-58</v>
      </c>
      <c r="M66" s="33">
        <f t="shared" ref="M66:M93" si="22">L66/K66*100</f>
        <v>-0.49931129476584024</v>
      </c>
      <c r="N66" s="5">
        <f>VLOOKUP($B66,'Data Vlaue (Cr)'!$C:$FB,67)</f>
        <v>3958</v>
      </c>
      <c r="O66" s="5">
        <f>VLOOKUP($B66,'Data Vlaue (Cr)'!$C:$FB,68)</f>
        <v>6281</v>
      </c>
      <c r="P66" s="5">
        <f t="shared" si="21"/>
        <v>-58.691258211217786</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Automobile</v>
      </c>
      <c r="B67" s="79" t="str">
        <f>'Data shares'!C62</f>
        <v>EXIDEIND</v>
      </c>
      <c r="C67" s="4">
        <f>VLOOKUP($B67,'Data shares'!$C:$FB,7)</f>
        <v>400.65</v>
      </c>
      <c r="D67" s="82">
        <f>VLOOKUP($B67,'Data shares'!$C:$FB,98)</f>
        <v>49721400</v>
      </c>
      <c r="E67" s="165">
        <f>VLOOKUP(B67,'Snapshot (Volume)'!$A$7:$G$168,7,0)</f>
        <v>48556800</v>
      </c>
      <c r="F67" s="165">
        <f t="shared" si="18"/>
        <v>1164600</v>
      </c>
      <c r="G67" s="166">
        <f t="shared" si="19"/>
        <v>2.3984282325029655E-2</v>
      </c>
      <c r="H67" s="165">
        <f>VLOOKUP($B67,'Data shares'!$C:$FB,66)</f>
        <v>29923200</v>
      </c>
      <c r="I67" s="165">
        <f>VLOOKUP($B67,'Data shares'!$C:$FB,67)</f>
        <v>31118400</v>
      </c>
      <c r="J67" s="81">
        <f t="shared" si="20"/>
        <v>-3.840814437760296</v>
      </c>
      <c r="K67" s="5">
        <f>VLOOKUP($B67,'Data Vlaue (Cr)'!$C:$FB,99)</f>
        <v>2003</v>
      </c>
      <c r="L67" s="81">
        <f>VLOOKUP(B67,'OI(Value)'!$A$7:$C$209,3,0)</f>
        <v>47</v>
      </c>
      <c r="M67" s="33">
        <f t="shared" si="22"/>
        <v>2.3464802795806294</v>
      </c>
      <c r="N67" s="5">
        <f>VLOOKUP($B67,'Data Vlaue (Cr)'!$C:$FB,67)</f>
        <v>1205</v>
      </c>
      <c r="O67" s="5">
        <f>VLOOKUP($B67,'Data Vlaue (Cr)'!$C:$FB,68)</f>
        <v>1254</v>
      </c>
      <c r="P67" s="5">
        <f t="shared" si="21"/>
        <v>-4.0663900414937757</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Banking</v>
      </c>
      <c r="B68" s="79" t="str">
        <f>'Data shares'!C63</f>
        <v>FEDERALBNK</v>
      </c>
      <c r="C68" s="4">
        <f>VLOOKUP($B68,'Data shares'!$C:$FB,7)</f>
        <v>208.3</v>
      </c>
      <c r="D68" s="82">
        <f>VLOOKUP($B68,'Data shares'!$C:$FB,98)</f>
        <v>171670000</v>
      </c>
      <c r="E68" s="165">
        <f>VLOOKUP(B68,'Snapshot (Volume)'!$A$7:$G$168,7,0)</f>
        <v>169105000</v>
      </c>
      <c r="F68" s="165">
        <f t="shared" si="18"/>
        <v>2565000</v>
      </c>
      <c r="G68" s="166">
        <f t="shared" si="19"/>
        <v>1.5168090831140416E-2</v>
      </c>
      <c r="H68" s="165">
        <f>VLOOKUP($B68,'Data shares'!$C:$FB,66)</f>
        <v>194020000</v>
      </c>
      <c r="I68" s="165">
        <f>VLOOKUP($B68,'Data shares'!$C:$FB,67)</f>
        <v>241305000</v>
      </c>
      <c r="J68" s="81">
        <f t="shared" si="20"/>
        <v>-19.595532624686602</v>
      </c>
      <c r="K68" s="5">
        <f>VLOOKUP($B68,'Data Vlaue (Cr)'!$C:$FB,99)</f>
        <v>3593</v>
      </c>
      <c r="L68" s="81">
        <f>VLOOKUP(B68,'OI(Value)'!$A$7:$C$209,3,0)</f>
        <v>54</v>
      </c>
      <c r="M68" s="33">
        <f t="shared" si="22"/>
        <v>1.5029223490119676</v>
      </c>
      <c r="N68" s="5">
        <f>VLOOKUP($B68,'Data Vlaue (Cr)'!$C:$FB,67)</f>
        <v>4061</v>
      </c>
      <c r="O68" s="5">
        <f>VLOOKUP($B68,'Data Vlaue (Cr)'!$C:$FB,68)</f>
        <v>5051</v>
      </c>
      <c r="P68" s="5">
        <f t="shared" si="21"/>
        <v>-24.378231962570794</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Index</v>
      </c>
      <c r="B69" s="79" t="str">
        <f>'Data shares'!C64</f>
        <v>FINNIFTY</v>
      </c>
      <c r="C69" s="79">
        <f>VLOOKUP($B69,'Data shares'!$C:$FB,7)</f>
        <v>26842.25</v>
      </c>
      <c r="D69" s="165">
        <f>VLOOKUP($B69,'Data shares'!$C:$FB,98)</f>
        <v>1964040</v>
      </c>
      <c r="E69" s="165">
        <f>VLOOKUP(B69,'Snapshot (Volume)'!$A$7:$G$168,7,0)</f>
        <v>1843790</v>
      </c>
      <c r="F69" s="165">
        <f t="shared" ref="F69:F85" si="23">D69-E69</f>
        <v>120250</v>
      </c>
      <c r="G69" s="166">
        <f t="shared" ref="G69:G85" si="24">F69/E69</f>
        <v>6.5218924064020301E-2</v>
      </c>
      <c r="H69" s="165">
        <f>VLOOKUP($B69,'Data shares'!$C:$FB,66)</f>
        <v>3907735</v>
      </c>
      <c r="I69" s="165">
        <f>VLOOKUP($B69,'Data shares'!$C:$FB,67)</f>
        <v>2788370</v>
      </c>
      <c r="J69" s="81">
        <f t="shared" ref="J69:J85" si="25">(H69-I69)/I69*100</f>
        <v>40.144062660263877</v>
      </c>
      <c r="K69" s="81">
        <f>VLOOKUP($B69,'Data Vlaue (Cr)'!$C:$FB,99)</f>
        <v>5296</v>
      </c>
      <c r="L69" s="81">
        <f>VLOOKUP(B69,'OI(Value)'!$A$7:$C$209,3,0)</f>
        <v>324</v>
      </c>
      <c r="M69" s="81">
        <f t="shared" si="22"/>
        <v>6.1178247734138971</v>
      </c>
      <c r="N69" s="81">
        <f>VLOOKUP($B69,'Data Vlaue (Cr)'!$C:$FB,67)</f>
        <v>10537</v>
      </c>
      <c r="O69" s="81">
        <f>VLOOKUP($B69,'Data Vlaue (Cr)'!$C:$FB,68)</f>
        <v>7519</v>
      </c>
      <c r="P69" s="81">
        <f t="shared" ref="P69:P85" si="26">(N69-O69)/N69*100</f>
        <v>28.641928442630732</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Pharma</v>
      </c>
      <c r="B70" s="79" t="str">
        <f>'Data shares'!C65</f>
        <v>FORTIS</v>
      </c>
      <c r="C70" s="79">
        <f>VLOOKUP($B70,'Data shares'!$C:$FB,7)</f>
        <v>1060.3</v>
      </c>
      <c r="D70" s="165">
        <f>VLOOKUP($B70,'Data shares'!$C:$FB,98)</f>
        <v>15168300</v>
      </c>
      <c r="E70" s="165">
        <f>VLOOKUP(B70,'Snapshot (Volume)'!$A$7:$G$168,7,0)</f>
        <v>15357400</v>
      </c>
      <c r="F70" s="165">
        <f t="shared" si="23"/>
        <v>-189100</v>
      </c>
      <c r="G70" s="166">
        <f t="shared" si="24"/>
        <v>-1.2313282196205087E-2</v>
      </c>
      <c r="H70" s="165">
        <f>VLOOKUP($B70,'Data shares'!$C:$FB,66)</f>
        <v>9508475</v>
      </c>
      <c r="I70" s="165">
        <f>VLOOKUP($B70,'Data shares'!$C:$FB,67)</f>
        <v>13835300</v>
      </c>
      <c r="J70" s="81">
        <f t="shared" si="25"/>
        <v>-31.273806856374637</v>
      </c>
      <c r="K70" s="81">
        <f>VLOOKUP($B70,'Data Vlaue (Cr)'!$C:$FB,99)</f>
        <v>1618</v>
      </c>
      <c r="L70" s="81">
        <f>VLOOKUP(B70,'OI(Value)'!$A$7:$C$209,3,0)</f>
        <v>-20</v>
      </c>
      <c r="M70" s="81">
        <f t="shared" si="22"/>
        <v>-1.2360939431396787</v>
      </c>
      <c r="N70" s="81">
        <f>VLOOKUP($B70,'Data Vlaue (Cr)'!$C:$FB,67)</f>
        <v>1014</v>
      </c>
      <c r="O70" s="81">
        <f>VLOOKUP($B70,'Data Vlaue (Cr)'!$C:$FB,68)</f>
        <v>1476</v>
      </c>
      <c r="P70" s="81">
        <f t="shared" si="26"/>
        <v>-45.562130177514796</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Oil_Gas</v>
      </c>
      <c r="B71" s="79" t="str">
        <f>'Data shares'!C66</f>
        <v>GAIL</v>
      </c>
      <c r="C71" s="4">
        <f>VLOOKUP($B71,'Data shares'!$C:$FB,7)</f>
        <v>179.21</v>
      </c>
      <c r="D71" s="82">
        <f>VLOOKUP($B71,'Data shares'!$C:$FB,98)</f>
        <v>163595250</v>
      </c>
      <c r="E71" s="165">
        <f>VLOOKUP(B71,'Snapshot (Volume)'!$A$7:$G$168,7,0)</f>
        <v>166842900</v>
      </c>
      <c r="F71" s="165">
        <f t="shared" si="23"/>
        <v>-3247650</v>
      </c>
      <c r="G71" s="166">
        <f t="shared" si="24"/>
        <v>-1.9465317373409358E-2</v>
      </c>
      <c r="H71" s="165">
        <f>VLOOKUP($B71,'Data shares'!$C:$FB,66)</f>
        <v>60291000</v>
      </c>
      <c r="I71" s="165">
        <f>VLOOKUP($B71,'Data shares'!$C:$FB,67)</f>
        <v>35878500</v>
      </c>
      <c r="J71" s="81">
        <f t="shared" si="25"/>
        <v>68.042142230026343</v>
      </c>
      <c r="K71" s="5">
        <f>VLOOKUP($B71,'Data Vlaue (Cr)'!$C:$FB,99)</f>
        <v>2938</v>
      </c>
      <c r="L71" s="81">
        <f>VLOOKUP(B71,'OI(Value)'!$A$7:$C$209,3,0)</f>
        <v>-58</v>
      </c>
      <c r="M71" s="33">
        <f t="shared" si="22"/>
        <v>-1.9741320626276377</v>
      </c>
      <c r="N71" s="5">
        <f>VLOOKUP($B71,'Data Vlaue (Cr)'!$C:$FB,67)</f>
        <v>1083</v>
      </c>
      <c r="O71" s="5">
        <f>VLOOKUP($B71,'Data Vlaue (Cr)'!$C:$FB,68)</f>
        <v>644</v>
      </c>
      <c r="P71" s="5">
        <f t="shared" si="26"/>
        <v>40.535549399815331</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GLENMARK</v>
      </c>
      <c r="C72" s="4">
        <f>VLOOKUP($B72,'Data shares'!$C:$FB,7)</f>
        <v>1939.3</v>
      </c>
      <c r="D72" s="82">
        <f>VLOOKUP($B72,'Data shares'!$C:$FB,98)</f>
        <v>10501125</v>
      </c>
      <c r="E72" s="165">
        <f>VLOOKUP(B72,'Snapshot (Volume)'!$A$7:$G$168,7,0)</f>
        <v>10272750</v>
      </c>
      <c r="F72" s="165">
        <f t="shared" si="23"/>
        <v>228375</v>
      </c>
      <c r="G72" s="166">
        <f t="shared" si="24"/>
        <v>2.2231145506315251E-2</v>
      </c>
      <c r="H72" s="165">
        <f>VLOOKUP($B72,'Data shares'!$C:$FB,66)</f>
        <v>4190250</v>
      </c>
      <c r="I72" s="165">
        <f>VLOOKUP($B72,'Data shares'!$C:$FB,67)</f>
        <v>2915625</v>
      </c>
      <c r="J72" s="81">
        <f t="shared" si="25"/>
        <v>43.717041800643088</v>
      </c>
      <c r="K72" s="5">
        <f>VLOOKUP($B72,'Data Vlaue (Cr)'!$C:$FB,99)</f>
        <v>2047</v>
      </c>
      <c r="L72" s="81">
        <f>VLOOKUP(B72,'OI(Value)'!$A$7:$C$209,3,0)</f>
        <v>45</v>
      </c>
      <c r="M72" s="33">
        <f t="shared" si="22"/>
        <v>2.1983390327308254</v>
      </c>
      <c r="N72" s="5">
        <f>VLOOKUP($B72,'Data Vlaue (Cr)'!$C:$FB,67)</f>
        <v>817</v>
      </c>
      <c r="O72" s="5">
        <f>VLOOKUP($B72,'Data Vlaue (Cr)'!$C:$FB,68)</f>
        <v>568</v>
      </c>
      <c r="P72" s="5">
        <f t="shared" si="26"/>
        <v>30.477356181150551</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Infrastructure</v>
      </c>
      <c r="B73" s="79" t="str">
        <f>'Data shares'!C68</f>
        <v>GMRAIRPORT</v>
      </c>
      <c r="C73" s="4">
        <f>VLOOKUP($B73,'Data shares'!$C:$FB,7)</f>
        <v>90.35</v>
      </c>
      <c r="D73" s="82">
        <f>VLOOKUP($B73,'Data shares'!$C:$FB,98)</f>
        <v>329052600</v>
      </c>
      <c r="E73" s="165">
        <f>VLOOKUP(B73,'Snapshot (Volume)'!$A$7:$G$168,7,0)</f>
        <v>328264425</v>
      </c>
      <c r="F73" s="165">
        <f t="shared" si="23"/>
        <v>788175</v>
      </c>
      <c r="G73" s="166">
        <f t="shared" si="24"/>
        <v>2.4010369079744171E-3</v>
      </c>
      <c r="H73" s="165">
        <f>VLOOKUP($B73,'Data shares'!$C:$FB,66)</f>
        <v>69680250</v>
      </c>
      <c r="I73" s="165">
        <f>VLOOKUP($B73,'Data shares'!$C:$FB,67)</f>
        <v>176321025</v>
      </c>
      <c r="J73" s="81">
        <f t="shared" si="25"/>
        <v>-60.481031686380007</v>
      </c>
      <c r="K73" s="5">
        <f>VLOOKUP($B73,'Data Vlaue (Cr)'!$C:$FB,99)</f>
        <v>2984</v>
      </c>
      <c r="L73" s="81">
        <f>VLOOKUP(B73,'OI(Value)'!$A$7:$C$209,3,0)</f>
        <v>7</v>
      </c>
      <c r="M73" s="33">
        <f t="shared" si="22"/>
        <v>0.23458445040214476</v>
      </c>
      <c r="N73" s="5">
        <f>VLOOKUP($B73,'Data Vlaue (Cr)'!$C:$FB,67)</f>
        <v>632</v>
      </c>
      <c r="O73" s="5">
        <f>VLOOKUP($B73,'Data Vlaue (Cr)'!$C:$FB,68)</f>
        <v>1599</v>
      </c>
      <c r="P73" s="5">
        <f t="shared" si="26"/>
        <v>-153.00632911392404</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FMCG</v>
      </c>
      <c r="B74" s="79" t="str">
        <f>'Data shares'!C69</f>
        <v>GODREJCP</v>
      </c>
      <c r="C74" s="4">
        <f>VLOOKUP($B74,'Data shares'!$C:$FB,7)</f>
        <v>1129.8</v>
      </c>
      <c r="D74" s="82">
        <f>VLOOKUP($B74,'Data shares'!$C:$FB,98)</f>
        <v>17488000</v>
      </c>
      <c r="E74" s="165">
        <f>VLOOKUP(B74,'Snapshot (Volume)'!$A$7:$G$168,7,0)</f>
        <v>17004500</v>
      </c>
      <c r="F74" s="165">
        <f t="shared" si="23"/>
        <v>483500</v>
      </c>
      <c r="G74" s="166">
        <f t="shared" si="24"/>
        <v>2.8433649916198653E-2</v>
      </c>
      <c r="H74" s="165">
        <f>VLOOKUP($B74,'Data shares'!$C:$FB,66)</f>
        <v>4091500</v>
      </c>
      <c r="I74" s="165">
        <f>VLOOKUP($B74,'Data shares'!$C:$FB,67)</f>
        <v>4430000</v>
      </c>
      <c r="J74" s="81">
        <f t="shared" si="25"/>
        <v>-7.6410835214446955</v>
      </c>
      <c r="K74" s="5">
        <f>VLOOKUP($B74,'Data Vlaue (Cr)'!$C:$FB,99)</f>
        <v>1985</v>
      </c>
      <c r="L74" s="81">
        <f>VLOOKUP(B74,'OI(Value)'!$A$7:$C$209,3,0)</f>
        <v>55</v>
      </c>
      <c r="M74" s="33">
        <f t="shared" si="22"/>
        <v>2.770780856423174</v>
      </c>
      <c r="N74" s="5">
        <f>VLOOKUP($B74,'Data Vlaue (Cr)'!$C:$FB,67)</f>
        <v>464</v>
      </c>
      <c r="O74" s="5">
        <f>VLOOKUP($B74,'Data Vlaue (Cr)'!$C:$FB,68)</f>
        <v>503</v>
      </c>
      <c r="P74" s="5">
        <f t="shared" si="26"/>
        <v>-8.4051724137931032</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Realty</v>
      </c>
      <c r="B75" s="79" t="str">
        <f>'Data shares'!C70</f>
        <v>GODREJPROP</v>
      </c>
      <c r="C75" s="4">
        <f>VLOOKUP($B75,'Data shares'!$C:$FB,7)</f>
        <v>2091.9</v>
      </c>
      <c r="D75" s="82">
        <f>VLOOKUP($B75,'Data shares'!$C:$FB,98)</f>
        <v>14331350</v>
      </c>
      <c r="E75" s="165">
        <f>VLOOKUP(B75,'Snapshot (Volume)'!$A$7:$G$168,7,0)</f>
        <v>14536775</v>
      </c>
      <c r="F75" s="165">
        <f t="shared" si="23"/>
        <v>-205425</v>
      </c>
      <c r="G75" s="166">
        <f t="shared" si="24"/>
        <v>-1.4131401222072983E-2</v>
      </c>
      <c r="H75" s="165">
        <f>VLOOKUP($B75,'Data shares'!$C:$FB,66)</f>
        <v>12329075</v>
      </c>
      <c r="I75" s="165">
        <f>VLOOKUP($B75,'Data shares'!$C:$FB,67)</f>
        <v>5659500</v>
      </c>
      <c r="J75" s="81">
        <f t="shared" si="25"/>
        <v>117.84742468415939</v>
      </c>
      <c r="K75" s="5">
        <f>VLOOKUP($B75,'Data Vlaue (Cr)'!$C:$FB,99)</f>
        <v>3010</v>
      </c>
      <c r="L75" s="81">
        <f>VLOOKUP(B75,'OI(Value)'!$A$7:$C$209,3,0)</f>
        <v>-43</v>
      </c>
      <c r="M75" s="33">
        <f t="shared" si="22"/>
        <v>-1.4285714285714286</v>
      </c>
      <c r="N75" s="5">
        <f>VLOOKUP($B75,'Data Vlaue (Cr)'!$C:$FB,67)</f>
        <v>2589</v>
      </c>
      <c r="O75" s="5">
        <f>VLOOKUP($B75,'Data Vlaue (Cr)'!$C:$FB,68)</f>
        <v>1189</v>
      </c>
      <c r="P75" s="5">
        <f t="shared" si="26"/>
        <v>54.074932406334497</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Cement</v>
      </c>
      <c r="B76" s="79" t="str">
        <f>'Data shares'!C71</f>
        <v>GRASIM</v>
      </c>
      <c r="C76" s="4">
        <f>VLOOKUP($B76,'Data shares'!$C:$FB,7)</f>
        <v>2811</v>
      </c>
      <c r="D76" s="82">
        <f>VLOOKUP($B76,'Data shares'!$C:$FB,98)</f>
        <v>17165000</v>
      </c>
      <c r="E76" s="165">
        <f>VLOOKUP(B76,'Snapshot (Volume)'!$A$7:$G$168,7,0)</f>
        <v>17047750</v>
      </c>
      <c r="F76" s="165">
        <f t="shared" si="23"/>
        <v>117250</v>
      </c>
      <c r="G76" s="166">
        <f t="shared" si="24"/>
        <v>6.8777404642841435E-3</v>
      </c>
      <c r="H76" s="165">
        <f>VLOOKUP($B76,'Data shares'!$C:$FB,66)</f>
        <v>2864000</v>
      </c>
      <c r="I76" s="165">
        <f>VLOOKUP($B76,'Data shares'!$C:$FB,67)</f>
        <v>2982750</v>
      </c>
      <c r="J76" s="81">
        <f t="shared" si="25"/>
        <v>-3.9812253792641021</v>
      </c>
      <c r="K76" s="5">
        <f>VLOOKUP($B76,'Data Vlaue (Cr)'!$C:$FB,99)</f>
        <v>4852</v>
      </c>
      <c r="L76" s="81">
        <f>VLOOKUP(B76,'OI(Value)'!$A$7:$C$209,3,0)</f>
        <v>33</v>
      </c>
      <c r="M76" s="33">
        <f t="shared" si="22"/>
        <v>0.68013190436933224</v>
      </c>
      <c r="N76" s="5">
        <f>VLOOKUP($B76,'Data Vlaue (Cr)'!$C:$FB,67)</f>
        <v>810</v>
      </c>
      <c r="O76" s="5">
        <f>VLOOKUP($B76,'Data Vlaue (Cr)'!$C:$FB,68)</f>
        <v>843</v>
      </c>
      <c r="P76" s="5">
        <f t="shared" si="26"/>
        <v>-4.0740740740740744</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Capital_Goods</v>
      </c>
      <c r="B77" s="79" t="str">
        <f>'Data shares'!C72</f>
        <v>HAL</v>
      </c>
      <c r="C77" s="4">
        <f>VLOOKUP($B77,'Data shares'!$C:$FB,7)</f>
        <v>4832.8999999999996</v>
      </c>
      <c r="D77" s="82">
        <f>VLOOKUP($B77,'Data shares'!$C:$FB,98)</f>
        <v>15838950</v>
      </c>
      <c r="E77" s="165">
        <f>VLOOKUP(B77,'Snapshot (Volume)'!$A$7:$G$168,7,0)</f>
        <v>15438450</v>
      </c>
      <c r="F77" s="165">
        <f t="shared" si="23"/>
        <v>400500</v>
      </c>
      <c r="G77" s="166">
        <f t="shared" si="24"/>
        <v>2.5941723424307492E-2</v>
      </c>
      <c r="H77" s="165">
        <f>VLOOKUP($B77,'Data shares'!$C:$FB,66)</f>
        <v>9081600</v>
      </c>
      <c r="I77" s="165">
        <f>VLOOKUP($B77,'Data shares'!$C:$FB,67)</f>
        <v>11230650</v>
      </c>
      <c r="J77" s="81">
        <f t="shared" si="25"/>
        <v>-19.135579864032803</v>
      </c>
      <c r="K77" s="5">
        <f>VLOOKUP($B77,'Data Vlaue (Cr)'!$C:$FB,99)</f>
        <v>7697</v>
      </c>
      <c r="L77" s="81">
        <f>VLOOKUP(B77,'OI(Value)'!$A$7:$C$209,3,0)</f>
        <v>195</v>
      </c>
      <c r="M77" s="33">
        <f t="shared" si="22"/>
        <v>2.5334545926984537</v>
      </c>
      <c r="N77" s="5">
        <f>VLOOKUP($B77,'Data Vlaue (Cr)'!$C:$FB,67)</f>
        <v>4413</v>
      </c>
      <c r="O77" s="5">
        <f>VLOOKUP($B77,'Data Vlaue (Cr)'!$C:$FB,68)</f>
        <v>5457</v>
      </c>
      <c r="P77" s="5">
        <f t="shared" si="26"/>
        <v>-23.657375934738273</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Capital_Goods</v>
      </c>
      <c r="B78" s="79" t="str">
        <f>'Data shares'!C73</f>
        <v>HAVELLS</v>
      </c>
      <c r="C78" s="4">
        <f>VLOOKUP($B78,'Data shares'!$C:$FB,7)</f>
        <v>1495.9</v>
      </c>
      <c r="D78" s="82">
        <f>VLOOKUP($B78,'Data shares'!$C:$FB,98)</f>
        <v>14679500</v>
      </c>
      <c r="E78" s="165">
        <f>VLOOKUP(B78,'Snapshot (Volume)'!$A$7:$G$168,7,0)</f>
        <v>14880500</v>
      </c>
      <c r="F78" s="165">
        <f t="shared" si="23"/>
        <v>-201000</v>
      </c>
      <c r="G78" s="166">
        <f t="shared" si="24"/>
        <v>-1.3507610631363194E-2</v>
      </c>
      <c r="H78" s="165">
        <f>VLOOKUP($B78,'Data shares'!$C:$FB,66)</f>
        <v>11004500</v>
      </c>
      <c r="I78" s="165">
        <f>VLOOKUP($B78,'Data shares'!$C:$FB,67)</f>
        <v>6373000</v>
      </c>
      <c r="J78" s="81">
        <f t="shared" si="25"/>
        <v>72.673780009414727</v>
      </c>
      <c r="K78" s="5">
        <f>VLOOKUP($B78,'Data Vlaue (Cr)'!$C:$FB,99)</f>
        <v>2208</v>
      </c>
      <c r="L78" s="81">
        <f>VLOOKUP(B78,'OI(Value)'!$A$7:$C$209,3,0)</f>
        <v>-30</v>
      </c>
      <c r="M78" s="33">
        <f t="shared" si="22"/>
        <v>-1.3586956521739131</v>
      </c>
      <c r="N78" s="5">
        <f>VLOOKUP($B78,'Data Vlaue (Cr)'!$C:$FB,67)</f>
        <v>1655</v>
      </c>
      <c r="O78" s="5">
        <f>VLOOKUP($B78,'Data Vlaue (Cr)'!$C:$FB,68)</f>
        <v>959</v>
      </c>
      <c r="P78" s="5">
        <f t="shared" si="26"/>
        <v>42.05438066465257</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Technology</v>
      </c>
      <c r="B79" s="79" t="str">
        <f>'Data shares'!C74</f>
        <v>HCLTECH</v>
      </c>
      <c r="C79" s="4">
        <f>VLOOKUP($B79,'Data shares'!$C:$FB,7)</f>
        <v>1495.5</v>
      </c>
      <c r="D79" s="82">
        <f>VLOOKUP($B79,'Data shares'!$C:$FB,98)</f>
        <v>31489850</v>
      </c>
      <c r="E79" s="165">
        <f>VLOOKUP(B79,'Snapshot (Volume)'!$A$7:$G$168,7,0)</f>
        <v>31244500</v>
      </c>
      <c r="F79" s="165">
        <f t="shared" si="23"/>
        <v>245350</v>
      </c>
      <c r="G79" s="166">
        <f t="shared" si="24"/>
        <v>7.8525820544415818E-3</v>
      </c>
      <c r="H79" s="165">
        <f>VLOOKUP($B79,'Data shares'!$C:$FB,66)</f>
        <v>27876800</v>
      </c>
      <c r="I79" s="165">
        <f>VLOOKUP($B79,'Data shares'!$C:$FB,67)</f>
        <v>38831100</v>
      </c>
      <c r="J79" s="81">
        <f t="shared" si="25"/>
        <v>-28.210120238674669</v>
      </c>
      <c r="K79" s="5">
        <f>VLOOKUP($B79,'Data Vlaue (Cr)'!$C:$FB,99)</f>
        <v>4685</v>
      </c>
      <c r="L79" s="81">
        <f>VLOOKUP(B79,'OI(Value)'!$A$7:$C$209,3,0)</f>
        <v>37</v>
      </c>
      <c r="M79" s="33">
        <f t="shared" si="22"/>
        <v>0.78975453575240129</v>
      </c>
      <c r="N79" s="5">
        <f>VLOOKUP($B79,'Data Vlaue (Cr)'!$C:$FB,67)</f>
        <v>4148</v>
      </c>
      <c r="O79" s="5">
        <f>VLOOKUP($B79,'Data Vlaue (Cr)'!$C:$FB,68)</f>
        <v>5777</v>
      </c>
      <c r="P79" s="5">
        <f t="shared" si="26"/>
        <v>-39.271938283510124</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Finance</v>
      </c>
      <c r="B80" s="79" t="str">
        <f>'Data shares'!C75</f>
        <v>HDFCAMC</v>
      </c>
      <c r="C80" s="4">
        <f>VLOOKUP($B80,'Data shares'!$C:$FB,7)</f>
        <v>5520</v>
      </c>
      <c r="D80" s="82">
        <f>VLOOKUP($B80,'Data shares'!$C:$FB,98)</f>
        <v>3579900</v>
      </c>
      <c r="E80" s="165">
        <f>VLOOKUP(B80,'Snapshot (Volume)'!$A$7:$G$168,7,0)</f>
        <v>3532200</v>
      </c>
      <c r="F80" s="165">
        <f t="shared" si="23"/>
        <v>47700</v>
      </c>
      <c r="G80" s="166">
        <f t="shared" si="24"/>
        <v>1.3504331578053337E-2</v>
      </c>
      <c r="H80" s="165">
        <f>VLOOKUP($B80,'Data shares'!$C:$FB,66)</f>
        <v>2056500</v>
      </c>
      <c r="I80" s="165">
        <f>VLOOKUP($B80,'Data shares'!$C:$FB,67)</f>
        <v>1929300</v>
      </c>
      <c r="J80" s="81">
        <f t="shared" si="25"/>
        <v>6.5930648421707359</v>
      </c>
      <c r="K80" s="5">
        <f>VLOOKUP($B80,'Data Vlaue (Cr)'!$C:$FB,99)</f>
        <v>1987</v>
      </c>
      <c r="L80" s="81">
        <f>VLOOKUP(B80,'OI(Value)'!$A$7:$C$209,3,0)</f>
        <v>26</v>
      </c>
      <c r="M80" s="33">
        <f t="shared" si="22"/>
        <v>1.3085052843482639</v>
      </c>
      <c r="N80" s="5">
        <f>VLOOKUP($B80,'Data Vlaue (Cr)'!$C:$FB,67)</f>
        <v>1141</v>
      </c>
      <c r="O80" s="5">
        <f>VLOOKUP($B80,'Data Vlaue (Cr)'!$C:$FB,68)</f>
        <v>1071</v>
      </c>
      <c r="P80" s="5">
        <f t="shared" si="26"/>
        <v>6.1349693251533743</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Banking</v>
      </c>
      <c r="B81" s="79" t="str">
        <f>'Data shares'!C76</f>
        <v>HDFCBANK</v>
      </c>
      <c r="C81" s="4">
        <f>VLOOKUP($B81,'Data shares'!$C:$FB,7)</f>
        <v>980.9</v>
      </c>
      <c r="D81" s="82">
        <f>VLOOKUP($B81,'Data shares'!$C:$FB,98)</f>
        <v>256532100</v>
      </c>
      <c r="E81" s="165">
        <f>VLOOKUP(B81,'Snapshot (Volume)'!$A$7:$G$168,7,0)</f>
        <v>256829100</v>
      </c>
      <c r="F81" s="165">
        <f t="shared" si="23"/>
        <v>-297000</v>
      </c>
      <c r="G81" s="166">
        <f t="shared" si="24"/>
        <v>-1.1564110141724594E-3</v>
      </c>
      <c r="H81" s="165">
        <f>VLOOKUP($B81,'Data shares'!$C:$FB,66)</f>
        <v>86367600</v>
      </c>
      <c r="I81" s="165">
        <f>VLOOKUP($B81,'Data shares'!$C:$FB,67)</f>
        <v>74569000</v>
      </c>
      <c r="J81" s="81">
        <f t="shared" si="25"/>
        <v>15.822392683286621</v>
      </c>
      <c r="K81" s="5">
        <f>VLOOKUP($B81,'Data Vlaue (Cr)'!$C:$FB,99)</f>
        <v>25291</v>
      </c>
      <c r="L81" s="81">
        <f>VLOOKUP(B81,'OI(Value)'!$A$7:$C$209,3,0)</f>
        <v>-29</v>
      </c>
      <c r="M81" s="33">
        <f t="shared" si="22"/>
        <v>-0.11466529595508283</v>
      </c>
      <c r="N81" s="5">
        <f>VLOOKUP($B81,'Data Vlaue (Cr)'!$C:$FB,67)</f>
        <v>8515</v>
      </c>
      <c r="O81" s="5">
        <f>VLOOKUP($B81,'Data Vlaue (Cr)'!$C:$FB,68)</f>
        <v>7352</v>
      </c>
      <c r="P81" s="5">
        <f t="shared" si="26"/>
        <v>13.658250146799766</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Finance</v>
      </c>
      <c r="B82" s="79" t="str">
        <f>'Data shares'!C77</f>
        <v>HDFCLIFE</v>
      </c>
      <c r="C82" s="4">
        <f>VLOOKUP($B82,'Data shares'!$C:$FB,7)</f>
        <v>747.3</v>
      </c>
      <c r="D82" s="82">
        <f>VLOOKUP($B82,'Data shares'!$C:$FB,98)</f>
        <v>45882100</v>
      </c>
      <c r="E82" s="165">
        <f>VLOOKUP(B82,'Snapshot (Volume)'!$A$7:$G$168,7,0)</f>
        <v>43913100</v>
      </c>
      <c r="F82" s="165">
        <f t="shared" si="23"/>
        <v>1969000</v>
      </c>
      <c r="G82" s="166">
        <f t="shared" si="24"/>
        <v>4.4838556148393077E-2</v>
      </c>
      <c r="H82" s="165">
        <f>VLOOKUP($B82,'Data shares'!$C:$FB,66)</f>
        <v>14916000</v>
      </c>
      <c r="I82" s="165">
        <f>VLOOKUP($B82,'Data shares'!$C:$FB,67)</f>
        <v>20742700</v>
      </c>
      <c r="J82" s="81">
        <f t="shared" si="25"/>
        <v>-28.090364320941823</v>
      </c>
      <c r="K82" s="5">
        <f>VLOOKUP($B82,'Data Vlaue (Cr)'!$C:$FB,99)</f>
        <v>3442</v>
      </c>
      <c r="L82" s="81">
        <f>VLOOKUP(B82,'OI(Value)'!$A$7:$C$209,3,0)</f>
        <v>148</v>
      </c>
      <c r="M82" s="33">
        <f t="shared" si="22"/>
        <v>4.2998256827425916</v>
      </c>
      <c r="N82" s="5">
        <f>VLOOKUP($B82,'Data Vlaue (Cr)'!$C:$FB,67)</f>
        <v>1119</v>
      </c>
      <c r="O82" s="5">
        <f>VLOOKUP($B82,'Data Vlaue (Cr)'!$C:$FB,68)</f>
        <v>1556</v>
      </c>
      <c r="P82" s="5">
        <f t="shared" si="26"/>
        <v>-39.052725647899912</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Automobile</v>
      </c>
      <c r="B83" s="79" t="str">
        <f>'Data shares'!C78</f>
        <v>HEROMOTOCO</v>
      </c>
      <c r="C83" s="4">
        <f>VLOOKUP($B83,'Data shares'!$C:$FB,7)</f>
        <v>5500</v>
      </c>
      <c r="D83" s="82">
        <f>VLOOKUP($B83,'Data shares'!$C:$FB,98)</f>
        <v>9040650</v>
      </c>
      <c r="E83" s="165">
        <f>VLOOKUP(B83,'Snapshot (Volume)'!$A$7:$G$168,7,0)</f>
        <v>8558850</v>
      </c>
      <c r="F83" s="165">
        <f t="shared" si="23"/>
        <v>481800</v>
      </c>
      <c r="G83" s="166">
        <f t="shared" si="24"/>
        <v>5.6292609404300809E-2</v>
      </c>
      <c r="H83" s="165">
        <f>VLOOKUP($B83,'Data shares'!$C:$FB,66)</f>
        <v>8043600</v>
      </c>
      <c r="I83" s="165">
        <f>VLOOKUP($B83,'Data shares'!$C:$FB,67)</f>
        <v>5572800</v>
      </c>
      <c r="J83" s="81">
        <f t="shared" si="25"/>
        <v>44.336778639104217</v>
      </c>
      <c r="K83" s="5">
        <f>VLOOKUP($B83,'Data Vlaue (Cr)'!$C:$FB,99)</f>
        <v>4999</v>
      </c>
      <c r="L83" s="81">
        <f>VLOOKUP(B83,'OI(Value)'!$A$7:$C$209,3,0)</f>
        <v>266</v>
      </c>
      <c r="M83" s="33">
        <f t="shared" si="22"/>
        <v>5.3210642128425683</v>
      </c>
      <c r="N83" s="5">
        <f>VLOOKUP($B83,'Data Vlaue (Cr)'!$C:$FB,67)</f>
        <v>4447</v>
      </c>
      <c r="O83" s="5">
        <f>VLOOKUP($B83,'Data Vlaue (Cr)'!$C:$FB,68)</f>
        <v>3081</v>
      </c>
      <c r="P83" s="5">
        <f t="shared" si="26"/>
        <v>30.717337530919721</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Technology</v>
      </c>
      <c r="B84" s="79" t="str">
        <f>'Data shares'!C79</f>
        <v>HFCL</v>
      </c>
      <c r="C84" s="4">
        <f>VLOOKUP($B84,'Data shares'!$C:$FB,7)</f>
        <v>76.040000000000006</v>
      </c>
      <c r="D84" s="82">
        <f>VLOOKUP($B84,'Data shares'!$C:$FB,98)</f>
        <v>181522350</v>
      </c>
      <c r="E84" s="165">
        <f>VLOOKUP(B84,'Snapshot (Volume)'!$A$7:$G$168,7,0)</f>
        <v>178329600</v>
      </c>
      <c r="F84" s="165">
        <f t="shared" si="23"/>
        <v>3192750</v>
      </c>
      <c r="G84" s="166">
        <f t="shared" si="24"/>
        <v>1.7903645833333332E-2</v>
      </c>
      <c r="H84" s="165">
        <f>VLOOKUP($B84,'Data shares'!$C:$FB,66)</f>
        <v>118409100</v>
      </c>
      <c r="I84" s="165">
        <f>VLOOKUP($B84,'Data shares'!$C:$FB,67)</f>
        <v>67479900</v>
      </c>
      <c r="J84" s="81">
        <f t="shared" si="25"/>
        <v>75.473140890843055</v>
      </c>
      <c r="K84" s="5">
        <f>VLOOKUP($B84,'Data Vlaue (Cr)'!$C:$FB,99)</f>
        <v>1388</v>
      </c>
      <c r="L84" s="81">
        <f>VLOOKUP(B84,'OI(Value)'!$A$7:$C$209,3,0)</f>
        <v>24</v>
      </c>
      <c r="M84" s="33">
        <f t="shared" si="22"/>
        <v>1.7291066282420751</v>
      </c>
      <c r="N84" s="5">
        <f>VLOOKUP($B84,'Data Vlaue (Cr)'!$C:$FB,67)</f>
        <v>905</v>
      </c>
      <c r="O84" s="5">
        <f>VLOOKUP($B84,'Data Vlaue (Cr)'!$C:$FB,68)</f>
        <v>516</v>
      </c>
      <c r="P84" s="5">
        <f t="shared" si="26"/>
        <v>42.983425414364639</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Metals</v>
      </c>
      <c r="B85" s="79" t="str">
        <f>'Data shares'!C80</f>
        <v>HINDALCO</v>
      </c>
      <c r="C85" s="4">
        <f>VLOOKUP($B85,'Data shares'!$C:$FB,7)</f>
        <v>773.95</v>
      </c>
      <c r="D85" s="82">
        <f>VLOOKUP($B85,'Data shares'!$C:$FB,98)</f>
        <v>96432000</v>
      </c>
      <c r="E85" s="165">
        <f>VLOOKUP(B85,'Snapshot (Volume)'!$A$7:$G$168,7,0)</f>
        <v>95929400</v>
      </c>
      <c r="F85" s="165">
        <f t="shared" si="23"/>
        <v>502600</v>
      </c>
      <c r="G85" s="166">
        <f t="shared" si="24"/>
        <v>5.2392697129347203E-3</v>
      </c>
      <c r="H85" s="165">
        <f>VLOOKUP($B85,'Data shares'!$C:$FB,66)</f>
        <v>47825400</v>
      </c>
      <c r="I85" s="165">
        <f>VLOOKUP($B85,'Data shares'!$C:$FB,67)</f>
        <v>46894400</v>
      </c>
      <c r="J85" s="81">
        <f t="shared" si="25"/>
        <v>1.9853116790064487</v>
      </c>
      <c r="K85" s="5">
        <f>VLOOKUP($B85,'Data Vlaue (Cr)'!$C:$FB,99)</f>
        <v>7494</v>
      </c>
      <c r="L85" s="81">
        <f>VLOOKUP(B85,'OI(Value)'!$A$7:$C$209,3,0)</f>
        <v>39</v>
      </c>
      <c r="M85" s="33">
        <f t="shared" si="22"/>
        <v>0.52041633306645319</v>
      </c>
      <c r="N85" s="5">
        <f>VLOOKUP($B85,'Data Vlaue (Cr)'!$C:$FB,67)</f>
        <v>3717</v>
      </c>
      <c r="O85" s="5">
        <f>VLOOKUP($B85,'Data Vlaue (Cr)'!$C:$FB,68)</f>
        <v>3644</v>
      </c>
      <c r="P85" s="5">
        <f t="shared" si="26"/>
        <v>1.9639494215765403</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Oil_Gas</v>
      </c>
      <c r="B86" s="79" t="str">
        <f>'Data shares'!C81</f>
        <v>HINDPETRO</v>
      </c>
      <c r="C86" s="4">
        <f>VLOOKUP($B86,'Data shares'!$C:$FB,7)</f>
        <v>452.5</v>
      </c>
      <c r="D86" s="82">
        <f>VLOOKUP($B86,'Data shares'!$C:$FB,98)</f>
        <v>87269400</v>
      </c>
      <c r="E86" s="165">
        <f>VLOOKUP(B86,'Snapshot (Volume)'!$A$7:$G$168,7,0)</f>
        <v>84308850</v>
      </c>
      <c r="F86" s="165">
        <f t="shared" ref="F86:F96" si="27">D86-E86</f>
        <v>2960550</v>
      </c>
      <c r="G86" s="166">
        <f t="shared" ref="G86:G96" si="28">F86/E86</f>
        <v>3.5115530575971561E-2</v>
      </c>
      <c r="H86" s="165">
        <f>VLOOKUP($B86,'Data shares'!$C:$FB,66)</f>
        <v>28113075</v>
      </c>
      <c r="I86" s="165">
        <f>VLOOKUP($B86,'Data shares'!$C:$FB,67)</f>
        <v>47921625</v>
      </c>
      <c r="J86" s="81">
        <f t="shared" ref="J86:J96" si="29">(H86-I86)/I86*100</f>
        <v>-41.335305303190367</v>
      </c>
      <c r="K86" s="5">
        <f>VLOOKUP($B86,'Data Vlaue (Cr)'!$C:$FB,99)</f>
        <v>3970</v>
      </c>
      <c r="L86" s="81">
        <f>VLOOKUP(B86,'OI(Value)'!$A$7:$C$209,3,0)</f>
        <v>135</v>
      </c>
      <c r="M86" s="33">
        <f t="shared" si="22"/>
        <v>3.4005037783375318</v>
      </c>
      <c r="N86" s="5">
        <f>VLOOKUP($B86,'Data Vlaue (Cr)'!$C:$FB,67)</f>
        <v>1279</v>
      </c>
      <c r="O86" s="5">
        <f>VLOOKUP($B86,'Data Vlaue (Cr)'!$C:$FB,68)</f>
        <v>2180</v>
      </c>
      <c r="P86" s="5">
        <f t="shared" ref="P86:P96" si="30">(N86-O86)/N86*100</f>
        <v>-70.445660672400308</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FMCG</v>
      </c>
      <c r="B87" s="79" t="str">
        <f>'Data shares'!C82</f>
        <v>HINDUNILVR</v>
      </c>
      <c r="C87" s="4">
        <f>VLOOKUP($B87,'Data shares'!$C:$FB,7)</f>
        <v>2528.9</v>
      </c>
      <c r="D87" s="82">
        <f>VLOOKUP($B87,'Data shares'!$C:$FB,98)</f>
        <v>21699000</v>
      </c>
      <c r="E87" s="165">
        <f>VLOOKUP(B87,'Snapshot (Volume)'!$A$7:$G$168,7,0)</f>
        <v>21329100</v>
      </c>
      <c r="F87" s="165">
        <f t="shared" si="27"/>
        <v>369900</v>
      </c>
      <c r="G87" s="166">
        <f t="shared" si="28"/>
        <v>1.7342503903118273E-2</v>
      </c>
      <c r="H87" s="165">
        <f>VLOOKUP($B87,'Data shares'!$C:$FB,66)</f>
        <v>7733700</v>
      </c>
      <c r="I87" s="165">
        <f>VLOOKUP($B87,'Data shares'!$C:$FB,67)</f>
        <v>5808600</v>
      </c>
      <c r="J87" s="81">
        <f t="shared" si="29"/>
        <v>33.142237372172296</v>
      </c>
      <c r="K87" s="5">
        <f>VLOOKUP($B87,'Data Vlaue (Cr)'!$C:$FB,99)</f>
        <v>5500</v>
      </c>
      <c r="L87" s="81">
        <f>VLOOKUP(B87,'OI(Value)'!$A$7:$C$209,3,0)</f>
        <v>94</v>
      </c>
      <c r="M87" s="33">
        <f t="shared" si="22"/>
        <v>1.709090909090909</v>
      </c>
      <c r="N87" s="5">
        <f>VLOOKUP($B87,'Data Vlaue (Cr)'!$C:$FB,67)</f>
        <v>1960</v>
      </c>
      <c r="O87" s="5">
        <f>VLOOKUP($B87,'Data Vlaue (Cr)'!$C:$FB,68)</f>
        <v>1472</v>
      </c>
      <c r="P87" s="5">
        <f t="shared" si="30"/>
        <v>24.897959183673468</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Metals</v>
      </c>
      <c r="B88" s="79" t="str">
        <f>'Data shares'!C83</f>
        <v>HINDZINC</v>
      </c>
      <c r="C88" s="4">
        <f>VLOOKUP($B88,'Data shares'!$C:$FB,7)</f>
        <v>498.3</v>
      </c>
      <c r="D88" s="82">
        <f>VLOOKUP($B88,'Data shares'!$C:$FB,98)</f>
        <v>67185125</v>
      </c>
      <c r="E88" s="165">
        <f>VLOOKUP(B88,'Snapshot (Volume)'!$A$7:$G$168,7,0)</f>
        <v>58450875</v>
      </c>
      <c r="F88" s="165">
        <f t="shared" si="27"/>
        <v>8734250</v>
      </c>
      <c r="G88" s="166">
        <f t="shared" si="28"/>
        <v>0.1494289007649586</v>
      </c>
      <c r="H88" s="165">
        <f>VLOOKUP($B88,'Data shares'!$C:$FB,66)</f>
        <v>109191600</v>
      </c>
      <c r="I88" s="165">
        <f>VLOOKUP($B88,'Data shares'!$C:$FB,67)</f>
        <v>138570775</v>
      </c>
      <c r="J88" s="81">
        <f t="shared" si="29"/>
        <v>-21.201566491924435</v>
      </c>
      <c r="K88" s="5">
        <f>VLOOKUP($B88,'Data Vlaue (Cr)'!$C:$FB,99)</f>
        <v>3361</v>
      </c>
      <c r="L88" s="81">
        <f>VLOOKUP(B88,'OI(Value)'!$A$7:$C$209,3,0)</f>
        <v>437</v>
      </c>
      <c r="M88" s="33">
        <f t="shared" si="22"/>
        <v>13.00208271347813</v>
      </c>
      <c r="N88" s="5">
        <f>VLOOKUP($B88,'Data Vlaue (Cr)'!$C:$FB,67)</f>
        <v>5462</v>
      </c>
      <c r="O88" s="5">
        <f>VLOOKUP($B88,'Data Vlaue (Cr)'!$C:$FB,68)</f>
        <v>6931</v>
      </c>
      <c r="P88" s="5">
        <f t="shared" si="30"/>
        <v>-26.89491028927133</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Realty</v>
      </c>
      <c r="B89" s="79" t="str">
        <f>'Data shares'!C84</f>
        <v>HUDCO</v>
      </c>
      <c r="C89" s="4">
        <f>VLOOKUP($B89,'Data shares'!$C:$FB,7)</f>
        <v>232.92</v>
      </c>
      <c r="D89" s="82">
        <f>VLOOKUP($B89,'Data shares'!$C:$FB,98)</f>
        <v>50360700</v>
      </c>
      <c r="E89" s="165">
        <f>VLOOKUP(B89,'Snapshot (Volume)'!$A$7:$G$168,7,0)</f>
        <v>50094300</v>
      </c>
      <c r="F89" s="165">
        <f t="shared" si="27"/>
        <v>266400</v>
      </c>
      <c r="G89" s="166">
        <f t="shared" si="28"/>
        <v>5.317970307999114E-3</v>
      </c>
      <c r="H89" s="165">
        <f>VLOOKUP($B89,'Data shares'!$C:$FB,66)</f>
        <v>41316975</v>
      </c>
      <c r="I89" s="165">
        <f>VLOOKUP($B89,'Data shares'!$C:$FB,67)</f>
        <v>22607925</v>
      </c>
      <c r="J89" s="81">
        <f t="shared" si="29"/>
        <v>82.754388118325764</v>
      </c>
      <c r="K89" s="5">
        <f>VLOOKUP($B89,'Data Vlaue (Cr)'!$C:$FB,99)</f>
        <v>1179</v>
      </c>
      <c r="L89" s="81">
        <f>VLOOKUP(B89,'OI(Value)'!$A$7:$C$209,3,0)</f>
        <v>6</v>
      </c>
      <c r="M89" s="33">
        <f t="shared" si="22"/>
        <v>0.5089058524173028</v>
      </c>
      <c r="N89" s="5">
        <f>VLOOKUP($B89,'Data Vlaue (Cr)'!$C:$FB,67)</f>
        <v>968</v>
      </c>
      <c r="O89" s="5">
        <f>VLOOKUP($B89,'Data Vlaue (Cr)'!$C:$FB,68)</f>
        <v>529</v>
      </c>
      <c r="P89" s="5">
        <f t="shared" si="30"/>
        <v>45.351239669421489</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ICICIBANK</v>
      </c>
      <c r="C90" s="4">
        <f>VLOOKUP($B90,'Data shares'!$C:$FB,7)</f>
        <v>1380.3</v>
      </c>
      <c r="D90" s="82">
        <f>VLOOKUP($B90,'Data shares'!$C:$FB,98)</f>
        <v>153748000</v>
      </c>
      <c r="E90" s="165">
        <f>VLOOKUP(B90,'Snapshot (Volume)'!$A$7:$G$168,7,0)</f>
        <v>151179700</v>
      </c>
      <c r="F90" s="165">
        <f t="shared" si="27"/>
        <v>2568300</v>
      </c>
      <c r="G90" s="166">
        <f t="shared" si="28"/>
        <v>1.6988391960031671E-2</v>
      </c>
      <c r="H90" s="165">
        <f>VLOOKUP($B90,'Data shares'!$C:$FB,66)</f>
        <v>53615800</v>
      </c>
      <c r="I90" s="165">
        <f>VLOOKUP($B90,'Data shares'!$C:$FB,67)</f>
        <v>44970800</v>
      </c>
      <c r="J90" s="81">
        <f t="shared" si="29"/>
        <v>19.223585081875349</v>
      </c>
      <c r="K90" s="5">
        <f>VLOOKUP($B90,'Data Vlaue (Cr)'!$C:$FB,99)</f>
        <v>21339</v>
      </c>
      <c r="L90" s="81">
        <f>VLOOKUP(B90,'OI(Value)'!$A$7:$C$209,3,0)</f>
        <v>356</v>
      </c>
      <c r="M90" s="33">
        <f t="shared" si="22"/>
        <v>1.6683068559913774</v>
      </c>
      <c r="N90" s="5">
        <f>VLOOKUP($B90,'Data Vlaue (Cr)'!$C:$FB,67)</f>
        <v>7441</v>
      </c>
      <c r="O90" s="5">
        <f>VLOOKUP($B90,'Data Vlaue (Cr)'!$C:$FB,68)</f>
        <v>6241</v>
      </c>
      <c r="P90" s="5">
        <f t="shared" si="30"/>
        <v>16.126864668727322</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ICICIGI</v>
      </c>
      <c r="C91" s="4">
        <f>VLOOKUP($B91,'Data shares'!$C:$FB,7)</f>
        <v>1862.8</v>
      </c>
      <c r="D91" s="82">
        <f>VLOOKUP($B91,'Data shares'!$C:$FB,98)</f>
        <v>7416825</v>
      </c>
      <c r="E91" s="165">
        <f>VLOOKUP(B91,'Snapshot (Volume)'!$A$7:$G$168,7,0)</f>
        <v>7163975</v>
      </c>
      <c r="F91" s="165">
        <f t="shared" si="27"/>
        <v>252850</v>
      </c>
      <c r="G91" s="166">
        <f t="shared" si="28"/>
        <v>3.529465136324457E-2</v>
      </c>
      <c r="H91" s="165">
        <f>VLOOKUP($B91,'Data shares'!$C:$FB,66)</f>
        <v>1794325</v>
      </c>
      <c r="I91" s="165">
        <f>VLOOKUP($B91,'Data shares'!$C:$FB,67)</f>
        <v>2311400</v>
      </c>
      <c r="J91" s="81">
        <f t="shared" si="29"/>
        <v>-22.370641169853769</v>
      </c>
      <c r="K91" s="5">
        <f>VLOOKUP($B91,'Data Vlaue (Cr)'!$C:$FB,99)</f>
        <v>1384</v>
      </c>
      <c r="L91" s="81">
        <f>VLOOKUP(B91,'OI(Value)'!$A$7:$C$209,3,0)</f>
        <v>47</v>
      </c>
      <c r="M91" s="33">
        <f t="shared" si="22"/>
        <v>3.395953757225433</v>
      </c>
      <c r="N91" s="5">
        <f>VLOOKUP($B91,'Data Vlaue (Cr)'!$C:$FB,67)</f>
        <v>335</v>
      </c>
      <c r="O91" s="5">
        <f>VLOOKUP($B91,'Data Vlaue (Cr)'!$C:$FB,68)</f>
        <v>431</v>
      </c>
      <c r="P91" s="5">
        <f t="shared" si="30"/>
        <v>-28.656716417910449</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Finance</v>
      </c>
      <c r="B92" s="79" t="str">
        <f>'Data shares'!C87</f>
        <v>ICICIPRULI</v>
      </c>
      <c r="C92" s="4">
        <f>VLOOKUP($B92,'Data shares'!$C:$FB,7)</f>
        <v>597.70000000000005</v>
      </c>
      <c r="D92" s="82">
        <f>VLOOKUP($B92,'Data shares'!$C:$FB,98)</f>
        <v>16873850</v>
      </c>
      <c r="E92" s="165">
        <f>VLOOKUP(B92,'Snapshot (Volume)'!$A$7:$G$168,7,0)</f>
        <v>16761000</v>
      </c>
      <c r="F92" s="165">
        <f t="shared" si="27"/>
        <v>112850</v>
      </c>
      <c r="G92" s="166">
        <f t="shared" si="28"/>
        <v>6.7328918322295808E-3</v>
      </c>
      <c r="H92" s="165">
        <f>VLOOKUP($B92,'Data shares'!$C:$FB,66)</f>
        <v>6107775</v>
      </c>
      <c r="I92" s="165">
        <f>VLOOKUP($B92,'Data shares'!$C:$FB,67)</f>
        <v>2960925</v>
      </c>
      <c r="J92" s="81">
        <f t="shared" si="29"/>
        <v>106.2792877225867</v>
      </c>
      <c r="K92" s="5">
        <f>VLOOKUP($B92,'Data Vlaue (Cr)'!$C:$FB,99)</f>
        <v>1014</v>
      </c>
      <c r="L92" s="81">
        <f>VLOOKUP(B92,'OI(Value)'!$A$7:$C$209,3,0)</f>
        <v>7</v>
      </c>
      <c r="M92" s="33">
        <f t="shared" si="22"/>
        <v>0.69033530571992108</v>
      </c>
      <c r="N92" s="5">
        <f>VLOOKUP($B92,'Data Vlaue (Cr)'!$C:$FB,67)</f>
        <v>367</v>
      </c>
      <c r="O92" s="5">
        <f>VLOOKUP($B92,'Data Vlaue (Cr)'!$C:$FB,68)</f>
        <v>178</v>
      </c>
      <c r="P92" s="5">
        <f t="shared" si="30"/>
        <v>51.498637602179841</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Telecom</v>
      </c>
      <c r="B93" s="79" t="str">
        <f>'Data shares'!C88</f>
        <v>IDEA</v>
      </c>
      <c r="C93" s="4">
        <f>VLOOKUP($B93,'Data shares'!$C:$FB,7)</f>
        <v>9.0399999999999991</v>
      </c>
      <c r="D93" s="82">
        <f>VLOOKUP($B93,'Data shares'!$C:$FB,98)</f>
        <v>9753549975</v>
      </c>
      <c r="E93" s="165">
        <f>VLOOKUP(B93,'Snapshot (Volume)'!$A$7:$G$168,7,0)</f>
        <v>9704589600</v>
      </c>
      <c r="F93" s="165">
        <f t="shared" si="27"/>
        <v>48960375</v>
      </c>
      <c r="G93" s="166">
        <f t="shared" si="28"/>
        <v>5.045074239924582E-3</v>
      </c>
      <c r="H93" s="165">
        <f>VLOOKUP($B93,'Data shares'!$C:$FB,66)</f>
        <v>2572814100</v>
      </c>
      <c r="I93" s="165">
        <f>VLOOKUP($B93,'Data shares'!$C:$FB,67)</f>
        <v>2360890725</v>
      </c>
      <c r="J93" s="81">
        <f t="shared" si="29"/>
        <v>8.976416093972329</v>
      </c>
      <c r="K93" s="5">
        <f>VLOOKUP($B93,'Data Vlaue (Cr)'!$C:$FB,99)</f>
        <v>8856</v>
      </c>
      <c r="L93" s="81">
        <f>VLOOKUP(B93,'OI(Value)'!$A$7:$C$209,3,0)</f>
        <v>44</v>
      </c>
      <c r="M93" s="33">
        <f t="shared" si="22"/>
        <v>0.49683830171635046</v>
      </c>
      <c r="N93" s="5">
        <f>VLOOKUP($B93,'Data Vlaue (Cr)'!$C:$FB,67)</f>
        <v>2336</v>
      </c>
      <c r="O93" s="5">
        <f>VLOOKUP($B93,'Data Vlaue (Cr)'!$C:$FB,68)</f>
        <v>2144</v>
      </c>
      <c r="P93" s="5">
        <f t="shared" si="30"/>
        <v>8.2191780821917799</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Banking</v>
      </c>
      <c r="B94" s="79" t="str">
        <f>'Data shares'!C89</f>
        <v>IDFCFIRSTB</v>
      </c>
      <c r="C94" s="4">
        <f>VLOOKUP($B94,'Data shares'!$C:$FB,7)</f>
        <v>74.430000000000007</v>
      </c>
      <c r="D94" s="82">
        <f>VLOOKUP($B94,'Data shares'!$C:$FB,98)</f>
        <v>635597200</v>
      </c>
      <c r="E94" s="165">
        <f>VLOOKUP(B94,'Snapshot (Volume)'!$A$7:$G$168,7,0)</f>
        <v>619375225</v>
      </c>
      <c r="F94" s="165">
        <f t="shared" si="27"/>
        <v>16221975</v>
      </c>
      <c r="G94" s="166">
        <f t="shared" si="28"/>
        <v>2.6190868386768297E-2</v>
      </c>
      <c r="H94" s="165">
        <f>VLOOKUP($B94,'Data shares'!$C:$FB,66)</f>
        <v>441258125</v>
      </c>
      <c r="I94" s="165">
        <f>VLOOKUP($B94,'Data shares'!$C:$FB,67)</f>
        <v>291596725</v>
      </c>
      <c r="J94" s="81">
        <f t="shared" si="29"/>
        <v>51.324787684086651</v>
      </c>
      <c r="K94" s="5">
        <f>VLOOKUP($B94,'Data Vlaue (Cr)'!$C:$FB,99)</f>
        <v>4743</v>
      </c>
      <c r="L94" s="81">
        <f>VLOOKUP(B94,'OI(Value)'!$A$7:$C$209,3,0)</f>
        <v>121</v>
      </c>
      <c r="M94" s="33">
        <f t="shared" ref="M94:M122" si="31">L94/K94*100</f>
        <v>2.5511279780729494</v>
      </c>
      <c r="N94" s="5">
        <f>VLOOKUP($B94,'Data Vlaue (Cr)'!$C:$FB,67)</f>
        <v>3293</v>
      </c>
      <c r="O94" s="5">
        <f>VLOOKUP($B94,'Data Vlaue (Cr)'!$C:$FB,68)</f>
        <v>2176</v>
      </c>
      <c r="P94" s="5">
        <f t="shared" si="30"/>
        <v>33.920437291223813</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Power</v>
      </c>
      <c r="B95" s="79" t="str">
        <f>'Data shares'!C90</f>
        <v>IEX</v>
      </c>
      <c r="C95" s="4">
        <f>VLOOKUP($B95,'Data shares'!$C:$FB,7)</f>
        <v>139.87</v>
      </c>
      <c r="D95" s="82">
        <f>VLOOKUP($B95,'Data shares'!$C:$FB,98)</f>
        <v>104797500</v>
      </c>
      <c r="E95" s="165">
        <f>VLOOKUP(B95,'Snapshot (Volume)'!$A$7:$G$168,7,0)</f>
        <v>101883750</v>
      </c>
      <c r="F95" s="165">
        <f t="shared" si="27"/>
        <v>2913750</v>
      </c>
      <c r="G95" s="166">
        <f t="shared" si="28"/>
        <v>2.8598770657734918E-2</v>
      </c>
      <c r="H95" s="165">
        <f>VLOOKUP($B95,'Data shares'!$C:$FB,66)</f>
        <v>24967500</v>
      </c>
      <c r="I95" s="165">
        <f>VLOOKUP($B95,'Data shares'!$C:$FB,67)</f>
        <v>20351250</v>
      </c>
      <c r="J95" s="81">
        <f t="shared" si="29"/>
        <v>22.682881886861985</v>
      </c>
      <c r="K95" s="5">
        <f>VLOOKUP($B95,'Data Vlaue (Cr)'!$C:$FB,99)</f>
        <v>1470</v>
      </c>
      <c r="L95" s="81">
        <f>VLOOKUP(B95,'OI(Value)'!$A$7:$C$209,3,0)</f>
        <v>41</v>
      </c>
      <c r="M95" s="33">
        <f t="shared" si="31"/>
        <v>2.7891156462585034</v>
      </c>
      <c r="N95" s="5">
        <f>VLOOKUP($B95,'Data Vlaue (Cr)'!$C:$FB,67)</f>
        <v>350</v>
      </c>
      <c r="O95" s="5">
        <f>VLOOKUP($B95,'Data Vlaue (Cr)'!$C:$FB,68)</f>
        <v>285</v>
      </c>
      <c r="P95" s="5">
        <f t="shared" si="30"/>
        <v>18.571428571428573</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IGL</v>
      </c>
      <c r="C96" s="4">
        <f>VLOOKUP($B96,'Data shares'!$C:$FB,7)</f>
        <v>216.18</v>
      </c>
      <c r="D96" s="82">
        <f>VLOOKUP($B96,'Data shares'!$C:$FB,98)</f>
        <v>46552000</v>
      </c>
      <c r="E96" s="165">
        <f>VLOOKUP(B96,'Snapshot (Volume)'!$A$7:$G$168,7,0)</f>
        <v>47495250</v>
      </c>
      <c r="F96" s="165">
        <f t="shared" si="27"/>
        <v>-943250</v>
      </c>
      <c r="G96" s="166">
        <f t="shared" si="28"/>
        <v>-1.9859880724914597E-2</v>
      </c>
      <c r="H96" s="165">
        <f>VLOOKUP($B96,'Data shares'!$C:$FB,66)</f>
        <v>21521500</v>
      </c>
      <c r="I96" s="165">
        <f>VLOOKUP($B96,'Data shares'!$C:$FB,67)</f>
        <v>37171750</v>
      </c>
      <c r="J96" s="81">
        <f t="shared" si="29"/>
        <v>-42.102537545313304</v>
      </c>
      <c r="K96" s="5">
        <f>VLOOKUP($B96,'Data Vlaue (Cr)'!$C:$FB,99)</f>
        <v>1010</v>
      </c>
      <c r="L96" s="81">
        <f>VLOOKUP(B96,'OI(Value)'!$A$7:$C$209,3,0)</f>
        <v>-20</v>
      </c>
      <c r="M96" s="33">
        <f t="shared" si="31"/>
        <v>-1.9801980198019802</v>
      </c>
      <c r="N96" s="5">
        <f>VLOOKUP($B96,'Data Vlaue (Cr)'!$C:$FB,67)</f>
        <v>467</v>
      </c>
      <c r="O96" s="5">
        <f>VLOOKUP($B96,'Data Vlaue (Cr)'!$C:$FB,68)</f>
        <v>806</v>
      </c>
      <c r="P96" s="5">
        <f t="shared" si="30"/>
        <v>-72.591006423982876</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Finance</v>
      </c>
      <c r="B97" s="79" t="str">
        <f>'Data shares'!C92</f>
        <v>IIFL</v>
      </c>
      <c r="C97" s="4">
        <f>VLOOKUP($B97,'Data shares'!$C:$FB,7)</f>
        <v>490</v>
      </c>
      <c r="D97" s="82">
        <f>VLOOKUP($B97,'Data shares'!$C:$FB,98)</f>
        <v>22667700</v>
      </c>
      <c r="E97" s="165">
        <f>VLOOKUP(B97,'Snapshot (Volume)'!$A$7:$G$168,7,0)</f>
        <v>22822800</v>
      </c>
      <c r="F97" s="165">
        <f t="shared" ref="F97:F105" si="32">D97-E97</f>
        <v>-155100</v>
      </c>
      <c r="G97" s="166">
        <f t="shared" ref="G97:G105" si="33">F97/E97</f>
        <v>-6.7958357432041641E-3</v>
      </c>
      <c r="H97" s="165">
        <f>VLOOKUP($B97,'Data shares'!$C:$FB,66)</f>
        <v>9126150</v>
      </c>
      <c r="I97" s="165">
        <f>VLOOKUP($B97,'Data shares'!$C:$FB,67)</f>
        <v>23632950</v>
      </c>
      <c r="J97" s="81">
        <f t="shared" ref="J97:J105" si="34">(H97-I97)/I97*100</f>
        <v>-61.383788312504365</v>
      </c>
      <c r="K97" s="5">
        <f>VLOOKUP($B97,'Data Vlaue (Cr)'!$C:$FB,99)</f>
        <v>1116</v>
      </c>
      <c r="L97" s="81">
        <f>VLOOKUP(B97,'OI(Value)'!$A$7:$C$209,3,0)</f>
        <v>-8</v>
      </c>
      <c r="M97" s="33">
        <f t="shared" si="31"/>
        <v>-0.71684587813620071</v>
      </c>
      <c r="N97" s="5">
        <f>VLOOKUP($B97,'Data Vlaue (Cr)'!$C:$FB,67)</f>
        <v>450</v>
      </c>
      <c r="O97" s="5">
        <f>VLOOKUP($B97,'Data Vlaue (Cr)'!$C:$FB,68)</f>
        <v>1164</v>
      </c>
      <c r="P97" s="5">
        <f t="shared" ref="P97:P105" si="35">(N97-O97)/N97*100</f>
        <v>-158.66666666666666</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Realty</v>
      </c>
      <c r="B98" s="79" t="str">
        <f>'Data shares'!C93</f>
        <v>INDHOTEL</v>
      </c>
      <c r="C98" s="4">
        <f>VLOOKUP($B98,'Data shares'!$C:$FB,7)</f>
        <v>735.55</v>
      </c>
      <c r="D98" s="82">
        <f>VLOOKUP($B98,'Data shares'!$C:$FB,98)</f>
        <v>47713000</v>
      </c>
      <c r="E98" s="165">
        <f>VLOOKUP(B98,'Snapshot (Volume)'!$A$7:$G$168,7,0)</f>
        <v>48011000</v>
      </c>
      <c r="F98" s="165">
        <f t="shared" si="32"/>
        <v>-298000</v>
      </c>
      <c r="G98" s="166">
        <f t="shared" si="33"/>
        <v>-6.2069109162483597E-3</v>
      </c>
      <c r="H98" s="165">
        <f>VLOOKUP($B98,'Data shares'!$C:$FB,66)</f>
        <v>20862000</v>
      </c>
      <c r="I98" s="165">
        <f>VLOOKUP($B98,'Data shares'!$C:$FB,67)</f>
        <v>12573000</v>
      </c>
      <c r="J98" s="81">
        <f t="shared" si="34"/>
        <v>65.926986399427349</v>
      </c>
      <c r="K98" s="5">
        <f>VLOOKUP($B98,'Data Vlaue (Cr)'!$C:$FB,99)</f>
        <v>3525</v>
      </c>
      <c r="L98" s="81">
        <f>VLOOKUP(B98,'OI(Value)'!$A$7:$C$209,3,0)</f>
        <v>-22</v>
      </c>
      <c r="M98" s="33">
        <f t="shared" si="31"/>
        <v>-0.62411347517730498</v>
      </c>
      <c r="N98" s="5">
        <f>VLOOKUP($B98,'Data Vlaue (Cr)'!$C:$FB,67)</f>
        <v>1541</v>
      </c>
      <c r="O98" s="5">
        <f>VLOOKUP($B98,'Data Vlaue (Cr)'!$C:$FB,68)</f>
        <v>929</v>
      </c>
      <c r="P98" s="5">
        <f t="shared" si="35"/>
        <v>39.71447112264763</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Banking</v>
      </c>
      <c r="B99" s="79" t="str">
        <f>'Data shares'!C94</f>
        <v>INDIANB</v>
      </c>
      <c r="C99" s="4">
        <f>VLOOKUP($B99,'Data shares'!$C:$FB,7)</f>
        <v>776.25</v>
      </c>
      <c r="D99" s="82">
        <f>VLOOKUP($B99,'Data shares'!$C:$FB,98)</f>
        <v>13208000</v>
      </c>
      <c r="E99" s="165">
        <f>VLOOKUP(B99,'Snapshot (Volume)'!$A$7:$G$168,7,0)</f>
        <v>12868000</v>
      </c>
      <c r="F99" s="165">
        <f t="shared" si="32"/>
        <v>340000</v>
      </c>
      <c r="G99" s="166">
        <f t="shared" si="33"/>
        <v>2.6422132421510723E-2</v>
      </c>
      <c r="H99" s="165">
        <f>VLOOKUP($B99,'Data shares'!$C:$FB,66)</f>
        <v>9774000</v>
      </c>
      <c r="I99" s="165">
        <f>VLOOKUP($B99,'Data shares'!$C:$FB,67)</f>
        <v>4582000</v>
      </c>
      <c r="J99" s="81">
        <f t="shared" si="34"/>
        <v>113.3129637712789</v>
      </c>
      <c r="K99" s="5">
        <f>VLOOKUP($B99,'Data Vlaue (Cr)'!$C:$FB,99)</f>
        <v>1025</v>
      </c>
      <c r="L99" s="81">
        <f>VLOOKUP(B99,'OI(Value)'!$A$7:$C$209,3,0)</f>
        <v>26</v>
      </c>
      <c r="M99" s="33">
        <f t="shared" si="31"/>
        <v>2.5365853658536586</v>
      </c>
      <c r="N99" s="5">
        <f>VLOOKUP($B99,'Data Vlaue (Cr)'!$C:$FB,67)</f>
        <v>759</v>
      </c>
      <c r="O99" s="5">
        <f>VLOOKUP($B99,'Data Vlaue (Cr)'!$C:$FB,68)</f>
        <v>356</v>
      </c>
      <c r="P99" s="5">
        <f t="shared" si="35"/>
        <v>53.096179183135703</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Index</v>
      </c>
      <c r="B100" s="79" t="str">
        <f>'Data shares'!C95</f>
        <v>INDIAVIX</v>
      </c>
      <c r="C100" s="4">
        <f>VLOOKUP($B100,'Data shares'!$C:$FB,7)</f>
        <v>10.1</v>
      </c>
      <c r="D100" s="82">
        <f>VLOOKUP($B100,'Data shares'!$C:$FB,98)</f>
        <v>0</v>
      </c>
      <c r="E100" s="165">
        <f>VLOOKUP(B100,'Snapshot (Volume)'!$A$7:$G$168,7,0)</f>
        <v>0</v>
      </c>
      <c r="F100" s="165">
        <f t="shared" si="32"/>
        <v>0</v>
      </c>
      <c r="G100" s="166" t="e">
        <f t="shared" si="33"/>
        <v>#DIV/0!</v>
      </c>
      <c r="H100" s="165">
        <f>VLOOKUP($B100,'Data shares'!$C:$FB,66)</f>
        <v>0</v>
      </c>
      <c r="I100" s="165">
        <f>VLOOKUP($B100,'Data shares'!$C:$FB,67)</f>
        <v>0</v>
      </c>
      <c r="J100" s="81" t="e">
        <f t="shared" si="34"/>
        <v>#DIV/0!</v>
      </c>
      <c r="K100" s="5">
        <f>VLOOKUP($B100,'Data Vlaue (Cr)'!$C:$FB,99)</f>
        <v>0</v>
      </c>
      <c r="L100" s="81">
        <f>VLOOKUP(B100,'OI(Value)'!$A$7:$C$209,3,0)</f>
        <v>0</v>
      </c>
      <c r="M100" s="33" t="e">
        <f t="shared" si="31"/>
        <v>#DIV/0!</v>
      </c>
      <c r="N100" s="5">
        <f>VLOOKUP($B100,'Data Vlaue (Cr)'!$C:$FB,67)</f>
        <v>0</v>
      </c>
      <c r="O100" s="5">
        <f>VLOOKUP($B100,'Data Vlaue (Cr)'!$C:$FB,68)</f>
        <v>0</v>
      </c>
      <c r="P100" s="5" t="e">
        <f t="shared" si="35"/>
        <v>#DIV/0!</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Infrastructure</v>
      </c>
      <c r="B101" s="79" t="str">
        <f>'Data shares'!C96</f>
        <v>INDIGO</v>
      </c>
      <c r="C101" s="4">
        <f>VLOOKUP($B101,'Data shares'!$C:$FB,7)</f>
        <v>5735</v>
      </c>
      <c r="D101" s="82">
        <f>VLOOKUP($B101,'Data shares'!$C:$FB,98)</f>
        <v>11289300</v>
      </c>
      <c r="E101" s="165">
        <f>VLOOKUP(B101,'Snapshot (Volume)'!$A$7:$G$168,7,0)</f>
        <v>11306100</v>
      </c>
      <c r="F101" s="165">
        <f t="shared" si="32"/>
        <v>-16800</v>
      </c>
      <c r="G101" s="166">
        <f t="shared" si="33"/>
        <v>-1.485923528007005E-3</v>
      </c>
      <c r="H101" s="165">
        <f>VLOOKUP($B101,'Data shares'!$C:$FB,66)</f>
        <v>4403250</v>
      </c>
      <c r="I101" s="165">
        <f>VLOOKUP($B101,'Data shares'!$C:$FB,67)</f>
        <v>6133050</v>
      </c>
      <c r="J101" s="81">
        <f t="shared" si="34"/>
        <v>-28.204563797784139</v>
      </c>
      <c r="K101" s="5">
        <f>VLOOKUP($B101,'Data Vlaue (Cr)'!$C:$FB,99)</f>
        <v>6507</v>
      </c>
      <c r="L101" s="81">
        <f>VLOOKUP(B101,'OI(Value)'!$A$7:$C$209,3,0)</f>
        <v>-10</v>
      </c>
      <c r="M101" s="33">
        <f t="shared" si="31"/>
        <v>-0.15368065160596281</v>
      </c>
      <c r="N101" s="5">
        <f>VLOOKUP($B101,'Data Vlaue (Cr)'!$C:$FB,67)</f>
        <v>2538</v>
      </c>
      <c r="O101" s="5">
        <f>VLOOKUP($B101,'Data Vlaue (Cr)'!$C:$FB,68)</f>
        <v>3535</v>
      </c>
      <c r="P101" s="5">
        <f t="shared" si="35"/>
        <v>-39.282899921197796</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Banking</v>
      </c>
      <c r="B102" s="79" t="str">
        <f>'Data shares'!C97</f>
        <v>INDUSINDBK</v>
      </c>
      <c r="C102" s="4">
        <f>VLOOKUP($B102,'Data shares'!$C:$FB,7)</f>
        <v>763.35</v>
      </c>
      <c r="D102" s="82">
        <f>VLOOKUP($B102,'Data shares'!$C:$FB,98)</f>
        <v>76633900</v>
      </c>
      <c r="E102" s="165">
        <f>VLOOKUP(B102,'Snapshot (Volume)'!$A$7:$G$168,7,0)</f>
        <v>76472200</v>
      </c>
      <c r="F102" s="165">
        <f t="shared" si="32"/>
        <v>161700</v>
      </c>
      <c r="G102" s="166">
        <f t="shared" si="33"/>
        <v>2.1144938945133001E-3</v>
      </c>
      <c r="H102" s="165">
        <f>VLOOKUP($B102,'Data shares'!$C:$FB,66)</f>
        <v>45196200</v>
      </c>
      <c r="I102" s="165">
        <f>VLOOKUP($B102,'Data shares'!$C:$FB,67)</f>
        <v>24572100</v>
      </c>
      <c r="J102" s="81">
        <f t="shared" si="34"/>
        <v>83.932997179728233</v>
      </c>
      <c r="K102" s="5">
        <f>VLOOKUP($B102,'Data Vlaue (Cr)'!$C:$FB,99)</f>
        <v>5883</v>
      </c>
      <c r="L102" s="81">
        <f>VLOOKUP(B102,'OI(Value)'!$A$7:$C$209,3,0)</f>
        <v>12</v>
      </c>
      <c r="M102" s="33">
        <f t="shared" si="31"/>
        <v>0.20397756246812851</v>
      </c>
      <c r="N102" s="5">
        <f>VLOOKUP($B102,'Data Vlaue (Cr)'!$C:$FB,67)</f>
        <v>3469</v>
      </c>
      <c r="O102" s="5">
        <f>VLOOKUP($B102,'Data Vlaue (Cr)'!$C:$FB,68)</f>
        <v>1886</v>
      </c>
      <c r="P102" s="5">
        <f t="shared" si="35"/>
        <v>45.63274718939175</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INDUSTOWER</v>
      </c>
      <c r="C103" s="4">
        <f>VLOOKUP($B103,'Data shares'!$C:$FB,7)</f>
        <v>353.7</v>
      </c>
      <c r="D103" s="82">
        <f>VLOOKUP($B103,'Data shares'!$C:$FB,98)</f>
        <v>125271300</v>
      </c>
      <c r="E103" s="165">
        <f>VLOOKUP(B103,'Snapshot (Volume)'!$A$7:$G$168,7,0)</f>
        <v>119469200</v>
      </c>
      <c r="F103" s="165">
        <f t="shared" si="32"/>
        <v>5802100</v>
      </c>
      <c r="G103" s="166">
        <f t="shared" si="33"/>
        <v>4.8565655415789173E-2</v>
      </c>
      <c r="H103" s="165">
        <f>VLOOKUP($B103,'Data shares'!$C:$FB,66)</f>
        <v>39035400</v>
      </c>
      <c r="I103" s="165">
        <f>VLOOKUP($B103,'Data shares'!$C:$FB,67)</f>
        <v>28294800</v>
      </c>
      <c r="J103" s="81">
        <f t="shared" si="34"/>
        <v>37.959625090122564</v>
      </c>
      <c r="K103" s="5">
        <f>VLOOKUP($B103,'Data Vlaue (Cr)'!$C:$FB,99)</f>
        <v>4455</v>
      </c>
      <c r="L103" s="81">
        <f>VLOOKUP(B103,'OI(Value)'!$A$7:$C$209,3,0)</f>
        <v>206</v>
      </c>
      <c r="M103" s="33">
        <f t="shared" si="31"/>
        <v>4.624017957351291</v>
      </c>
      <c r="N103" s="5">
        <f>VLOOKUP($B103,'Data Vlaue (Cr)'!$C:$FB,67)</f>
        <v>1388</v>
      </c>
      <c r="O103" s="5">
        <f>VLOOKUP($B103,'Data Vlaue (Cr)'!$C:$FB,68)</f>
        <v>1006</v>
      </c>
      <c r="P103" s="5">
        <f t="shared" si="35"/>
        <v>27.521613832853024</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Technology</v>
      </c>
      <c r="B104" s="79" t="str">
        <f>'Data shares'!C99</f>
        <v>INFY</v>
      </c>
      <c r="C104" s="4">
        <f>VLOOKUP($B104,'Data shares'!$C:$FB,7)</f>
        <v>1514.9</v>
      </c>
      <c r="D104" s="82">
        <f>VLOOKUP($B104,'Data shares'!$C:$FB,98)</f>
        <v>94552800</v>
      </c>
      <c r="E104" s="165">
        <f>VLOOKUP(B104,'Snapshot (Volume)'!$A$7:$G$168,7,0)</f>
        <v>96418000</v>
      </c>
      <c r="F104" s="165">
        <f t="shared" si="32"/>
        <v>-1865200</v>
      </c>
      <c r="G104" s="166">
        <f t="shared" si="33"/>
        <v>-1.9344935592939077E-2</v>
      </c>
      <c r="H104" s="165">
        <f>VLOOKUP($B104,'Data shares'!$C:$FB,66)</f>
        <v>55404000</v>
      </c>
      <c r="I104" s="165">
        <f>VLOOKUP($B104,'Data shares'!$C:$FB,67)</f>
        <v>77975200</v>
      </c>
      <c r="J104" s="81">
        <f t="shared" si="34"/>
        <v>-28.946639444336146</v>
      </c>
      <c r="K104" s="5">
        <f>VLOOKUP($B104,'Data Vlaue (Cr)'!$C:$FB,99)</f>
        <v>14260</v>
      </c>
      <c r="L104" s="81">
        <f>VLOOKUP(B104,'OI(Value)'!$A$7:$C$209,3,0)</f>
        <v>-281</v>
      </c>
      <c r="M104" s="33">
        <f t="shared" si="31"/>
        <v>-1.9705469845722301</v>
      </c>
      <c r="N104" s="5">
        <f>VLOOKUP($B104,'Data Vlaue (Cr)'!$C:$FB,67)</f>
        <v>8356</v>
      </c>
      <c r="O104" s="5">
        <f>VLOOKUP($B104,'Data Vlaue (Cr)'!$C:$FB,68)</f>
        <v>11760</v>
      </c>
      <c r="P104" s="5">
        <f t="shared" si="35"/>
        <v>-40.737194830062229</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INOXWIND</v>
      </c>
      <c r="C105" s="4">
        <f>VLOOKUP($B105,'Data shares'!$C:$FB,7)</f>
        <v>150.08000000000001</v>
      </c>
      <c r="D105" s="82">
        <f>VLOOKUP($B105,'Data shares'!$C:$FB,98)</f>
        <v>70590128</v>
      </c>
      <c r="E105" s="165">
        <f>VLOOKUP(B105,'Snapshot (Volume)'!$A$7:$G$168,7,0)</f>
        <v>69958632</v>
      </c>
      <c r="F105" s="165">
        <f t="shared" si="32"/>
        <v>631496</v>
      </c>
      <c r="G105" s="166">
        <f t="shared" si="33"/>
        <v>9.0267059538842905E-3</v>
      </c>
      <c r="H105" s="165">
        <f>VLOOKUP($B105,'Data shares'!$C:$FB,66)</f>
        <v>81017992</v>
      </c>
      <c r="I105" s="165">
        <f>VLOOKUP($B105,'Data shares'!$C:$FB,67)</f>
        <v>64366784</v>
      </c>
      <c r="J105" s="81">
        <f t="shared" si="34"/>
        <v>25.869255795038633</v>
      </c>
      <c r="K105" s="5">
        <f>VLOOKUP($B105,'Data Vlaue (Cr)'!$C:$FB,99)</f>
        <v>1065</v>
      </c>
      <c r="L105" s="81">
        <f>VLOOKUP(B105,'OI(Value)'!$A$7:$C$209,3,0)</f>
        <v>10</v>
      </c>
      <c r="M105" s="33">
        <f t="shared" si="31"/>
        <v>0.93896713615023475</v>
      </c>
      <c r="N105" s="5">
        <f>VLOOKUP($B105,'Data Vlaue (Cr)'!$C:$FB,67)</f>
        <v>1223</v>
      </c>
      <c r="O105" s="5">
        <f>VLOOKUP($B105,'Data Vlaue (Cr)'!$C:$FB,68)</f>
        <v>971</v>
      </c>
      <c r="P105" s="5">
        <f t="shared" si="35"/>
        <v>20.605069501226492</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IOC</v>
      </c>
      <c r="C106" s="79">
        <f>VLOOKUP($B106,'Data shares'!$C:$FB,7)</f>
        <v>154.11000000000001</v>
      </c>
      <c r="D106" s="80">
        <f>VLOOKUP($B106,'Data shares'!$C:$FB,98)</f>
        <v>167412375</v>
      </c>
      <c r="E106" s="165">
        <f>VLOOKUP(B106,'Snapshot (Volume)'!$A$7:$G$168,7,0)</f>
        <v>163429500</v>
      </c>
      <c r="F106" s="165">
        <f t="shared" ref="F106:F114" si="36">D106-E106</f>
        <v>3982875</v>
      </c>
      <c r="G106" s="166">
        <f t="shared" ref="G106:G114" si="37">F106/E106</f>
        <v>2.4370600167044506E-2</v>
      </c>
      <c r="H106" s="165">
        <f>VLOOKUP($B106,'Data shares'!$C:$FB,66)</f>
        <v>103720500</v>
      </c>
      <c r="I106" s="165">
        <f>VLOOKUP($B106,'Data shares'!$C:$FB,67)</f>
        <v>160104750</v>
      </c>
      <c r="J106" s="81">
        <f t="shared" ref="J106:J114" si="38">(H106-I106)/I106*100</f>
        <v>-35.217100054807872</v>
      </c>
      <c r="K106" s="81">
        <f>VLOOKUP($B106,'Data Vlaue (Cr)'!$C:$FB,99)</f>
        <v>2590</v>
      </c>
      <c r="L106" s="81">
        <f>VLOOKUP(B106,'OI(Value)'!$A$7:$C$209,3,0)</f>
        <v>62</v>
      </c>
      <c r="M106" s="81">
        <f t="shared" si="31"/>
        <v>2.3938223938223939</v>
      </c>
      <c r="N106" s="81">
        <f>VLOOKUP($B106,'Data Vlaue (Cr)'!$C:$FB,67)</f>
        <v>1605</v>
      </c>
      <c r="O106" s="81">
        <f>VLOOKUP($B106,'Data Vlaue (Cr)'!$C:$FB,68)</f>
        <v>2477</v>
      </c>
      <c r="P106" s="81">
        <f t="shared" ref="P106:P114" si="39">(N106-O106)/N106*100</f>
        <v>-54.330218068535828</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Infrastructure</v>
      </c>
      <c r="B107" s="79" t="str">
        <f>'Data shares'!C102</f>
        <v>IRCTC</v>
      </c>
      <c r="C107" s="79">
        <f>VLOOKUP($B107,'Data shares'!$C:$FB,7)</f>
        <v>715.7</v>
      </c>
      <c r="D107" s="80">
        <f>VLOOKUP($B107,'Data shares'!$C:$FB,98)</f>
        <v>28510125</v>
      </c>
      <c r="E107" s="165">
        <f>VLOOKUP(B107,'Snapshot (Volume)'!$A$7:$G$168,7,0)</f>
        <v>28782250</v>
      </c>
      <c r="F107" s="165">
        <f t="shared" si="36"/>
        <v>-272125</v>
      </c>
      <c r="G107" s="166">
        <f t="shared" si="37"/>
        <v>-9.4546117833039459E-3</v>
      </c>
      <c r="H107" s="165">
        <f>VLOOKUP($B107,'Data shares'!$C:$FB,66)</f>
        <v>7917875</v>
      </c>
      <c r="I107" s="165">
        <f>VLOOKUP($B107,'Data shares'!$C:$FB,67)</f>
        <v>8110375</v>
      </c>
      <c r="J107" s="81">
        <f t="shared" si="38"/>
        <v>-2.3735030747653467</v>
      </c>
      <c r="K107" s="81">
        <f>VLOOKUP($B107,'Data Vlaue (Cr)'!$C:$FB,99)</f>
        <v>2045</v>
      </c>
      <c r="L107" s="81">
        <f>VLOOKUP(B107,'OI(Value)'!$A$7:$C$209,3,0)</f>
        <v>-20</v>
      </c>
      <c r="M107" s="81">
        <f t="shared" si="31"/>
        <v>-0.97799511002444983</v>
      </c>
      <c r="N107" s="81">
        <f>VLOOKUP($B107,'Data Vlaue (Cr)'!$C:$FB,67)</f>
        <v>568</v>
      </c>
      <c r="O107" s="81">
        <f>VLOOKUP($B107,'Data Vlaue (Cr)'!$C:$FB,68)</f>
        <v>582</v>
      </c>
      <c r="P107" s="81">
        <f t="shared" si="39"/>
        <v>-2.464788732394366</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Finance</v>
      </c>
      <c r="B108" s="79" t="str">
        <f>'Data shares'!C103</f>
        <v>IREDA</v>
      </c>
      <c r="C108" s="4">
        <f>VLOOKUP($B108,'Data shares'!$C:$FB,7)</f>
        <v>150.96</v>
      </c>
      <c r="D108" s="82">
        <f>VLOOKUP($B108,'Data shares'!$C:$FB,98)</f>
        <v>87012450</v>
      </c>
      <c r="E108" s="165">
        <f>VLOOKUP(B108,'Snapshot (Volume)'!$A$7:$G$168,7,0)</f>
        <v>88433850</v>
      </c>
      <c r="F108" s="165">
        <f t="shared" si="36"/>
        <v>-1421400</v>
      </c>
      <c r="G108" s="166">
        <f t="shared" si="37"/>
        <v>-1.6073030858658761E-2</v>
      </c>
      <c r="H108" s="165">
        <f>VLOOKUP($B108,'Data shares'!$C:$FB,66)</f>
        <v>36708000</v>
      </c>
      <c r="I108" s="165">
        <f>VLOOKUP($B108,'Data shares'!$C:$FB,67)</f>
        <v>37760250</v>
      </c>
      <c r="J108" s="81">
        <f t="shared" si="38"/>
        <v>-2.7866605756052993</v>
      </c>
      <c r="K108" s="5">
        <f>VLOOKUP($B108,'Data Vlaue (Cr)'!$C:$FB,99)</f>
        <v>1319</v>
      </c>
      <c r="L108" s="81">
        <f>VLOOKUP(B108,'OI(Value)'!$A$7:$C$209,3,0)</f>
        <v>-22</v>
      </c>
      <c r="M108" s="33">
        <f t="shared" si="31"/>
        <v>-1.6679302501895377</v>
      </c>
      <c r="N108" s="5">
        <f>VLOOKUP($B108,'Data Vlaue (Cr)'!$C:$FB,67)</f>
        <v>557</v>
      </c>
      <c r="O108" s="5">
        <f>VLOOKUP($B108,'Data Vlaue (Cr)'!$C:$FB,68)</f>
        <v>572</v>
      </c>
      <c r="P108" s="5">
        <f t="shared" si="39"/>
        <v>-2.6929982046678633</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Infrastructure</v>
      </c>
      <c r="B109" s="79" t="str">
        <f>'Data shares'!C104</f>
        <v>IRFC</v>
      </c>
      <c r="C109" s="4">
        <f>VLOOKUP($B109,'Data shares'!$C:$FB,7)</f>
        <v>126.5</v>
      </c>
      <c r="D109" s="82">
        <f>VLOOKUP($B109,'Data shares'!$C:$FB,98)</f>
        <v>85603500</v>
      </c>
      <c r="E109" s="165">
        <f>VLOOKUP(B109,'Snapshot (Volume)'!$A$7:$G$168,7,0)</f>
        <v>84787500</v>
      </c>
      <c r="F109" s="165">
        <f t="shared" si="36"/>
        <v>816000</v>
      </c>
      <c r="G109" s="166">
        <f t="shared" si="37"/>
        <v>9.6240601503759394E-3</v>
      </c>
      <c r="H109" s="165">
        <f>VLOOKUP($B109,'Data shares'!$C:$FB,66)</f>
        <v>38088500</v>
      </c>
      <c r="I109" s="165">
        <f>VLOOKUP($B109,'Data shares'!$C:$FB,67)</f>
        <v>19626500</v>
      </c>
      <c r="J109" s="81">
        <f t="shared" si="38"/>
        <v>94.066695539194455</v>
      </c>
      <c r="K109" s="5">
        <f>VLOOKUP($B109,'Data Vlaue (Cr)'!$C:$FB,99)</f>
        <v>1082</v>
      </c>
      <c r="L109" s="81">
        <f>VLOOKUP(B109,'OI(Value)'!$A$7:$C$209,3,0)</f>
        <v>10</v>
      </c>
      <c r="M109" s="33">
        <f t="shared" si="31"/>
        <v>0.92421441774491686</v>
      </c>
      <c r="N109" s="5">
        <f>VLOOKUP($B109,'Data Vlaue (Cr)'!$C:$FB,67)</f>
        <v>481</v>
      </c>
      <c r="O109" s="5">
        <f>VLOOKUP($B109,'Data Vlaue (Cr)'!$C:$FB,68)</f>
        <v>248</v>
      </c>
      <c r="P109" s="5">
        <f t="shared" si="39"/>
        <v>48.440748440748443</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FMCG</v>
      </c>
      <c r="B110" s="79" t="str">
        <f>'Data shares'!C105</f>
        <v>ITC</v>
      </c>
      <c r="C110" s="4">
        <f>VLOOKUP($B110,'Data shares'!$C:$FB,7)</f>
        <v>402.8</v>
      </c>
      <c r="D110" s="82">
        <f>VLOOKUP($B110,'Data shares'!$C:$FB,98)</f>
        <v>205275200</v>
      </c>
      <c r="E110" s="165">
        <f>VLOOKUP(B110,'Snapshot (Volume)'!$A$7:$G$168,7,0)</f>
        <v>203249600</v>
      </c>
      <c r="F110" s="165">
        <f t="shared" si="36"/>
        <v>2025600</v>
      </c>
      <c r="G110" s="166">
        <f t="shared" si="37"/>
        <v>9.966071273941007E-3</v>
      </c>
      <c r="H110" s="165">
        <f>VLOOKUP($B110,'Data shares'!$C:$FB,66)</f>
        <v>102460800</v>
      </c>
      <c r="I110" s="165">
        <f>VLOOKUP($B110,'Data shares'!$C:$FB,67)</f>
        <v>61750400</v>
      </c>
      <c r="J110" s="81">
        <f t="shared" si="38"/>
        <v>65.927346219619636</v>
      </c>
      <c r="K110" s="5">
        <f>VLOOKUP($B110,'Data Vlaue (Cr)'!$C:$FB,99)</f>
        <v>8314</v>
      </c>
      <c r="L110" s="81">
        <f>VLOOKUP(B110,'OI(Value)'!$A$7:$C$209,3,0)</f>
        <v>82</v>
      </c>
      <c r="M110" s="33">
        <f t="shared" si="31"/>
        <v>0.9862881885975463</v>
      </c>
      <c r="N110" s="5">
        <f>VLOOKUP($B110,'Data Vlaue (Cr)'!$C:$FB,67)</f>
        <v>4150</v>
      </c>
      <c r="O110" s="5">
        <f>VLOOKUP($B110,'Data Vlaue (Cr)'!$C:$FB,68)</f>
        <v>2501</v>
      </c>
      <c r="P110" s="5">
        <f t="shared" si="39"/>
        <v>39.734939759036145</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Metals</v>
      </c>
      <c r="B111" s="79" t="str">
        <f>'Data shares'!C106</f>
        <v>JINDALSTEL</v>
      </c>
      <c r="C111" s="4">
        <f>VLOOKUP($B111,'Data shares'!$C:$FB,7)</f>
        <v>1015.2</v>
      </c>
      <c r="D111" s="82">
        <f>VLOOKUP($B111,'Data shares'!$C:$FB,98)</f>
        <v>25828750</v>
      </c>
      <c r="E111" s="165">
        <f>VLOOKUP(B111,'Snapshot (Volume)'!$A$7:$G$168,7,0)</f>
        <v>24194375</v>
      </c>
      <c r="F111" s="165">
        <f t="shared" si="36"/>
        <v>1634375</v>
      </c>
      <c r="G111" s="166">
        <f t="shared" si="37"/>
        <v>6.755185864482964E-2</v>
      </c>
      <c r="H111" s="165">
        <f>VLOOKUP($B111,'Data shares'!$C:$FB,66)</f>
        <v>15403125</v>
      </c>
      <c r="I111" s="165">
        <f>VLOOKUP($B111,'Data shares'!$C:$FB,67)</f>
        <v>15681250</v>
      </c>
      <c r="J111" s="81">
        <f t="shared" si="38"/>
        <v>-1.7736149860502193</v>
      </c>
      <c r="K111" s="5">
        <f>VLOOKUP($B111,'Data Vlaue (Cr)'!$C:$FB,99)</f>
        <v>2635</v>
      </c>
      <c r="L111" s="81">
        <f>VLOOKUP(B111,'OI(Value)'!$A$7:$C$209,3,0)</f>
        <v>167</v>
      </c>
      <c r="M111" s="33">
        <f t="shared" si="31"/>
        <v>6.3377609108159403</v>
      </c>
      <c r="N111" s="5">
        <f>VLOOKUP($B111,'Data Vlaue (Cr)'!$C:$FB,67)</f>
        <v>1571</v>
      </c>
      <c r="O111" s="5">
        <f>VLOOKUP($B111,'Data Vlaue (Cr)'!$C:$FB,68)</f>
        <v>1600</v>
      </c>
      <c r="P111" s="5">
        <f t="shared" si="39"/>
        <v>-1.8459579885423298</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Finance</v>
      </c>
      <c r="B112" s="79" t="str">
        <f>'Data shares'!C107</f>
        <v>JIOFIN</v>
      </c>
      <c r="C112" s="4">
        <f>VLOOKUP($B112,'Data shares'!$C:$FB,7)</f>
        <v>308.14999999999998</v>
      </c>
      <c r="D112" s="82">
        <f>VLOOKUP($B112,'Data shares'!$C:$FB,98)</f>
        <v>228803050</v>
      </c>
      <c r="E112" s="165">
        <f>VLOOKUP(B112,'Snapshot (Volume)'!$A$7:$G$168,7,0)</f>
        <v>225797400</v>
      </c>
      <c r="F112" s="165">
        <f t="shared" si="36"/>
        <v>3005650</v>
      </c>
      <c r="G112" s="166">
        <f t="shared" si="37"/>
        <v>1.3311269306023896E-2</v>
      </c>
      <c r="H112" s="165">
        <f>VLOOKUP($B112,'Data shares'!$C:$FB,66)</f>
        <v>66401600</v>
      </c>
      <c r="I112" s="165">
        <f>VLOOKUP($B112,'Data shares'!$C:$FB,67)</f>
        <v>72807700</v>
      </c>
      <c r="J112" s="81">
        <f t="shared" si="38"/>
        <v>-8.7986572848750892</v>
      </c>
      <c r="K112" s="5">
        <f>VLOOKUP($B112,'Data Vlaue (Cr)'!$C:$FB,99)</f>
        <v>7091</v>
      </c>
      <c r="L112" s="81">
        <f>VLOOKUP(B112,'OI(Value)'!$A$7:$C$209,3,0)</f>
        <v>93</v>
      </c>
      <c r="M112" s="33">
        <f t="shared" si="31"/>
        <v>1.3115216471583697</v>
      </c>
      <c r="N112" s="5">
        <f>VLOOKUP($B112,'Data Vlaue (Cr)'!$C:$FB,67)</f>
        <v>2058</v>
      </c>
      <c r="O112" s="5">
        <f>VLOOKUP($B112,'Data Vlaue (Cr)'!$C:$FB,68)</f>
        <v>2256</v>
      </c>
      <c r="P112" s="5">
        <f t="shared" si="39"/>
        <v>-9.6209912536443145</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Power</v>
      </c>
      <c r="B113" s="79" t="str">
        <f>'Data shares'!C108</f>
        <v>JSWENERGY</v>
      </c>
      <c r="C113" s="4">
        <f>VLOOKUP($B113,'Data shares'!$C:$FB,7)</f>
        <v>546</v>
      </c>
      <c r="D113" s="82">
        <f>VLOOKUP($B113,'Data shares'!$C:$FB,98)</f>
        <v>50061000</v>
      </c>
      <c r="E113" s="165">
        <f>VLOOKUP(B113,'Snapshot (Volume)'!$A$7:$G$168,7,0)</f>
        <v>50626000</v>
      </c>
      <c r="F113" s="165">
        <f t="shared" si="36"/>
        <v>-565000</v>
      </c>
      <c r="G113" s="166">
        <f t="shared" si="37"/>
        <v>-1.1160273377316003E-2</v>
      </c>
      <c r="H113" s="165">
        <f>VLOOKUP($B113,'Data shares'!$C:$FB,66)</f>
        <v>9626000</v>
      </c>
      <c r="I113" s="165">
        <f>VLOOKUP($B113,'Data shares'!$C:$FB,67)</f>
        <v>16788000</v>
      </c>
      <c r="J113" s="81">
        <f t="shared" si="38"/>
        <v>-42.661424827257562</v>
      </c>
      <c r="K113" s="5">
        <f>VLOOKUP($B113,'Data Vlaue (Cr)'!$C:$FB,99)</f>
        <v>2747</v>
      </c>
      <c r="L113" s="81">
        <f>VLOOKUP(B113,'OI(Value)'!$A$7:$C$209,3,0)</f>
        <v>-31</v>
      </c>
      <c r="M113" s="33">
        <f t="shared" si="31"/>
        <v>-1.1285038223516564</v>
      </c>
      <c r="N113" s="5">
        <f>VLOOKUP($B113,'Data Vlaue (Cr)'!$C:$FB,67)</f>
        <v>528</v>
      </c>
      <c r="O113" s="5">
        <f>VLOOKUP($B113,'Data Vlaue (Cr)'!$C:$FB,68)</f>
        <v>921</v>
      </c>
      <c r="P113" s="5">
        <f t="shared" si="39"/>
        <v>-74.431818181818173</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Metals</v>
      </c>
      <c r="B114" s="79" t="str">
        <f>'Data shares'!C109</f>
        <v>JSWSTEEL</v>
      </c>
      <c r="C114" s="4">
        <f>VLOOKUP($B114,'Data shares'!$C:$FB,7)</f>
        <v>1167.8</v>
      </c>
      <c r="D114" s="82">
        <f>VLOOKUP($B114,'Data shares'!$C:$FB,98)</f>
        <v>54898425</v>
      </c>
      <c r="E114" s="165">
        <f>VLOOKUP(B114,'Snapshot (Volume)'!$A$7:$G$168,7,0)</f>
        <v>55115100</v>
      </c>
      <c r="F114" s="165">
        <f t="shared" si="36"/>
        <v>-216675</v>
      </c>
      <c r="G114" s="166">
        <f t="shared" si="37"/>
        <v>-3.9313182775682163E-3</v>
      </c>
      <c r="H114" s="165">
        <f>VLOOKUP($B114,'Data shares'!$C:$FB,66)</f>
        <v>14715675</v>
      </c>
      <c r="I114" s="165">
        <f>VLOOKUP($B114,'Data shares'!$C:$FB,67)</f>
        <v>25668900</v>
      </c>
      <c r="J114" s="81">
        <f t="shared" si="38"/>
        <v>-42.67118964973178</v>
      </c>
      <c r="K114" s="5">
        <f>VLOOKUP($B114,'Data Vlaue (Cr)'!$C:$FB,99)</f>
        <v>6431</v>
      </c>
      <c r="L114" s="81">
        <f>VLOOKUP(B114,'OI(Value)'!$A$7:$C$209,3,0)</f>
        <v>-25</v>
      </c>
      <c r="M114" s="33">
        <f t="shared" si="31"/>
        <v>-0.38874203078836883</v>
      </c>
      <c r="N114" s="5">
        <f>VLOOKUP($B114,'Data Vlaue (Cr)'!$C:$FB,67)</f>
        <v>1724</v>
      </c>
      <c r="O114" s="5">
        <f>VLOOKUP($B114,'Data Vlaue (Cr)'!$C:$FB,68)</f>
        <v>3007</v>
      </c>
      <c r="P114" s="5">
        <f t="shared" si="39"/>
        <v>-74.419953596287698</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FMCG</v>
      </c>
      <c r="B115" s="79" t="str">
        <f>'Data shares'!C110</f>
        <v>JUBLFOOD</v>
      </c>
      <c r="C115" s="79">
        <f>VLOOKUP($B115,'Data shares'!$C:$FB,7)</f>
        <v>602.29999999999995</v>
      </c>
      <c r="D115" s="80">
        <f>VLOOKUP($B115,'Data shares'!$C:$FB,98)</f>
        <v>34743750</v>
      </c>
      <c r="E115" s="165">
        <f>VLOOKUP(B115,'Snapshot (Volume)'!$A$7:$G$168,7,0)</f>
        <v>33751250</v>
      </c>
      <c r="F115" s="165">
        <f t="shared" ref="F115:F126" si="40">D115-E115</f>
        <v>992500</v>
      </c>
      <c r="G115" s="166">
        <f t="shared" ref="G115:G126" si="41">F115/E115</f>
        <v>2.940631828450798E-2</v>
      </c>
      <c r="H115" s="165">
        <f>VLOOKUP($B115,'Data shares'!$C:$FB,66)</f>
        <v>10333750</v>
      </c>
      <c r="I115" s="165">
        <f>VLOOKUP($B115,'Data shares'!$C:$FB,67)</f>
        <v>12723750</v>
      </c>
      <c r="J115" s="81">
        <f t="shared" ref="J115:J126" si="42">(H115-I115)/I115*100</f>
        <v>-18.783770507908439</v>
      </c>
      <c r="K115" s="81">
        <f>VLOOKUP($B115,'Data Vlaue (Cr)'!$C:$FB,99)</f>
        <v>2104</v>
      </c>
      <c r="L115" s="81">
        <f>VLOOKUP(B115,'OI(Value)'!$A$7:$C$209,3,0)</f>
        <v>60</v>
      </c>
      <c r="M115" s="81">
        <f t="shared" si="31"/>
        <v>2.8517110266159698</v>
      </c>
      <c r="N115" s="81">
        <f>VLOOKUP($B115,'Data Vlaue (Cr)'!$C:$FB,67)</f>
        <v>626</v>
      </c>
      <c r="O115" s="81">
        <f>VLOOKUP($B115,'Data Vlaue (Cr)'!$C:$FB,68)</f>
        <v>771</v>
      </c>
      <c r="P115" s="81">
        <f t="shared" ref="P115:P126" si="43">(N115-O115)/N115*100</f>
        <v>-23.162939297124602</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FMCG</v>
      </c>
      <c r="B116" s="79" t="str">
        <f>'Data shares'!C111</f>
        <v>KALYANKJIL</v>
      </c>
      <c r="C116" s="4">
        <f>VLOOKUP($B116,'Data shares'!$C:$FB,7)</f>
        <v>484.85</v>
      </c>
      <c r="D116" s="82">
        <f>VLOOKUP($B116,'Data shares'!$C:$FB,98)</f>
        <v>53584700</v>
      </c>
      <c r="E116" s="165">
        <f>VLOOKUP(B116,'Snapshot (Volume)'!$A$7:$G$168,7,0)</f>
        <v>53239250</v>
      </c>
      <c r="F116" s="165">
        <f t="shared" si="40"/>
        <v>345450</v>
      </c>
      <c r="G116" s="166">
        <f t="shared" si="41"/>
        <v>6.4886338556610018E-3</v>
      </c>
      <c r="H116" s="165">
        <f>VLOOKUP($B116,'Data shares'!$C:$FB,66)</f>
        <v>12520800</v>
      </c>
      <c r="I116" s="165">
        <f>VLOOKUP($B116,'Data shares'!$C:$FB,67)</f>
        <v>13859125</v>
      </c>
      <c r="J116" s="81">
        <f t="shared" si="42"/>
        <v>-9.6566341670199236</v>
      </c>
      <c r="K116" s="5">
        <f>VLOOKUP($B116,'Data Vlaue (Cr)'!$C:$FB,99)</f>
        <v>2613</v>
      </c>
      <c r="L116" s="81">
        <f>VLOOKUP(B116,'OI(Value)'!$A$7:$C$209,3,0)</f>
        <v>17</v>
      </c>
      <c r="M116" s="33">
        <f t="shared" si="31"/>
        <v>0.65059318790662068</v>
      </c>
      <c r="N116" s="5">
        <f>VLOOKUP($B116,'Data Vlaue (Cr)'!$C:$FB,67)</f>
        <v>611</v>
      </c>
      <c r="O116" s="5">
        <f>VLOOKUP($B116,'Data Vlaue (Cr)'!$C:$FB,68)</f>
        <v>676</v>
      </c>
      <c r="P116" s="5">
        <f t="shared" si="43"/>
        <v>-10.638297872340425</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Capital_Goods</v>
      </c>
      <c r="B117" s="79" t="str">
        <f>'Data shares'!C112</f>
        <v>KAYNES</v>
      </c>
      <c r="C117" s="4">
        <f>VLOOKUP($B117,'Data shares'!$C:$FB,7)</f>
        <v>7102</v>
      </c>
      <c r="D117" s="82">
        <f>VLOOKUP($B117,'Data shares'!$C:$FB,98)</f>
        <v>3731600</v>
      </c>
      <c r="E117" s="165">
        <f>VLOOKUP(B117,'Snapshot (Volume)'!$A$7:$G$168,7,0)</f>
        <v>3644900</v>
      </c>
      <c r="F117" s="165">
        <f t="shared" si="40"/>
        <v>86700</v>
      </c>
      <c r="G117" s="166">
        <f t="shared" si="41"/>
        <v>2.3786660813739747E-2</v>
      </c>
      <c r="H117" s="165">
        <f>VLOOKUP($B117,'Data shares'!$C:$FB,66)</f>
        <v>2921800</v>
      </c>
      <c r="I117" s="165">
        <f>VLOOKUP($B117,'Data shares'!$C:$FB,67)</f>
        <v>6016500</v>
      </c>
      <c r="J117" s="81">
        <f t="shared" si="42"/>
        <v>-51.436881908086093</v>
      </c>
      <c r="K117" s="5">
        <f>VLOOKUP($B117,'Data Vlaue (Cr)'!$C:$FB,99)</f>
        <v>2665</v>
      </c>
      <c r="L117" s="81">
        <f>VLOOKUP(B117,'OI(Value)'!$A$7:$C$209,3,0)</f>
        <v>62</v>
      </c>
      <c r="M117" s="33">
        <f t="shared" si="31"/>
        <v>2.3264540337711073</v>
      </c>
      <c r="N117" s="5">
        <f>VLOOKUP($B117,'Data Vlaue (Cr)'!$C:$FB,67)</f>
        <v>2086</v>
      </c>
      <c r="O117" s="5">
        <f>VLOOKUP($B117,'Data Vlaue (Cr)'!$C:$FB,68)</f>
        <v>4296</v>
      </c>
      <c r="P117" s="5">
        <f t="shared" si="43"/>
        <v>-105.94439117929051</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Power</v>
      </c>
      <c r="B118" s="79" t="str">
        <f>'Data shares'!C113</f>
        <v>KEI</v>
      </c>
      <c r="C118" s="4">
        <f>VLOOKUP($B118,'Data shares'!$C:$FB,7)</f>
        <v>4278.2</v>
      </c>
      <c r="D118" s="82">
        <f>VLOOKUP($B118,'Data shares'!$C:$FB,98)</f>
        <v>2115225</v>
      </c>
      <c r="E118" s="165">
        <f>VLOOKUP(B118,'Snapshot (Volume)'!$A$7:$G$168,7,0)</f>
        <v>2131850</v>
      </c>
      <c r="F118" s="165">
        <f t="shared" si="40"/>
        <v>-16625</v>
      </c>
      <c r="G118" s="166">
        <f t="shared" si="41"/>
        <v>-7.798391068790018E-3</v>
      </c>
      <c r="H118" s="165">
        <f>VLOOKUP($B118,'Data shares'!$C:$FB,66)</f>
        <v>1536325</v>
      </c>
      <c r="I118" s="165">
        <f>VLOOKUP($B118,'Data shares'!$C:$FB,67)</f>
        <v>1566775</v>
      </c>
      <c r="J118" s="81">
        <f t="shared" si="42"/>
        <v>-1.9434826315201608</v>
      </c>
      <c r="K118" s="5">
        <f>VLOOKUP($B118,'Data Vlaue (Cr)'!$C:$FB,99)</f>
        <v>908</v>
      </c>
      <c r="L118" s="81">
        <f>VLOOKUP(B118,'OI(Value)'!$A$7:$C$209,3,0)</f>
        <v>-7</v>
      </c>
      <c r="M118" s="33">
        <f t="shared" si="31"/>
        <v>-0.77092511013215859</v>
      </c>
      <c r="N118" s="5">
        <f>VLOOKUP($B118,'Data Vlaue (Cr)'!$C:$FB,67)</f>
        <v>660</v>
      </c>
      <c r="O118" s="5">
        <f>VLOOKUP($B118,'Data Vlaue (Cr)'!$C:$FB,68)</f>
        <v>673</v>
      </c>
      <c r="P118" s="5">
        <f t="shared" si="43"/>
        <v>-1.9696969696969695</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KFINTECH</v>
      </c>
      <c r="C119" s="4">
        <f>VLOOKUP($B119,'Data shares'!$C:$FB,7)</f>
        <v>1072.5</v>
      </c>
      <c r="D119" s="82">
        <f>VLOOKUP($B119,'Data shares'!$C:$FB,98)</f>
        <v>4368600</v>
      </c>
      <c r="E119" s="165">
        <f>VLOOKUP(B119,'Snapshot (Volume)'!$A$7:$G$168,7,0)</f>
        <v>4477500</v>
      </c>
      <c r="F119" s="165">
        <f t="shared" si="40"/>
        <v>-108900</v>
      </c>
      <c r="G119" s="166">
        <f t="shared" si="41"/>
        <v>-2.4321608040201004E-2</v>
      </c>
      <c r="H119" s="165">
        <f>VLOOKUP($B119,'Data shares'!$C:$FB,66)</f>
        <v>4754700</v>
      </c>
      <c r="I119" s="165">
        <f>VLOOKUP($B119,'Data shares'!$C:$FB,67)</f>
        <v>1723500</v>
      </c>
      <c r="J119" s="81">
        <f t="shared" si="42"/>
        <v>175.87467362924284</v>
      </c>
      <c r="K119" s="5">
        <f>VLOOKUP($B119,'Data Vlaue (Cr)'!$C:$FB,99)</f>
        <v>471</v>
      </c>
      <c r="L119" s="81">
        <f>VLOOKUP(B119,'OI(Value)'!$A$7:$C$209,3,0)</f>
        <v>-12</v>
      </c>
      <c r="M119" s="33">
        <f t="shared" si="31"/>
        <v>-2.547770700636943</v>
      </c>
      <c r="N119" s="5">
        <f>VLOOKUP($B119,'Data Vlaue (Cr)'!$C:$FB,67)</f>
        <v>513</v>
      </c>
      <c r="O119" s="5">
        <f>VLOOKUP($B119,'Data Vlaue (Cr)'!$C:$FB,68)</f>
        <v>186</v>
      </c>
      <c r="P119" s="5">
        <f t="shared" si="43"/>
        <v>63.742690058479532</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Banking</v>
      </c>
      <c r="B120" s="79" t="str">
        <f>'Data shares'!C115</f>
        <v>KOTAKBANK</v>
      </c>
      <c r="C120" s="4">
        <f>VLOOKUP($B120,'Data shares'!$C:$FB,7)</f>
        <v>2150.1</v>
      </c>
      <c r="D120" s="82">
        <f>VLOOKUP($B120,'Data shares'!$C:$FB,98)</f>
        <v>51139600</v>
      </c>
      <c r="E120" s="165">
        <f>VLOOKUP(B120,'Snapshot (Volume)'!$A$7:$G$168,7,0)</f>
        <v>51191200</v>
      </c>
      <c r="F120" s="165">
        <f t="shared" si="40"/>
        <v>-51600</v>
      </c>
      <c r="G120" s="166">
        <f t="shared" si="41"/>
        <v>-1.0079857475503602E-3</v>
      </c>
      <c r="H120" s="165">
        <f>VLOOKUP($B120,'Data shares'!$C:$FB,66)</f>
        <v>18118400</v>
      </c>
      <c r="I120" s="165">
        <f>VLOOKUP($B120,'Data shares'!$C:$FB,67)</f>
        <v>26789200</v>
      </c>
      <c r="J120" s="81">
        <f t="shared" si="42"/>
        <v>-32.36677467038956</v>
      </c>
      <c r="K120" s="5">
        <f>VLOOKUP($B120,'Data Vlaue (Cr)'!$C:$FB,99)</f>
        <v>11026</v>
      </c>
      <c r="L120" s="81">
        <f>VLOOKUP(B120,'OI(Value)'!$A$7:$C$209,3,0)</f>
        <v>-11</v>
      </c>
      <c r="M120" s="33">
        <f t="shared" si="31"/>
        <v>-9.9764193723925268E-2</v>
      </c>
      <c r="N120" s="5">
        <f>VLOOKUP($B120,'Data Vlaue (Cr)'!$C:$FB,67)</f>
        <v>3906</v>
      </c>
      <c r="O120" s="5">
        <f>VLOOKUP($B120,'Data Vlaue (Cr)'!$C:$FB,68)</f>
        <v>5776</v>
      </c>
      <c r="P120" s="5">
        <f t="shared" si="43"/>
        <v>-47.875064004096259</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Technology</v>
      </c>
      <c r="B121" s="79" t="str">
        <f>'Data shares'!C116</f>
        <v>KPITTECH</v>
      </c>
      <c r="C121" s="4">
        <f>VLOOKUP($B121,'Data shares'!$C:$FB,7)</f>
        <v>1154.0999999999999</v>
      </c>
      <c r="D121" s="82">
        <f>VLOOKUP($B121,'Data shares'!$C:$FB,98)</f>
        <v>10459200</v>
      </c>
      <c r="E121" s="165">
        <f>VLOOKUP(B121,'Snapshot (Volume)'!$A$7:$G$168,7,0)</f>
        <v>10233600</v>
      </c>
      <c r="F121" s="165">
        <f t="shared" si="40"/>
        <v>225600</v>
      </c>
      <c r="G121" s="166">
        <f t="shared" si="41"/>
        <v>2.2045028142589119E-2</v>
      </c>
      <c r="H121" s="165">
        <f>VLOOKUP($B121,'Data shares'!$C:$FB,66)</f>
        <v>5262800</v>
      </c>
      <c r="I121" s="165">
        <f>VLOOKUP($B121,'Data shares'!$C:$FB,67)</f>
        <v>3068000</v>
      </c>
      <c r="J121" s="81">
        <f t="shared" si="42"/>
        <v>71.538461538461533</v>
      </c>
      <c r="K121" s="5">
        <f>VLOOKUP($B121,'Data Vlaue (Cr)'!$C:$FB,99)</f>
        <v>1208</v>
      </c>
      <c r="L121" s="81">
        <f>VLOOKUP(B121,'OI(Value)'!$A$7:$C$209,3,0)</f>
        <v>26</v>
      </c>
      <c r="M121" s="33">
        <f t="shared" si="31"/>
        <v>2.1523178807947021</v>
      </c>
      <c r="N121" s="5">
        <f>VLOOKUP($B121,'Data Vlaue (Cr)'!$C:$FB,67)</f>
        <v>608</v>
      </c>
      <c r="O121" s="5">
        <f>VLOOKUP($B121,'Data Vlaue (Cr)'!$C:$FB,68)</f>
        <v>354</v>
      </c>
      <c r="P121" s="5">
        <f t="shared" si="43"/>
        <v>41.776315789473685</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Pharma</v>
      </c>
      <c r="B122" s="79" t="str">
        <f>'Data shares'!C117</f>
        <v>LAURUSLABS</v>
      </c>
      <c r="C122" s="4">
        <f>VLOOKUP($B122,'Data shares'!$C:$FB,7)</f>
        <v>876.75</v>
      </c>
      <c r="D122" s="82">
        <f>VLOOKUP($B122,'Data shares'!$C:$FB,98)</f>
        <v>42552700</v>
      </c>
      <c r="E122" s="165">
        <f>VLOOKUP(B122,'Snapshot (Volume)'!$A$7:$G$168,7,0)</f>
        <v>39559000</v>
      </c>
      <c r="F122" s="165">
        <f t="shared" si="40"/>
        <v>2993700</v>
      </c>
      <c r="G122" s="166">
        <f t="shared" si="41"/>
        <v>7.5676837129351096E-2</v>
      </c>
      <c r="H122" s="165">
        <f>VLOOKUP($B122,'Data shares'!$C:$FB,66)</f>
        <v>69208700</v>
      </c>
      <c r="I122" s="165">
        <f>VLOOKUP($B122,'Data shares'!$C:$FB,67)</f>
        <v>35054000</v>
      </c>
      <c r="J122" s="81">
        <f t="shared" si="42"/>
        <v>97.434529582929201</v>
      </c>
      <c r="K122" s="5">
        <f>VLOOKUP($B122,'Data Vlaue (Cr)'!$C:$FB,99)</f>
        <v>3748</v>
      </c>
      <c r="L122" s="81">
        <f>VLOOKUP(B122,'OI(Value)'!$A$7:$C$209,3,0)</f>
        <v>264</v>
      </c>
      <c r="M122" s="33">
        <f t="shared" si="31"/>
        <v>7.043756670224119</v>
      </c>
      <c r="N122" s="5">
        <f>VLOOKUP($B122,'Data Vlaue (Cr)'!$C:$FB,67)</f>
        <v>6096</v>
      </c>
      <c r="O122" s="5">
        <f>VLOOKUP($B122,'Data Vlaue (Cr)'!$C:$FB,68)</f>
        <v>3088</v>
      </c>
      <c r="P122" s="5">
        <f t="shared" si="43"/>
        <v>49.343832020997375</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LICHSGFIN</v>
      </c>
      <c r="C123" s="4">
        <f>VLOOKUP($B123,'Data shares'!$C:$FB,7)</f>
        <v>568.45000000000005</v>
      </c>
      <c r="D123" s="82">
        <f>VLOOKUP($B123,'Data shares'!$C:$FB,98)</f>
        <v>48038000</v>
      </c>
      <c r="E123" s="165">
        <f>VLOOKUP(B123,'Snapshot (Volume)'!$A$7:$G$168,7,0)</f>
        <v>47921000</v>
      </c>
      <c r="F123" s="165">
        <f t="shared" si="40"/>
        <v>117000</v>
      </c>
      <c r="G123" s="166">
        <f t="shared" si="41"/>
        <v>2.4415183322551702E-3</v>
      </c>
      <c r="H123" s="165">
        <f>VLOOKUP($B123,'Data shares'!$C:$FB,66)</f>
        <v>11033000</v>
      </c>
      <c r="I123" s="165">
        <f>VLOOKUP($B123,'Data shares'!$C:$FB,67)</f>
        <v>7968000</v>
      </c>
      <c r="J123" s="81">
        <f t="shared" si="42"/>
        <v>38.466365461847388</v>
      </c>
      <c r="K123" s="5">
        <f>VLOOKUP($B123,'Data Vlaue (Cr)'!$C:$FB,99)</f>
        <v>2740</v>
      </c>
      <c r="L123" s="81">
        <f>VLOOKUP(B123,'OI(Value)'!$A$7:$C$209,3,0)</f>
        <v>7</v>
      </c>
      <c r="M123" s="33">
        <f t="shared" ref="M123:M144" si="44">L123/K123*100</f>
        <v>0.25547445255474455</v>
      </c>
      <c r="N123" s="5">
        <f>VLOOKUP($B123,'Data Vlaue (Cr)'!$C:$FB,67)</f>
        <v>629</v>
      </c>
      <c r="O123" s="5">
        <f>VLOOKUP($B123,'Data Vlaue (Cr)'!$C:$FB,68)</f>
        <v>454</v>
      </c>
      <c r="P123" s="5">
        <f t="shared" si="43"/>
        <v>27.821939586645467</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Finance</v>
      </c>
      <c r="B124" s="79" t="str">
        <f>'Data shares'!C119</f>
        <v>LICI</v>
      </c>
      <c r="C124" s="4">
        <f>VLOOKUP($B124,'Data shares'!$C:$FB,7)</f>
        <v>897.8</v>
      </c>
      <c r="D124" s="82">
        <f>VLOOKUP($B124,'Data shares'!$C:$FB,98)</f>
        <v>14641900</v>
      </c>
      <c r="E124" s="165">
        <f>VLOOKUP(B124,'Snapshot (Volume)'!$A$7:$G$168,7,0)</f>
        <v>14452900</v>
      </c>
      <c r="F124" s="165">
        <f t="shared" si="40"/>
        <v>189000</v>
      </c>
      <c r="G124" s="166">
        <f t="shared" si="41"/>
        <v>1.3076960333220323E-2</v>
      </c>
      <c r="H124" s="165">
        <f>VLOOKUP($B124,'Data shares'!$C:$FB,66)</f>
        <v>5658100</v>
      </c>
      <c r="I124" s="165">
        <f>VLOOKUP($B124,'Data shares'!$C:$FB,67)</f>
        <v>4306400</v>
      </c>
      <c r="J124" s="81">
        <f t="shared" si="42"/>
        <v>31.388166449934978</v>
      </c>
      <c r="K124" s="5">
        <f>VLOOKUP($B124,'Data Vlaue (Cr)'!$C:$FB,99)</f>
        <v>1321</v>
      </c>
      <c r="L124" s="81">
        <f>VLOOKUP(B124,'OI(Value)'!$A$7:$C$209,3,0)</f>
        <v>17</v>
      </c>
      <c r="M124" s="33">
        <f t="shared" si="44"/>
        <v>1.2869038607115821</v>
      </c>
      <c r="N124" s="5">
        <f>VLOOKUP($B124,'Data Vlaue (Cr)'!$C:$FB,67)</f>
        <v>511</v>
      </c>
      <c r="O124" s="5">
        <f>VLOOKUP($B124,'Data Vlaue (Cr)'!$C:$FB,68)</f>
        <v>389</v>
      </c>
      <c r="P124" s="5">
        <f t="shared" si="43"/>
        <v>23.874755381604697</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Realty</v>
      </c>
      <c r="B125" s="79" t="str">
        <f>'Data shares'!C120</f>
        <v>LODHA</v>
      </c>
      <c r="C125" s="4">
        <f>VLOOKUP($B125,'Data shares'!$C:$FB,7)</f>
        <v>1155.9000000000001</v>
      </c>
      <c r="D125" s="82">
        <f>VLOOKUP($B125,'Data shares'!$C:$FB,98)</f>
        <v>18088650</v>
      </c>
      <c r="E125" s="165">
        <f>VLOOKUP(B125,'Snapshot (Volume)'!$A$7:$G$168,7,0)</f>
        <v>18191250</v>
      </c>
      <c r="F125" s="165">
        <f t="shared" si="40"/>
        <v>-102600</v>
      </c>
      <c r="G125" s="166">
        <f t="shared" si="41"/>
        <v>-5.6400742115027833E-3</v>
      </c>
      <c r="H125" s="165">
        <f>VLOOKUP($B125,'Data shares'!$C:$FB,66)</f>
        <v>9408150</v>
      </c>
      <c r="I125" s="165">
        <f>VLOOKUP($B125,'Data shares'!$C:$FB,67)</f>
        <v>6088050</v>
      </c>
      <c r="J125" s="81">
        <f t="shared" si="42"/>
        <v>54.534703230098302</v>
      </c>
      <c r="K125" s="5">
        <f>VLOOKUP($B125,'Data Vlaue (Cr)'!$C:$FB,99)</f>
        <v>2098</v>
      </c>
      <c r="L125" s="81">
        <f>VLOOKUP(B125,'OI(Value)'!$A$7:$C$209,3,0)</f>
        <v>-12</v>
      </c>
      <c r="M125" s="33">
        <f t="shared" si="44"/>
        <v>-0.57197330791229739</v>
      </c>
      <c r="N125" s="5">
        <f>VLOOKUP($B125,'Data Vlaue (Cr)'!$C:$FB,67)</f>
        <v>1091</v>
      </c>
      <c r="O125" s="5">
        <f>VLOOKUP($B125,'Data Vlaue (Cr)'!$C:$FB,68)</f>
        <v>706</v>
      </c>
      <c r="P125" s="5">
        <f t="shared" si="43"/>
        <v>35.288725939505042</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Capital_Goods</v>
      </c>
      <c r="B126" s="79" t="str">
        <f>'Data shares'!C121</f>
        <v>LT</v>
      </c>
      <c r="C126" s="4">
        <f>VLOOKUP($B126,'Data shares'!$C:$FB,7)</f>
        <v>3784</v>
      </c>
      <c r="D126" s="82">
        <f>VLOOKUP($B126,'Data shares'!$C:$FB,98)</f>
        <v>25457250</v>
      </c>
      <c r="E126" s="165">
        <f>VLOOKUP(B126,'Snapshot (Volume)'!$A$7:$G$168,7,0)</f>
        <v>24868900</v>
      </c>
      <c r="F126" s="165">
        <f t="shared" si="40"/>
        <v>588350</v>
      </c>
      <c r="G126" s="166">
        <f t="shared" si="41"/>
        <v>2.3658062881751908E-2</v>
      </c>
      <c r="H126" s="165">
        <f>VLOOKUP($B126,'Data shares'!$C:$FB,66)</f>
        <v>13773725</v>
      </c>
      <c r="I126" s="165">
        <f>VLOOKUP($B126,'Data shares'!$C:$FB,67)</f>
        <v>17532550</v>
      </c>
      <c r="J126" s="81">
        <f t="shared" si="42"/>
        <v>-21.439123230790731</v>
      </c>
      <c r="K126" s="5">
        <f>VLOOKUP($B126,'Data Vlaue (Cr)'!$C:$FB,99)</f>
        <v>9684</v>
      </c>
      <c r="L126" s="81">
        <f>VLOOKUP(B126,'OI(Value)'!$A$7:$C$209,3,0)</f>
        <v>224</v>
      </c>
      <c r="M126" s="33">
        <f t="shared" si="44"/>
        <v>2.3130937629078896</v>
      </c>
      <c r="N126" s="5">
        <f>VLOOKUP($B126,'Data Vlaue (Cr)'!$C:$FB,67)</f>
        <v>5240</v>
      </c>
      <c r="O126" s="5">
        <f>VLOOKUP($B126,'Data Vlaue (Cr)'!$C:$FB,68)</f>
        <v>6670</v>
      </c>
      <c r="P126" s="5">
        <f t="shared" si="43"/>
        <v>-27.29007633587786</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Finance</v>
      </c>
      <c r="B127" s="79" t="str">
        <f>'Data shares'!C122</f>
        <v>LTF</v>
      </c>
      <c r="C127" s="4">
        <f>VLOOKUP($B127,'Data shares'!$C:$FB,7)</f>
        <v>256.04000000000002</v>
      </c>
      <c r="D127" s="82">
        <f>VLOOKUP($B127,'Data shares'!$C:$FB,98)</f>
        <v>101608664</v>
      </c>
      <c r="E127" s="165">
        <f>VLOOKUP(B127,'Snapshot (Volume)'!$A$7:$G$168,7,0)</f>
        <v>98864534</v>
      </c>
      <c r="F127" s="165">
        <f>D127-E127</f>
        <v>2744130</v>
      </c>
      <c r="G127" s="166">
        <f>F127/E127</f>
        <v>2.7756465225436656E-2</v>
      </c>
      <c r="H127" s="165">
        <f>VLOOKUP($B127,'Data shares'!$C:$FB,66)</f>
        <v>68112430</v>
      </c>
      <c r="I127" s="165">
        <f>VLOOKUP($B127,'Data shares'!$C:$FB,67)</f>
        <v>41175336</v>
      </c>
      <c r="J127" s="81">
        <f>(H127-I127)/I127*100</f>
        <v>65.420459471174681</v>
      </c>
      <c r="K127" s="5">
        <f>VLOOKUP($B127,'Data Vlaue (Cr)'!$C:$FB,99)</f>
        <v>2612</v>
      </c>
      <c r="L127" s="81">
        <f>VLOOKUP(B127,'OI(Value)'!$A$7:$C$209,3,0)</f>
        <v>71</v>
      </c>
      <c r="M127" s="33">
        <f t="shared" si="44"/>
        <v>2.7182235834609494</v>
      </c>
      <c r="N127" s="5">
        <f>VLOOKUP($B127,'Data Vlaue (Cr)'!$C:$FB,67)</f>
        <v>1751</v>
      </c>
      <c r="O127" s="5">
        <f>VLOOKUP($B127,'Data Vlaue (Cr)'!$C:$FB,68)</f>
        <v>1058</v>
      </c>
      <c r="P127" s="5">
        <f>(N127-O127)/N127*100</f>
        <v>39.577384351798969</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Technology</v>
      </c>
      <c r="B128" s="79" t="str">
        <f>'Data shares'!C123</f>
        <v>LTIM</v>
      </c>
      <c r="C128" s="4">
        <f>VLOOKUP($B128,'Data shares'!$C:$FB,7)</f>
        <v>5471.5</v>
      </c>
      <c r="D128" s="82">
        <f>VLOOKUP($B128,'Data shares'!$C:$FB,98)</f>
        <v>4181400</v>
      </c>
      <c r="E128" s="165">
        <f>VLOOKUP(B128,'Snapshot (Volume)'!$A$7:$G$168,7,0)</f>
        <v>4060650</v>
      </c>
      <c r="F128" s="165">
        <f>D128-E128</f>
        <v>120750</v>
      </c>
      <c r="G128" s="166">
        <f>F128/E128</f>
        <v>2.9736618521665252E-2</v>
      </c>
      <c r="H128" s="165">
        <f>VLOOKUP($B128,'Data shares'!$C:$FB,66)</f>
        <v>3911250</v>
      </c>
      <c r="I128" s="165">
        <f>VLOOKUP($B128,'Data shares'!$C:$FB,67)</f>
        <v>3083250</v>
      </c>
      <c r="J128" s="81">
        <f>(H128-I128)/I128*100</f>
        <v>26.854779858915105</v>
      </c>
      <c r="K128" s="5">
        <f>VLOOKUP($B128,'Data Vlaue (Cr)'!$C:$FB,99)</f>
        <v>2292</v>
      </c>
      <c r="L128" s="81">
        <f>VLOOKUP(B128,'OI(Value)'!$A$7:$C$209,3,0)</f>
        <v>66</v>
      </c>
      <c r="M128" s="33">
        <f t="shared" si="44"/>
        <v>2.8795811518324608</v>
      </c>
      <c r="N128" s="5">
        <f>VLOOKUP($B128,'Data Vlaue (Cr)'!$C:$FB,67)</f>
        <v>2144</v>
      </c>
      <c r="O128" s="5">
        <f>VLOOKUP($B128,'Data Vlaue (Cr)'!$C:$FB,68)</f>
        <v>1690</v>
      </c>
      <c r="P128" s="5">
        <f>(N128-O128)/N128*100</f>
        <v>21.175373134328357</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Pharma</v>
      </c>
      <c r="B129" s="79" t="str">
        <f>'Data shares'!C124</f>
        <v>LUPIN</v>
      </c>
      <c r="C129" s="4">
        <f>VLOOKUP($B129,'Data shares'!$C:$FB,7)</f>
        <v>1959.3</v>
      </c>
      <c r="D129" s="82">
        <f>VLOOKUP($B129,'Data shares'!$C:$FB,98)</f>
        <v>16891200</v>
      </c>
      <c r="E129" s="165">
        <f>VLOOKUP(B129,'Snapshot (Volume)'!$A$7:$G$168,7,0)</f>
        <v>16978325</v>
      </c>
      <c r="F129" s="165">
        <f>D129-E129</f>
        <v>-87125</v>
      </c>
      <c r="G129" s="166">
        <f>F129/E129</f>
        <v>-5.1315427169641289E-3</v>
      </c>
      <c r="H129" s="165">
        <f>VLOOKUP($B129,'Data shares'!$C:$FB,66)</f>
        <v>12055125</v>
      </c>
      <c r="I129" s="165">
        <f>VLOOKUP($B129,'Data shares'!$C:$FB,67)</f>
        <v>30789550</v>
      </c>
      <c r="J129" s="81">
        <f>(H129-I129)/I129*100</f>
        <v>-60.846699610744558</v>
      </c>
      <c r="K129" s="5">
        <f>VLOOKUP($B129,'Data Vlaue (Cr)'!$C:$FB,99)</f>
        <v>3327</v>
      </c>
      <c r="L129" s="81">
        <f>VLOOKUP(B129,'OI(Value)'!$A$7:$C$209,3,0)</f>
        <v>-17</v>
      </c>
      <c r="M129" s="33">
        <f t="shared" si="44"/>
        <v>-0.51097084460474895</v>
      </c>
      <c r="N129" s="5">
        <f>VLOOKUP($B129,'Data Vlaue (Cr)'!$C:$FB,67)</f>
        <v>2375</v>
      </c>
      <c r="O129" s="5">
        <f>VLOOKUP($B129,'Data Vlaue (Cr)'!$C:$FB,68)</f>
        <v>6065</v>
      </c>
      <c r="P129" s="5">
        <f>(N129-O129)/N129*100</f>
        <v>-155.36842105263159</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Automobile</v>
      </c>
      <c r="B130" s="79" t="str">
        <f>'Data shares'!C125</f>
        <v>M&amp;M</v>
      </c>
      <c r="C130" s="4">
        <f>VLOOKUP($B130,'Data shares'!$C:$FB,7)</f>
        <v>3454.9</v>
      </c>
      <c r="D130" s="82">
        <f>VLOOKUP($B130,'Data shares'!$C:$FB,98)</f>
        <v>29538800</v>
      </c>
      <c r="E130" s="165">
        <f>VLOOKUP(B130,'Snapshot (Volume)'!$A$7:$G$168,7,0)</f>
        <v>29254400</v>
      </c>
      <c r="F130" s="165">
        <f>D130-E130</f>
        <v>284400</v>
      </c>
      <c r="G130" s="166">
        <f>F130/E130</f>
        <v>9.7216145263618464E-3</v>
      </c>
      <c r="H130" s="165">
        <f>VLOOKUP($B130,'Data shares'!$C:$FB,66)</f>
        <v>11479800</v>
      </c>
      <c r="I130" s="165">
        <f>VLOOKUP($B130,'Data shares'!$C:$FB,67)</f>
        <v>11759600</v>
      </c>
      <c r="J130" s="81">
        <f>(H130-I130)/I130*100</f>
        <v>-2.3793326303615769</v>
      </c>
      <c r="K130" s="5">
        <f>VLOOKUP($B130,'Data Vlaue (Cr)'!$C:$FB,99)</f>
        <v>10259</v>
      </c>
      <c r="L130" s="81">
        <f>VLOOKUP(B130,'OI(Value)'!$A$7:$C$209,3,0)</f>
        <v>99</v>
      </c>
      <c r="M130" s="33">
        <f t="shared" si="44"/>
        <v>0.96500633590018514</v>
      </c>
      <c r="N130" s="5">
        <f>VLOOKUP($B130,'Data Vlaue (Cr)'!$C:$FB,67)</f>
        <v>3987</v>
      </c>
      <c r="O130" s="5">
        <f>VLOOKUP($B130,'Data Vlaue (Cr)'!$C:$FB,68)</f>
        <v>4084</v>
      </c>
      <c r="P130" s="5">
        <f>(N130-O130)/N130*100</f>
        <v>-2.4329069475796339</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MANAPPURAM</v>
      </c>
      <c r="C131" s="4">
        <f>VLOOKUP($B131,'Data shares'!$C:$FB,7)</f>
        <v>284.75</v>
      </c>
      <c r="D131" s="82">
        <f>VLOOKUP($B131,'Data shares'!$C:$FB,98)</f>
        <v>49566000</v>
      </c>
      <c r="E131" s="165">
        <f>VLOOKUP(B131,'Snapshot (Volume)'!$A$7:$G$168,7,0)</f>
        <v>43380000</v>
      </c>
      <c r="F131" s="165">
        <f>D131-E131</f>
        <v>6186000</v>
      </c>
      <c r="G131" s="166">
        <f>F131/E131</f>
        <v>0.14260027662517288</v>
      </c>
      <c r="H131" s="165">
        <f>VLOOKUP($B131,'Data shares'!$C:$FB,66)</f>
        <v>50283000</v>
      </c>
      <c r="I131" s="165">
        <f>VLOOKUP($B131,'Data shares'!$C:$FB,67)</f>
        <v>18456000</v>
      </c>
      <c r="J131" s="81">
        <f>(H131-I131)/I131*100</f>
        <v>172.4479843953186</v>
      </c>
      <c r="K131" s="5">
        <f>VLOOKUP($B131,'Data Vlaue (Cr)'!$C:$FB,99)</f>
        <v>1420</v>
      </c>
      <c r="L131" s="81">
        <f>VLOOKUP(B131,'OI(Value)'!$A$7:$C$209,3,0)</f>
        <v>177</v>
      </c>
      <c r="M131" s="33">
        <f t="shared" si="44"/>
        <v>12.464788732394366</v>
      </c>
      <c r="N131" s="5">
        <f>VLOOKUP($B131,'Data Vlaue (Cr)'!$C:$FB,67)</f>
        <v>1440</v>
      </c>
      <c r="O131" s="5">
        <f>VLOOKUP($B131,'Data Vlaue (Cr)'!$C:$FB,68)</f>
        <v>529</v>
      </c>
      <c r="P131" s="5">
        <f>(N131-O131)/N131*100</f>
        <v>63.263888888888886</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Pharma</v>
      </c>
      <c r="B132" s="79" t="str">
        <f>'Data shares'!C127</f>
        <v>MANKIND</v>
      </c>
      <c r="C132" s="79">
        <f>VLOOKUP($B132,'Data shares'!$C:$FB,7)</f>
        <v>2459.9</v>
      </c>
      <c r="D132" s="165">
        <f>VLOOKUP($B132,'Data shares'!$C:$FB,98)</f>
        <v>2727900</v>
      </c>
      <c r="E132" s="165">
        <f>VLOOKUP(B132,'Snapshot (Volume)'!$A$7:$G$168,7,0)</f>
        <v>2578275</v>
      </c>
      <c r="F132" s="165">
        <f t="shared" ref="F132:F139" si="45">D132-E132</f>
        <v>149625</v>
      </c>
      <c r="G132" s="166">
        <f t="shared" ref="G132:G139" si="46">F132/E132</f>
        <v>5.8032987171655469E-2</v>
      </c>
      <c r="H132" s="165">
        <f>VLOOKUP($B132,'Data shares'!$C:$FB,66)</f>
        <v>1429650</v>
      </c>
      <c r="I132" s="165">
        <f>VLOOKUP($B132,'Data shares'!$C:$FB,67)</f>
        <v>949950</v>
      </c>
      <c r="J132" s="81">
        <f t="shared" ref="J132:J139" si="47">(H132-I132)/I132*100</f>
        <v>50.497394599715776</v>
      </c>
      <c r="K132" s="81">
        <f>VLOOKUP($B132,'Data Vlaue (Cr)'!$C:$FB,99)</f>
        <v>672</v>
      </c>
      <c r="L132" s="81">
        <f>VLOOKUP(B132,'OI(Value)'!$A$7:$C$209,3,0)</f>
        <v>37</v>
      </c>
      <c r="M132" s="81">
        <f t="shared" si="44"/>
        <v>5.5059523809523805</v>
      </c>
      <c r="N132" s="81">
        <f>VLOOKUP($B132,'Data Vlaue (Cr)'!$C:$FB,67)</f>
        <v>352</v>
      </c>
      <c r="O132" s="81">
        <f>VLOOKUP($B132,'Data Vlaue (Cr)'!$C:$FB,68)</f>
        <v>234</v>
      </c>
      <c r="P132" s="81">
        <f t="shared" ref="P132:P139" si="48">(N132-O132)/N132*100</f>
        <v>33.522727272727273</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FMCG</v>
      </c>
      <c r="B133" s="79" t="str">
        <f>'Data shares'!C128</f>
        <v>MARICO</v>
      </c>
      <c r="C133" s="79">
        <f>VLOOKUP($B133,'Data shares'!$C:$FB,7)</f>
        <v>714.3</v>
      </c>
      <c r="D133" s="165">
        <f>VLOOKUP($B133,'Data shares'!$C:$FB,98)</f>
        <v>33824400</v>
      </c>
      <c r="E133" s="165">
        <f>VLOOKUP(B133,'Snapshot (Volume)'!$A$7:$G$168,7,0)</f>
        <v>34164000</v>
      </c>
      <c r="F133" s="165">
        <f t="shared" si="45"/>
        <v>-339600</v>
      </c>
      <c r="G133" s="166">
        <f t="shared" si="46"/>
        <v>-9.940288022479803E-3</v>
      </c>
      <c r="H133" s="165">
        <f>VLOOKUP($B133,'Data shares'!$C:$FB,66)</f>
        <v>5310000</v>
      </c>
      <c r="I133" s="165">
        <f>VLOOKUP($B133,'Data shares'!$C:$FB,67)</f>
        <v>7302000</v>
      </c>
      <c r="J133" s="81">
        <f t="shared" si="47"/>
        <v>-27.280197206244868</v>
      </c>
      <c r="K133" s="81">
        <f>VLOOKUP($B133,'Data Vlaue (Cr)'!$C:$FB,99)</f>
        <v>2429</v>
      </c>
      <c r="L133" s="81">
        <f>VLOOKUP(B133,'OI(Value)'!$A$7:$C$209,3,0)</f>
        <v>-24</v>
      </c>
      <c r="M133" s="81">
        <f t="shared" si="44"/>
        <v>-0.98806093042404286</v>
      </c>
      <c r="N133" s="81">
        <f>VLOOKUP($B133,'Data Vlaue (Cr)'!$C:$FB,67)</f>
        <v>381</v>
      </c>
      <c r="O133" s="81">
        <f>VLOOKUP($B133,'Data Vlaue (Cr)'!$C:$FB,68)</f>
        <v>524</v>
      </c>
      <c r="P133" s="81">
        <f t="shared" si="48"/>
        <v>-37.532808398950131</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Automobile</v>
      </c>
      <c r="B134" s="79" t="str">
        <f>'Data shares'!C129</f>
        <v>MARUTI</v>
      </c>
      <c r="C134" s="4">
        <f>VLOOKUP($B134,'Data shares'!$C:$FB,7)</f>
        <v>16265</v>
      </c>
      <c r="D134" s="82">
        <f>VLOOKUP($B134,'Data shares'!$C:$FB,98)</f>
        <v>7376300</v>
      </c>
      <c r="E134" s="165">
        <f>VLOOKUP(B134,'Snapshot (Volume)'!$A$7:$G$168,7,0)</f>
        <v>7032000</v>
      </c>
      <c r="F134" s="165">
        <f t="shared" si="45"/>
        <v>344300</v>
      </c>
      <c r="G134" s="166">
        <f t="shared" si="46"/>
        <v>4.8961888509670079E-2</v>
      </c>
      <c r="H134" s="165">
        <f>VLOOKUP($B134,'Data shares'!$C:$FB,66)</f>
        <v>11902000</v>
      </c>
      <c r="I134" s="165">
        <f>VLOOKUP($B134,'Data shares'!$C:$FB,67)</f>
        <v>5420550</v>
      </c>
      <c r="J134" s="81">
        <f t="shared" si="47"/>
        <v>119.57181466825321</v>
      </c>
      <c r="K134" s="5">
        <f>VLOOKUP($B134,'Data Vlaue (Cr)'!$C:$FB,99)</f>
        <v>12060</v>
      </c>
      <c r="L134" s="81">
        <f>VLOOKUP(B134,'OI(Value)'!$A$7:$C$209,3,0)</f>
        <v>563</v>
      </c>
      <c r="M134" s="33">
        <f t="shared" si="44"/>
        <v>4.6683250414593696</v>
      </c>
      <c r="N134" s="5">
        <f>VLOOKUP($B134,'Data Vlaue (Cr)'!$C:$FB,67)</f>
        <v>19459</v>
      </c>
      <c r="O134" s="5">
        <f>VLOOKUP($B134,'Data Vlaue (Cr)'!$C:$FB,68)</f>
        <v>8862</v>
      </c>
      <c r="P134" s="5">
        <f t="shared" si="48"/>
        <v>54.458091371601824</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Pharma</v>
      </c>
      <c r="B135" s="79" t="str">
        <f>'Data shares'!C130</f>
        <v>MAXHEALTH</v>
      </c>
      <c r="C135" s="4">
        <f>VLOOKUP($B135,'Data shares'!$C:$FB,7)</f>
        <v>1156.4000000000001</v>
      </c>
      <c r="D135" s="82">
        <f>VLOOKUP($B135,'Data shares'!$C:$FB,98)</f>
        <v>22640625</v>
      </c>
      <c r="E135" s="165">
        <f>VLOOKUP(B135,'Snapshot (Volume)'!$A$7:$G$168,7,0)</f>
        <v>22761375</v>
      </c>
      <c r="F135" s="165">
        <f t="shared" si="45"/>
        <v>-120750</v>
      </c>
      <c r="G135" s="166">
        <f t="shared" si="46"/>
        <v>-5.3050397877984082E-3</v>
      </c>
      <c r="H135" s="165">
        <f>VLOOKUP($B135,'Data shares'!$C:$FB,66)</f>
        <v>6660150</v>
      </c>
      <c r="I135" s="165">
        <f>VLOOKUP($B135,'Data shares'!$C:$FB,67)</f>
        <v>10567725</v>
      </c>
      <c r="J135" s="81">
        <f t="shared" si="47"/>
        <v>-36.976501564906357</v>
      </c>
      <c r="K135" s="5">
        <f>VLOOKUP($B135,'Data Vlaue (Cr)'!$C:$FB,99)</f>
        <v>2625</v>
      </c>
      <c r="L135" s="81">
        <f>VLOOKUP(B135,'OI(Value)'!$A$7:$C$209,3,0)</f>
        <v>-14</v>
      </c>
      <c r="M135" s="33">
        <f t="shared" si="44"/>
        <v>-0.53333333333333333</v>
      </c>
      <c r="N135" s="5">
        <f>VLOOKUP($B135,'Data Vlaue (Cr)'!$C:$FB,67)</f>
        <v>772</v>
      </c>
      <c r="O135" s="5">
        <f>VLOOKUP($B135,'Data Vlaue (Cr)'!$C:$FB,68)</f>
        <v>1225</v>
      </c>
      <c r="P135" s="5">
        <f t="shared" si="48"/>
        <v>-58.678756476683937</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Infrastructure</v>
      </c>
      <c r="B136" s="79" t="str">
        <f>'Data shares'!C131</f>
        <v>MAZDOCK</v>
      </c>
      <c r="C136" s="4">
        <f>VLOOKUP($B136,'Data shares'!$C:$FB,7)</f>
        <v>2870.1</v>
      </c>
      <c r="D136" s="82">
        <f>VLOOKUP($B136,'Data shares'!$C:$FB,98)</f>
        <v>7524300</v>
      </c>
      <c r="E136" s="165">
        <f>VLOOKUP(B136,'Snapshot (Volume)'!$A$7:$G$168,7,0)</f>
        <v>6917050</v>
      </c>
      <c r="F136" s="165">
        <f t="shared" si="45"/>
        <v>607250</v>
      </c>
      <c r="G136" s="166">
        <f t="shared" si="46"/>
        <v>8.7790315235541164E-2</v>
      </c>
      <c r="H136" s="165">
        <f>VLOOKUP($B136,'Data shares'!$C:$FB,66)</f>
        <v>5048750</v>
      </c>
      <c r="I136" s="165">
        <f>VLOOKUP($B136,'Data shares'!$C:$FB,67)</f>
        <v>4709600</v>
      </c>
      <c r="J136" s="81">
        <f t="shared" si="47"/>
        <v>7.2012485136741979</v>
      </c>
      <c r="K136" s="5">
        <f>VLOOKUP($B136,'Data Vlaue (Cr)'!$C:$FB,99)</f>
        <v>2164</v>
      </c>
      <c r="L136" s="81">
        <f>VLOOKUP(B136,'OI(Value)'!$A$7:$C$209,3,0)</f>
        <v>175</v>
      </c>
      <c r="M136" s="33">
        <f t="shared" si="44"/>
        <v>8.0868761552680226</v>
      </c>
      <c r="N136" s="5">
        <f>VLOOKUP($B136,'Data Vlaue (Cr)'!$C:$FB,67)</f>
        <v>1452</v>
      </c>
      <c r="O136" s="5">
        <f>VLOOKUP($B136,'Data Vlaue (Cr)'!$C:$FB,68)</f>
        <v>1355</v>
      </c>
      <c r="P136" s="5">
        <f t="shared" si="48"/>
        <v>6.6804407713498621</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Finance</v>
      </c>
      <c r="B137" s="79" t="str">
        <f>'Data shares'!C132</f>
        <v>MCX</v>
      </c>
      <c r="C137" s="4">
        <f>VLOOKUP($B137,'Data shares'!$C:$FB,7)</f>
        <v>8688.5</v>
      </c>
      <c r="D137" s="82">
        <f>VLOOKUP($B137,'Data shares'!$C:$FB,98)</f>
        <v>6399000</v>
      </c>
      <c r="E137" s="165">
        <f>VLOOKUP(B137,'Snapshot (Volume)'!$A$7:$G$168,7,0)</f>
        <v>5902375</v>
      </c>
      <c r="F137" s="165">
        <f t="shared" si="45"/>
        <v>496625</v>
      </c>
      <c r="G137" s="166">
        <f t="shared" si="46"/>
        <v>8.4139858955081637E-2</v>
      </c>
      <c r="H137" s="165">
        <f>VLOOKUP($B137,'Data shares'!$C:$FB,66)</f>
        <v>14573250</v>
      </c>
      <c r="I137" s="165">
        <f>VLOOKUP($B137,'Data shares'!$C:$FB,67)</f>
        <v>23832500</v>
      </c>
      <c r="J137" s="81">
        <f t="shared" si="47"/>
        <v>-38.851358439106264</v>
      </c>
      <c r="K137" s="5">
        <f>VLOOKUP($B137,'Data Vlaue (Cr)'!$C:$FB,99)</f>
        <v>5580</v>
      </c>
      <c r="L137" s="81">
        <f>VLOOKUP(B137,'OI(Value)'!$A$7:$C$209,3,0)</f>
        <v>433</v>
      </c>
      <c r="M137" s="33">
        <f t="shared" si="44"/>
        <v>7.7598566308243733</v>
      </c>
      <c r="N137" s="5">
        <f>VLOOKUP($B137,'Data Vlaue (Cr)'!$C:$FB,67)</f>
        <v>12707</v>
      </c>
      <c r="O137" s="5">
        <f>VLOOKUP($B137,'Data Vlaue (Cr)'!$C:$FB,68)</f>
        <v>20781</v>
      </c>
      <c r="P137" s="5">
        <f t="shared" si="48"/>
        <v>-63.53978122294798</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Finance</v>
      </c>
      <c r="B138" s="79" t="str">
        <f>'Data shares'!C133</f>
        <v>MFSL</v>
      </c>
      <c r="C138" s="4">
        <f>VLOOKUP($B138,'Data shares'!$C:$FB,7)</f>
        <v>1581.7</v>
      </c>
      <c r="D138" s="82">
        <f>VLOOKUP($B138,'Data shares'!$C:$FB,98)</f>
        <v>7903200</v>
      </c>
      <c r="E138" s="165">
        <f>VLOOKUP(B138,'Snapshot (Volume)'!$A$7:$G$168,7,0)</f>
        <v>7742400</v>
      </c>
      <c r="F138" s="165">
        <f t="shared" si="45"/>
        <v>160800</v>
      </c>
      <c r="G138" s="166">
        <f t="shared" si="46"/>
        <v>2.0768753874767513E-2</v>
      </c>
      <c r="H138" s="165">
        <f>VLOOKUP($B138,'Data shares'!$C:$FB,66)</f>
        <v>2268000</v>
      </c>
      <c r="I138" s="165">
        <f>VLOOKUP($B138,'Data shares'!$C:$FB,67)</f>
        <v>2904000</v>
      </c>
      <c r="J138" s="81">
        <f t="shared" si="47"/>
        <v>-21.900826446280991</v>
      </c>
      <c r="K138" s="5">
        <f>VLOOKUP($B138,'Data Vlaue (Cr)'!$C:$FB,99)</f>
        <v>1257</v>
      </c>
      <c r="L138" s="81">
        <f>VLOOKUP(B138,'OI(Value)'!$A$7:$C$209,3,0)</f>
        <v>26</v>
      </c>
      <c r="M138" s="33">
        <f t="shared" si="44"/>
        <v>2.0684168655529036</v>
      </c>
      <c r="N138" s="5">
        <f>VLOOKUP($B138,'Data Vlaue (Cr)'!$C:$FB,67)</f>
        <v>361</v>
      </c>
      <c r="O138" s="5">
        <f>VLOOKUP($B138,'Data Vlaue (Cr)'!$C:$FB,68)</f>
        <v>462</v>
      </c>
      <c r="P138" s="5">
        <f t="shared" si="48"/>
        <v>-27.977839335180054</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Index</v>
      </c>
      <c r="B139" s="79" t="str">
        <f>'Data shares'!C134</f>
        <v>MIDCPNIFTY</v>
      </c>
      <c r="C139" s="4">
        <f>VLOOKUP($B139,'Data shares'!$C:$FB,7)</f>
        <v>13149.55</v>
      </c>
      <c r="D139" s="82">
        <f>VLOOKUP($B139,'Data shares'!$C:$FB,98)</f>
        <v>16360540</v>
      </c>
      <c r="E139" s="165">
        <f>VLOOKUP(B139,'Snapshot (Volume)'!$A$7:$G$168,7,0)</f>
        <v>15940680</v>
      </c>
      <c r="F139" s="165">
        <f t="shared" si="45"/>
        <v>419860</v>
      </c>
      <c r="G139" s="166">
        <f t="shared" si="46"/>
        <v>2.6338901477226818E-2</v>
      </c>
      <c r="H139" s="165">
        <f>VLOOKUP($B139,'Data shares'!$C:$FB,66)</f>
        <v>35642740</v>
      </c>
      <c r="I139" s="165">
        <f>VLOOKUP($B139,'Data shares'!$C:$FB,67)</f>
        <v>27569780</v>
      </c>
      <c r="J139" s="81">
        <f t="shared" si="47"/>
        <v>29.281916649316752</v>
      </c>
      <c r="K139" s="5">
        <f>VLOOKUP($B139,'Data Vlaue (Cr)'!$C:$FB,99)</f>
        <v>21623</v>
      </c>
      <c r="L139" s="81">
        <f>VLOOKUP(B139,'OI(Value)'!$A$7:$C$209,3,0)</f>
        <v>555</v>
      </c>
      <c r="M139" s="33">
        <f t="shared" si="44"/>
        <v>2.5667113721500252</v>
      </c>
      <c r="N139" s="5">
        <f>VLOOKUP($B139,'Data Vlaue (Cr)'!$C:$FB,67)</f>
        <v>47107</v>
      </c>
      <c r="O139" s="5">
        <f>VLOOKUP($B139,'Data Vlaue (Cr)'!$C:$FB,68)</f>
        <v>36438</v>
      </c>
      <c r="P139" s="5">
        <f t="shared" si="48"/>
        <v>22.648438660920885</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Automobile</v>
      </c>
      <c r="B140" s="79" t="str">
        <f>'Data shares'!C135</f>
        <v>MOTHERSON</v>
      </c>
      <c r="C140" s="79">
        <f>VLOOKUP($B140,'Data shares'!$C:$FB,7)</f>
        <v>104.1</v>
      </c>
      <c r="D140" s="165">
        <f>VLOOKUP($B140,'Data shares'!$C:$FB,98)</f>
        <v>253872000</v>
      </c>
      <c r="E140" s="165">
        <f>VLOOKUP(B140,'Snapshot (Volume)'!$A$7:$G$168,7,0)</f>
        <v>251178300</v>
      </c>
      <c r="F140" s="165">
        <f>D140-E140</f>
        <v>2693700</v>
      </c>
      <c r="G140" s="166">
        <f>F140/E140</f>
        <v>1.0724254443954752E-2</v>
      </c>
      <c r="H140" s="165">
        <f>VLOOKUP($B140,'Data shares'!$C:$FB,66)</f>
        <v>84187350</v>
      </c>
      <c r="I140" s="165">
        <f>VLOOKUP($B140,'Data shares'!$C:$FB,67)</f>
        <v>100626300</v>
      </c>
      <c r="J140" s="81">
        <f>(H140-I140)/I140*100</f>
        <v>-16.336633663366339</v>
      </c>
      <c r="K140" s="81">
        <f>VLOOKUP($B140,'Data Vlaue (Cr)'!$C:$FB,99)</f>
        <v>2657</v>
      </c>
      <c r="L140" s="81">
        <f>VLOOKUP(B140,'OI(Value)'!$A$7:$C$209,3,0)</f>
        <v>28</v>
      </c>
      <c r="M140" s="81">
        <f t="shared" si="44"/>
        <v>1.0538200978547234</v>
      </c>
      <c r="N140" s="81">
        <f>VLOOKUP($B140,'Data Vlaue (Cr)'!$C:$FB,67)</f>
        <v>881</v>
      </c>
      <c r="O140" s="81">
        <f>VLOOKUP($B140,'Data Vlaue (Cr)'!$C:$FB,68)</f>
        <v>1053</v>
      </c>
      <c r="P140" s="81">
        <f>(N140-O140)/N140*100</f>
        <v>-19.523269012485812</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Technology</v>
      </c>
      <c r="B141" s="79" t="str">
        <f>'Data shares'!C136</f>
        <v>MPHASIS</v>
      </c>
      <c r="C141" s="4">
        <f>VLOOKUP($B141,'Data shares'!$C:$FB,7)</f>
        <v>2783.2</v>
      </c>
      <c r="D141" s="82">
        <f>VLOOKUP($B141,'Data shares'!$C:$FB,98)</f>
        <v>5995000</v>
      </c>
      <c r="E141" s="165">
        <f>VLOOKUP(B141,'Snapshot (Volume)'!$A$7:$G$168,7,0)</f>
        <v>5933400</v>
      </c>
      <c r="F141" s="165">
        <f>D141-E141</f>
        <v>61600</v>
      </c>
      <c r="G141" s="166">
        <f>F141/E141</f>
        <v>1.0381905821282907E-2</v>
      </c>
      <c r="H141" s="165">
        <f>VLOOKUP($B141,'Data shares'!$C:$FB,66)</f>
        <v>2715900</v>
      </c>
      <c r="I141" s="165">
        <f>VLOOKUP($B141,'Data shares'!$C:$FB,67)</f>
        <v>2485175</v>
      </c>
      <c r="J141" s="81">
        <f>(H141-I141)/I141*100</f>
        <v>9.2840544428460774</v>
      </c>
      <c r="K141" s="5">
        <f>VLOOKUP($B141,'Data Vlaue (Cr)'!$C:$FB,99)</f>
        <v>1676</v>
      </c>
      <c r="L141" s="81">
        <f>VLOOKUP(B141,'OI(Value)'!$A$7:$C$209,3,0)</f>
        <v>17</v>
      </c>
      <c r="M141" s="33">
        <f t="shared" si="44"/>
        <v>1.0143198090692125</v>
      </c>
      <c r="N141" s="5">
        <f>VLOOKUP($B141,'Data Vlaue (Cr)'!$C:$FB,67)</f>
        <v>759</v>
      </c>
      <c r="O141" s="5">
        <f>VLOOKUP($B141,'Data Vlaue (Cr)'!$C:$FB,68)</f>
        <v>695</v>
      </c>
      <c r="P141" s="5">
        <f>(N141-O141)/N141*100</f>
        <v>8.4321475625823457</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Finance</v>
      </c>
      <c r="B142" s="79" t="str">
        <f>'Data shares'!C137</f>
        <v>MUTHOOTFIN</v>
      </c>
      <c r="C142" s="4">
        <f>VLOOKUP($B142,'Data shares'!$C:$FB,7)</f>
        <v>3156.9</v>
      </c>
      <c r="D142" s="82">
        <f>VLOOKUP($B142,'Data shares'!$C:$FB,98)</f>
        <v>6306300</v>
      </c>
      <c r="E142" s="165">
        <f>VLOOKUP(B142,'Snapshot (Volume)'!$A$7:$G$168,7,0)</f>
        <v>6158625</v>
      </c>
      <c r="F142" s="165">
        <f>D142-E142</f>
        <v>147675</v>
      </c>
      <c r="G142" s="166">
        <f>F142/E142</f>
        <v>2.3978566644340255E-2</v>
      </c>
      <c r="H142" s="165">
        <f>VLOOKUP($B142,'Data shares'!$C:$FB,66)</f>
        <v>8173000</v>
      </c>
      <c r="I142" s="165">
        <f>VLOOKUP($B142,'Data shares'!$C:$FB,67)</f>
        <v>3454550</v>
      </c>
      <c r="J142" s="81">
        <f>(H142-I142)/I142*100</f>
        <v>136.58653080719631</v>
      </c>
      <c r="K142" s="5">
        <f>VLOOKUP($B142,'Data Vlaue (Cr)'!$C:$FB,99)</f>
        <v>2002</v>
      </c>
      <c r="L142" s="81">
        <f>VLOOKUP(B142,'OI(Value)'!$A$7:$C$209,3,0)</f>
        <v>47</v>
      </c>
      <c r="M142" s="33">
        <f t="shared" si="44"/>
        <v>2.3476523476523474</v>
      </c>
      <c r="N142" s="5">
        <f>VLOOKUP($B142,'Data Vlaue (Cr)'!$C:$FB,67)</f>
        <v>2595</v>
      </c>
      <c r="O142" s="5">
        <f>VLOOKUP($B142,'Data Vlaue (Cr)'!$C:$FB,68)</f>
        <v>1097</v>
      </c>
      <c r="P142" s="5">
        <f>(N142-O142)/N142*100</f>
        <v>57.726396917148357</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Metals</v>
      </c>
      <c r="B143" s="79" t="str">
        <f>'Data shares'!C138</f>
        <v>NATIONALUM</v>
      </c>
      <c r="C143" s="4">
        <f>VLOOKUP($B143,'Data shares'!$C:$FB,7)</f>
        <v>224.3</v>
      </c>
      <c r="D143" s="82">
        <f>VLOOKUP($B143,'Data shares'!$C:$FB,98)</f>
        <v>137808750</v>
      </c>
      <c r="E143" s="165">
        <f>VLOOKUP(B143,'Snapshot (Volume)'!$A$7:$G$168,7,0)</f>
        <v>134790000</v>
      </c>
      <c r="F143" s="165">
        <f>D143-E143</f>
        <v>3018750</v>
      </c>
      <c r="G143" s="166">
        <f>F143/E143</f>
        <v>2.2395949254395725E-2</v>
      </c>
      <c r="H143" s="165">
        <f>VLOOKUP($B143,'Data shares'!$C:$FB,66)</f>
        <v>111423750</v>
      </c>
      <c r="I143" s="165">
        <f>VLOOKUP($B143,'Data shares'!$C:$FB,67)</f>
        <v>235893750</v>
      </c>
      <c r="J143" s="81">
        <f>(H143-I143)/I143*100</f>
        <v>-52.765280979254435</v>
      </c>
      <c r="K143" s="5">
        <f>VLOOKUP($B143,'Data Vlaue (Cr)'!$C:$FB,99)</f>
        <v>3104</v>
      </c>
      <c r="L143" s="81">
        <f>VLOOKUP(B143,'OI(Value)'!$A$7:$C$209,3,0)</f>
        <v>68</v>
      </c>
      <c r="M143" s="33">
        <f t="shared" si="44"/>
        <v>2.1907216494845358</v>
      </c>
      <c r="N143" s="5">
        <f>VLOOKUP($B143,'Data Vlaue (Cr)'!$C:$FB,67)</f>
        <v>2510</v>
      </c>
      <c r="O143" s="5">
        <f>VLOOKUP($B143,'Data Vlaue (Cr)'!$C:$FB,68)</f>
        <v>5314</v>
      </c>
      <c r="P143" s="5">
        <f>(N143-O143)/N143*100</f>
        <v>-111.71314741035856</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New_Age</v>
      </c>
      <c r="B144" s="79" t="str">
        <f>'Data shares'!C139</f>
        <v>NAUKRI</v>
      </c>
      <c r="C144" s="4">
        <f>VLOOKUP($B144,'Data shares'!$C:$FB,7)</f>
        <v>1333.1</v>
      </c>
      <c r="D144" s="82">
        <f>VLOOKUP($B144,'Data shares'!$C:$FB,98)</f>
        <v>13566750</v>
      </c>
      <c r="E144" s="165">
        <f>VLOOKUP(B144,'Snapshot (Volume)'!$A$7:$G$168,7,0)</f>
        <v>13259250</v>
      </c>
      <c r="F144" s="165">
        <f>D144-E144</f>
        <v>307500</v>
      </c>
      <c r="G144" s="166">
        <f>F144/E144</f>
        <v>2.3191356977204591E-2</v>
      </c>
      <c r="H144" s="165">
        <f>VLOOKUP($B144,'Data shares'!$C:$FB,66)</f>
        <v>3132750</v>
      </c>
      <c r="I144" s="165">
        <f>VLOOKUP($B144,'Data shares'!$C:$FB,67)</f>
        <v>10916625</v>
      </c>
      <c r="J144" s="81">
        <f>(H144-I144)/I144*100</f>
        <v>-71.302943904366046</v>
      </c>
      <c r="K144" s="5">
        <f>VLOOKUP($B144,'Data Vlaue (Cr)'!$C:$FB,99)</f>
        <v>1817</v>
      </c>
      <c r="L144" s="81">
        <f>VLOOKUP(B144,'OI(Value)'!$A$7:$C$209,3,0)</f>
        <v>41</v>
      </c>
      <c r="M144" s="33">
        <f t="shared" si="44"/>
        <v>2.2564667033571824</v>
      </c>
      <c r="N144" s="5">
        <f>VLOOKUP($B144,'Data Vlaue (Cr)'!$C:$FB,67)</f>
        <v>420</v>
      </c>
      <c r="O144" s="5">
        <f>VLOOKUP($B144,'Data Vlaue (Cr)'!$C:$FB,68)</f>
        <v>1462</v>
      </c>
      <c r="P144" s="5">
        <f>(N144-O144)/N144*100</f>
        <v>-248.0952380952381</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Realty</v>
      </c>
      <c r="B145" s="79" t="str">
        <f>'Data shares'!C140</f>
        <v>NBCC</v>
      </c>
      <c r="C145" s="4">
        <f>VLOOKUP($B145,'Data shares'!$C:$FB,7)</f>
        <v>112.66</v>
      </c>
      <c r="D145" s="82">
        <f>VLOOKUP($B145,'Data shares'!$C:$FB,98)</f>
        <v>105807000</v>
      </c>
      <c r="E145" s="165">
        <f>VLOOKUP(B145,'Snapshot (Volume)'!$A$7:$G$168,7,0)</f>
        <v>102043500</v>
      </c>
      <c r="F145" s="165">
        <f t="shared" ref="F145:F152" si="49">D145-E145</f>
        <v>3763500</v>
      </c>
      <c r="G145" s="166">
        <f t="shared" ref="G145:G153" si="50">F145/E145</f>
        <v>3.6881330021020446E-2</v>
      </c>
      <c r="H145" s="165">
        <f>VLOOKUP($B145,'Data shares'!$C:$FB,66)</f>
        <v>53755000</v>
      </c>
      <c r="I145" s="165">
        <f>VLOOKUP($B145,'Data shares'!$C:$FB,67)</f>
        <v>64564500</v>
      </c>
      <c r="J145" s="81">
        <f t="shared" ref="J145:J153" si="51">(H145-I145)/I145*100</f>
        <v>-16.742172556126043</v>
      </c>
      <c r="K145" s="5">
        <f>VLOOKUP($B145,'Data Vlaue (Cr)'!$C:$FB,99)</f>
        <v>1198</v>
      </c>
      <c r="L145" s="81">
        <f>VLOOKUP(B145,'OI(Value)'!$A$7:$C$209,3,0)</f>
        <v>43</v>
      </c>
      <c r="M145" s="33">
        <f t="shared" ref="M145:M153" si="52">L145/K145*100</f>
        <v>3.5893155258764611</v>
      </c>
      <c r="N145" s="5">
        <f>VLOOKUP($B145,'Data Vlaue (Cr)'!$C:$FB,67)</f>
        <v>609</v>
      </c>
      <c r="O145" s="5">
        <f>VLOOKUP($B145,'Data Vlaue (Cr)'!$C:$FB,68)</f>
        <v>731</v>
      </c>
      <c r="P145" s="5">
        <f t="shared" ref="P145:P152" si="53">(N145-O145)/N145*100</f>
        <v>-20.032840722495894</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Infrastructure</v>
      </c>
      <c r="B146" s="79" t="str">
        <f>'Data shares'!C141</f>
        <v>NCC</v>
      </c>
      <c r="C146" s="4">
        <f>VLOOKUP($B146,'Data shares'!$C:$FB,7)</f>
        <v>210.78</v>
      </c>
      <c r="D146" s="82">
        <f>VLOOKUP($B146,'Data shares'!$C:$FB,98)</f>
        <v>28247400</v>
      </c>
      <c r="E146" s="165">
        <f>VLOOKUP(B146,'Snapshot (Volume)'!$A$7:$G$168,7,0)</f>
        <v>27980100</v>
      </c>
      <c r="F146" s="165">
        <f t="shared" si="49"/>
        <v>267300</v>
      </c>
      <c r="G146" s="166">
        <f t="shared" si="50"/>
        <v>9.5532181800636884E-3</v>
      </c>
      <c r="H146" s="165">
        <f>VLOOKUP($B146,'Data shares'!$C:$FB,66)</f>
        <v>9158400</v>
      </c>
      <c r="I146" s="165">
        <f>VLOOKUP($B146,'Data shares'!$C:$FB,67)</f>
        <v>8205300</v>
      </c>
      <c r="J146" s="81">
        <f t="shared" si="51"/>
        <v>11.615663047054953</v>
      </c>
      <c r="K146" s="5">
        <f>VLOOKUP($B146,'Data Vlaue (Cr)'!$C:$FB,99)</f>
        <v>599</v>
      </c>
      <c r="L146" s="81">
        <f>VLOOKUP(B146,'OI(Value)'!$A$7:$C$209,3,0)</f>
        <v>6</v>
      </c>
      <c r="M146" s="33">
        <f t="shared" si="52"/>
        <v>1.001669449081803</v>
      </c>
      <c r="N146" s="5">
        <f>VLOOKUP($B146,'Data Vlaue (Cr)'!$C:$FB,67)</f>
        <v>194</v>
      </c>
      <c r="O146" s="5">
        <f>VLOOKUP($B146,'Data Vlaue (Cr)'!$C:$FB,68)</f>
        <v>174</v>
      </c>
      <c r="P146" s="5">
        <f t="shared" si="53"/>
        <v>10.309278350515463</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FMCG</v>
      </c>
      <c r="B147" s="79" t="str">
        <f>'Data shares'!C142</f>
        <v>NESTLEIND</v>
      </c>
      <c r="C147" s="4">
        <f>VLOOKUP($B147,'Data shares'!$C:$FB,7)</f>
        <v>1199.5</v>
      </c>
      <c r="D147" s="82">
        <f>VLOOKUP($B147,'Data shares'!$C:$FB,98)</f>
        <v>24634000</v>
      </c>
      <c r="E147" s="165">
        <f>VLOOKUP(B147,'Snapshot (Volume)'!$A$7:$G$168,7,0)</f>
        <v>23394500</v>
      </c>
      <c r="F147" s="165">
        <f t="shared" si="49"/>
        <v>1239500</v>
      </c>
      <c r="G147" s="166">
        <f t="shared" si="50"/>
        <v>5.2982538630874779E-2</v>
      </c>
      <c r="H147" s="165">
        <f>VLOOKUP($B147,'Data shares'!$C:$FB,66)</f>
        <v>8600500</v>
      </c>
      <c r="I147" s="165">
        <f>VLOOKUP($B147,'Data shares'!$C:$FB,67)</f>
        <v>5108000</v>
      </c>
      <c r="J147" s="81">
        <f t="shared" si="51"/>
        <v>68.373140172278781</v>
      </c>
      <c r="K147" s="5">
        <f>VLOOKUP($B147,'Data Vlaue (Cr)'!$C:$FB,99)</f>
        <v>2962</v>
      </c>
      <c r="L147" s="81">
        <f>VLOOKUP(B147,'OI(Value)'!$A$7:$C$209,3,0)</f>
        <v>149</v>
      </c>
      <c r="M147" s="33">
        <f t="shared" si="52"/>
        <v>5.030384875084402</v>
      </c>
      <c r="N147" s="5">
        <f>VLOOKUP($B147,'Data Vlaue (Cr)'!$C:$FB,67)</f>
        <v>1034</v>
      </c>
      <c r="O147" s="5">
        <f>VLOOKUP($B147,'Data Vlaue (Cr)'!$C:$FB,68)</f>
        <v>614</v>
      </c>
      <c r="P147" s="5">
        <f t="shared" si="53"/>
        <v>40.618955512572533</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Power</v>
      </c>
      <c r="B148" s="79" t="str">
        <f>'Data shares'!C143</f>
        <v>NHPC</v>
      </c>
      <c r="C148" s="4">
        <f>VLOOKUP($B148,'Data shares'!$C:$FB,7)</f>
        <v>86.94</v>
      </c>
      <c r="D148" s="82">
        <f>VLOOKUP($B148,'Data shares'!$C:$FB,98)</f>
        <v>73881600</v>
      </c>
      <c r="E148" s="165">
        <f>VLOOKUP(B148,'Snapshot (Volume)'!$A$7:$G$168,7,0)</f>
        <v>72902400</v>
      </c>
      <c r="F148" s="165">
        <f t="shared" si="49"/>
        <v>979200</v>
      </c>
      <c r="G148" s="166">
        <f t="shared" si="50"/>
        <v>1.3431656570977087E-2</v>
      </c>
      <c r="H148" s="165">
        <f>VLOOKUP($B148,'Data shares'!$C:$FB,66)</f>
        <v>18880000</v>
      </c>
      <c r="I148" s="165">
        <f>VLOOKUP($B148,'Data shares'!$C:$FB,67)</f>
        <v>37446400</v>
      </c>
      <c r="J148" s="81">
        <f t="shared" si="51"/>
        <v>-49.58126815928901</v>
      </c>
      <c r="K148" s="5">
        <f>VLOOKUP($B148,'Data Vlaue (Cr)'!$C:$FB,99)</f>
        <v>646</v>
      </c>
      <c r="L148" s="81">
        <f>VLOOKUP(B148,'OI(Value)'!$A$7:$C$209,3,0)</f>
        <v>9</v>
      </c>
      <c r="M148" s="33">
        <f t="shared" si="52"/>
        <v>1.393188854489164</v>
      </c>
      <c r="N148" s="5">
        <f>VLOOKUP($B148,'Data Vlaue (Cr)'!$C:$FB,67)</f>
        <v>165</v>
      </c>
      <c r="O148" s="5">
        <f>VLOOKUP($B148,'Data Vlaue (Cr)'!$C:$FB,68)</f>
        <v>327</v>
      </c>
      <c r="P148" s="5">
        <f t="shared" si="53"/>
        <v>-98.181818181818187</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Index</v>
      </c>
      <c r="B149" s="79" t="str">
        <f>'Data shares'!C144</f>
        <v>NIFTY</v>
      </c>
      <c r="C149" s="4">
        <f>VLOOKUP($B149,'Data shares'!$C:$FB,7)</f>
        <v>25285.35</v>
      </c>
      <c r="D149" s="82">
        <f>VLOOKUP($B149,'Data shares'!$C:$FB,98)</f>
        <v>576558950</v>
      </c>
      <c r="E149" s="165">
        <f>VLOOKUP(B149,'Snapshot (Volume)'!$A$7:$G$168,7,0)</f>
        <v>500004875</v>
      </c>
      <c r="F149" s="165">
        <f t="shared" si="49"/>
        <v>76554075</v>
      </c>
      <c r="G149" s="166">
        <f t="shared" si="50"/>
        <v>0.1531066572100922</v>
      </c>
      <c r="H149" s="165">
        <f>VLOOKUP($B149,'Data shares'!$C:$FB,66)</f>
        <v>7373675550</v>
      </c>
      <c r="I149" s="165">
        <f>VLOOKUP($B149,'Data shares'!$C:$FB,67)</f>
        <v>5067031725</v>
      </c>
      <c r="J149" s="81">
        <f t="shared" si="51"/>
        <v>45.522585019930972</v>
      </c>
      <c r="K149" s="5">
        <f>VLOOKUP($B149,'Data Vlaue (Cr)'!$C:$FB,99)</f>
        <v>1465094</v>
      </c>
      <c r="L149" s="81">
        <f>VLOOKUP(B149,'OI(Value)'!$A$7:$C$209,3,0)</f>
        <v>194532</v>
      </c>
      <c r="M149" s="33">
        <f t="shared" si="52"/>
        <v>13.277782858983791</v>
      </c>
      <c r="N149" s="5">
        <f>VLOOKUP($B149,'Data Vlaue (Cr)'!$C:$FB,67)</f>
        <v>18737247</v>
      </c>
      <c r="O149" s="5">
        <f>VLOOKUP($B149,'Data Vlaue (Cr)'!$C:$FB,68)</f>
        <v>12875834</v>
      </c>
      <c r="P149" s="5">
        <f t="shared" si="53"/>
        <v>31.282146197891294</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Index</v>
      </c>
      <c r="B150" s="79" t="str">
        <f>'Data shares'!C145</f>
        <v>NIFTYNXT50</v>
      </c>
      <c r="C150" s="4">
        <f>VLOOKUP($B150,'Data shares'!$C:$FB,7)</f>
        <v>68687.25</v>
      </c>
      <c r="D150" s="82">
        <f>VLOOKUP($B150,'Data shares'!$C:$FB,98)</f>
        <v>32350</v>
      </c>
      <c r="E150" s="165">
        <f>VLOOKUP(B150,'Snapshot (Volume)'!$A$7:$G$168,7,0)</f>
        <v>31650</v>
      </c>
      <c r="F150" s="165">
        <f t="shared" si="49"/>
        <v>700</v>
      </c>
      <c r="G150" s="166">
        <f t="shared" si="50"/>
        <v>2.2116903633491312E-2</v>
      </c>
      <c r="H150" s="165">
        <f>VLOOKUP($B150,'Data shares'!$C:$FB,66)</f>
        <v>16700</v>
      </c>
      <c r="I150" s="165">
        <f>VLOOKUP($B150,'Data shares'!$C:$FB,67)</f>
        <v>10900</v>
      </c>
      <c r="J150" s="81">
        <f t="shared" si="51"/>
        <v>53.211009174311933</v>
      </c>
      <c r="K150" s="5">
        <f>VLOOKUP($B150,'Data Vlaue (Cr)'!$C:$FB,99)</f>
        <v>223</v>
      </c>
      <c r="L150" s="81">
        <f>VLOOKUP(B150,'OI(Value)'!$A$7:$C$209,3,0)</f>
        <v>5</v>
      </c>
      <c r="M150" s="33">
        <f t="shared" si="52"/>
        <v>2.2421524663677128</v>
      </c>
      <c r="N150" s="5">
        <f>VLOOKUP($B150,'Data Vlaue (Cr)'!$C:$FB,67)</f>
        <v>115</v>
      </c>
      <c r="O150" s="5">
        <f>VLOOKUP($B150,'Data Vlaue (Cr)'!$C:$FB,68)</f>
        <v>75</v>
      </c>
      <c r="P150" s="5">
        <f t="shared" si="53"/>
        <v>34.782608695652172</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Metals</v>
      </c>
      <c r="B151" s="79" t="str">
        <f>'Data shares'!C146</f>
        <v>NMDC</v>
      </c>
      <c r="C151" s="4">
        <f>VLOOKUP($B151,'Data shares'!$C:$FB,7)</f>
        <v>77.13</v>
      </c>
      <c r="D151" s="82">
        <f>VLOOKUP($B151,'Data shares'!$C:$FB,98)</f>
        <v>495045000</v>
      </c>
      <c r="E151" s="165">
        <f>VLOOKUP(B151,'Snapshot (Volume)'!$A$7:$G$168,7,0)</f>
        <v>470677500</v>
      </c>
      <c r="F151" s="165">
        <f t="shared" si="49"/>
        <v>24367500</v>
      </c>
      <c r="G151" s="166">
        <f t="shared" si="50"/>
        <v>5.1771117166212535E-2</v>
      </c>
      <c r="H151" s="165">
        <f>VLOOKUP($B151,'Data shares'!$C:$FB,66)</f>
        <v>329076000</v>
      </c>
      <c r="I151" s="165">
        <f>VLOOKUP($B151,'Data shares'!$C:$FB,67)</f>
        <v>431757000</v>
      </c>
      <c r="J151" s="81">
        <f t="shared" si="51"/>
        <v>-23.782127446688762</v>
      </c>
      <c r="K151" s="5">
        <f>VLOOKUP($B151,'Data Vlaue (Cr)'!$C:$FB,99)</f>
        <v>3830</v>
      </c>
      <c r="L151" s="81">
        <f>VLOOKUP(B151,'OI(Value)'!$A$7:$C$209,3,0)</f>
        <v>189</v>
      </c>
      <c r="M151" s="33">
        <f t="shared" si="52"/>
        <v>4.9347258485639687</v>
      </c>
      <c r="N151" s="5">
        <f>VLOOKUP($B151,'Data Vlaue (Cr)'!$C:$FB,67)</f>
        <v>2546</v>
      </c>
      <c r="O151" s="5">
        <f>VLOOKUP($B151,'Data Vlaue (Cr)'!$C:$FB,68)</f>
        <v>3340</v>
      </c>
      <c r="P151" s="5">
        <f t="shared" si="53"/>
        <v>-31.186174391201888</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Power</v>
      </c>
      <c r="B152" s="79" t="str">
        <f>'Data shares'!C147</f>
        <v>NTPC</v>
      </c>
      <c r="C152" s="4">
        <f>VLOOKUP($B152,'Data shares'!$C:$FB,7)</f>
        <v>339.7</v>
      </c>
      <c r="D152" s="82">
        <f>VLOOKUP($B152,'Data shares'!$C:$FB,98)</f>
        <v>153864000</v>
      </c>
      <c r="E152" s="165">
        <f>VLOOKUP(B152,'Snapshot (Volume)'!$A$7:$G$168,7,0)</f>
        <v>152673000</v>
      </c>
      <c r="F152" s="165">
        <f t="shared" si="49"/>
        <v>1191000</v>
      </c>
      <c r="G152" s="166">
        <f t="shared" si="50"/>
        <v>7.8009864219606611E-3</v>
      </c>
      <c r="H152" s="165">
        <f>VLOOKUP($B152,'Data shares'!$C:$FB,66)</f>
        <v>96417000</v>
      </c>
      <c r="I152" s="165">
        <f>VLOOKUP($B152,'Data shares'!$C:$FB,67)</f>
        <v>60909000</v>
      </c>
      <c r="J152" s="81">
        <f t="shared" si="51"/>
        <v>58.296803428064813</v>
      </c>
      <c r="K152" s="5">
        <f>VLOOKUP($B152,'Data Vlaue (Cr)'!$C:$FB,99)</f>
        <v>5242</v>
      </c>
      <c r="L152" s="81">
        <f>VLOOKUP(B152,'OI(Value)'!$A$7:$C$209,3,0)</f>
        <v>41</v>
      </c>
      <c r="M152" s="33">
        <f t="shared" si="52"/>
        <v>0.78214421976344894</v>
      </c>
      <c r="N152" s="5">
        <f>VLOOKUP($B152,'Data Vlaue (Cr)'!$C:$FB,67)</f>
        <v>3285</v>
      </c>
      <c r="O152" s="5">
        <f>VLOOKUP($B152,'Data Vlaue (Cr)'!$C:$FB,68)</f>
        <v>2075</v>
      </c>
      <c r="P152" s="5">
        <f t="shared" si="53"/>
        <v>36.834094368340942</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Finance</v>
      </c>
      <c r="B153" s="79" t="str">
        <f>'Data shares'!C148</f>
        <v>NUVAMA</v>
      </c>
      <c r="C153" s="4">
        <f>VLOOKUP($B153,'Data shares'!$C:$FB,7)</f>
        <v>7235.5</v>
      </c>
      <c r="D153" s="82">
        <f>VLOOKUP($B153,'Data shares'!$C:$FB,98)</f>
        <v>846900</v>
      </c>
      <c r="E153" s="165">
        <f>VLOOKUP(B153,'Snapshot (Volume)'!$A$7:$G$168,7,0)</f>
        <v>762675</v>
      </c>
      <c r="F153" s="165">
        <f>D153-E153</f>
        <v>84225</v>
      </c>
      <c r="G153" s="166">
        <f t="shared" si="50"/>
        <v>0.11043367096076311</v>
      </c>
      <c r="H153" s="165">
        <f>VLOOKUP($B153,'Data shares'!$C:$FB,66)</f>
        <v>909900</v>
      </c>
      <c r="I153" s="165">
        <f>VLOOKUP($B153,'Data shares'!$C:$FB,67)</f>
        <v>638325</v>
      </c>
      <c r="J153" s="81">
        <f t="shared" si="51"/>
        <v>42.544941839971798</v>
      </c>
      <c r="K153" s="5">
        <f>VLOOKUP($B153,'Data Vlaue (Cr)'!$C:$FB,99)</f>
        <v>614</v>
      </c>
      <c r="L153" s="81">
        <f>VLOOKUP(B153,'OI(Value)'!$A$7:$C$209,3,0)</f>
        <v>61</v>
      </c>
      <c r="M153" s="33">
        <f t="shared" si="52"/>
        <v>9.9348534201954397</v>
      </c>
      <c r="N153" s="5">
        <f>VLOOKUP($B153,'Data Vlaue (Cr)'!$C:$FB,67)</f>
        <v>659</v>
      </c>
      <c r="O153" s="5">
        <f>VLOOKUP($B153,'Data Vlaue (Cr)'!$C:$FB,68)</f>
        <v>463</v>
      </c>
      <c r="P153" s="5">
        <f>(N153-O153)/N153*100</f>
        <v>29.742033383915022</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New_Age</v>
      </c>
      <c r="B154" s="79" t="str">
        <f>'Data shares'!C149</f>
        <v>NYKAA</v>
      </c>
      <c r="C154" s="4">
        <f>VLOOKUP($B154,'Data shares'!$C:$FB,7)</f>
        <v>265.19</v>
      </c>
      <c r="D154" s="82">
        <f>VLOOKUP($B154,'Data shares'!$C:$FB,98)</f>
        <v>92218750</v>
      </c>
      <c r="E154" s="165">
        <f>VLOOKUP(B154,'Snapshot (Volume)'!$A$7:$G$168,7,0)</f>
        <v>90975000</v>
      </c>
      <c r="F154" s="165">
        <f t="shared" ref="F154:F166" si="54">D154-E154</f>
        <v>1243750</v>
      </c>
      <c r="G154" s="166">
        <f t="shared" ref="G154:G166" si="55">F154/E154</f>
        <v>1.3671338279747184E-2</v>
      </c>
      <c r="H154" s="165">
        <f>VLOOKUP($B154,'Data shares'!$C:$FB,66)</f>
        <v>51250000</v>
      </c>
      <c r="I154" s="165">
        <f>VLOOKUP($B154,'Data shares'!$C:$FB,67)</f>
        <v>80809375</v>
      </c>
      <c r="J154" s="81">
        <f t="shared" ref="J154:J166" si="56">(H154-I154)/I154*100</f>
        <v>-36.579140724699336</v>
      </c>
      <c r="K154" s="5">
        <f>VLOOKUP($B154,'Data Vlaue (Cr)'!$C:$FB,99)</f>
        <v>2438</v>
      </c>
      <c r="L154" s="81">
        <f>VLOOKUP(B154,'OI(Value)'!$A$7:$C$209,3,0)</f>
        <v>33</v>
      </c>
      <c r="M154" s="33">
        <f t="shared" ref="M154:M166" si="57">L154/K154*100</f>
        <v>1.3535684987694832</v>
      </c>
      <c r="N154" s="5">
        <f>VLOOKUP($B154,'Data Vlaue (Cr)'!$C:$FB,67)</f>
        <v>1355</v>
      </c>
      <c r="O154" s="5">
        <f>VLOOKUP($B154,'Data Vlaue (Cr)'!$C:$FB,68)</f>
        <v>2137</v>
      </c>
      <c r="P154" s="5">
        <f t="shared" ref="P154:P161" si="58">(N154-O154)/N154*100</f>
        <v>-57.712177121771212</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Realty</v>
      </c>
      <c r="B155" s="79" t="str">
        <f>'Data shares'!C150</f>
        <v>OBEROIRLTY</v>
      </c>
      <c r="C155" s="4">
        <f>VLOOKUP($B155,'Data shares'!$C:$FB,7)</f>
        <v>1599.6</v>
      </c>
      <c r="D155" s="82">
        <f>VLOOKUP($B155,'Data shares'!$C:$FB,98)</f>
        <v>6932100</v>
      </c>
      <c r="E155" s="165">
        <f>VLOOKUP(B155,'Snapshot (Volume)'!$A$7:$G$168,7,0)</f>
        <v>6981100</v>
      </c>
      <c r="F155" s="165">
        <f t="shared" si="54"/>
        <v>-49000</v>
      </c>
      <c r="G155" s="166">
        <f t="shared" si="55"/>
        <v>-7.0189511681540157E-3</v>
      </c>
      <c r="H155" s="165">
        <f>VLOOKUP($B155,'Data shares'!$C:$FB,66)</f>
        <v>2832200</v>
      </c>
      <c r="I155" s="165">
        <f>VLOOKUP($B155,'Data shares'!$C:$FB,67)</f>
        <v>3312750</v>
      </c>
      <c r="J155" s="81">
        <f t="shared" si="56"/>
        <v>-14.506075013206551</v>
      </c>
      <c r="K155" s="5">
        <f>VLOOKUP($B155,'Data Vlaue (Cr)'!$C:$FB,99)</f>
        <v>1114</v>
      </c>
      <c r="L155" s="81">
        <f>VLOOKUP(B155,'OI(Value)'!$A$7:$C$209,3,0)</f>
        <v>-8</v>
      </c>
      <c r="M155" s="33">
        <f t="shared" si="57"/>
        <v>-0.71813285457809695</v>
      </c>
      <c r="N155" s="5">
        <f>VLOOKUP($B155,'Data Vlaue (Cr)'!$C:$FB,67)</f>
        <v>455</v>
      </c>
      <c r="O155" s="5">
        <f>VLOOKUP($B155,'Data Vlaue (Cr)'!$C:$FB,68)</f>
        <v>533</v>
      </c>
      <c r="P155" s="5">
        <f t="shared" si="58"/>
        <v>-17.142857142857142</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Technology</v>
      </c>
      <c r="B156" s="79" t="str">
        <f>'Data shares'!C151</f>
        <v>OFSS</v>
      </c>
      <c r="C156" s="4">
        <f>VLOOKUP($B156,'Data shares'!$C:$FB,7)</f>
        <v>9213</v>
      </c>
      <c r="D156" s="82">
        <f>VLOOKUP($B156,'Data shares'!$C:$FB,98)</f>
        <v>1942125</v>
      </c>
      <c r="E156" s="165">
        <f>VLOOKUP(B156,'Snapshot (Volume)'!$A$7:$G$168,7,0)</f>
        <v>1823025</v>
      </c>
      <c r="F156" s="165">
        <f t="shared" si="54"/>
        <v>119100</v>
      </c>
      <c r="G156" s="166">
        <f t="shared" si="55"/>
        <v>6.5330974616365653E-2</v>
      </c>
      <c r="H156" s="165">
        <f>VLOOKUP($B156,'Data shares'!$C:$FB,66)</f>
        <v>1502025</v>
      </c>
      <c r="I156" s="165">
        <f>VLOOKUP($B156,'Data shares'!$C:$FB,67)</f>
        <v>1643775</v>
      </c>
      <c r="J156" s="81">
        <f t="shared" si="56"/>
        <v>-8.6234429894602371</v>
      </c>
      <c r="K156" s="5">
        <f>VLOOKUP($B156,'Data Vlaue (Cr)'!$C:$FB,99)</f>
        <v>1800</v>
      </c>
      <c r="L156" s="81">
        <f>VLOOKUP(B156,'OI(Value)'!$A$7:$C$209,3,0)</f>
        <v>110</v>
      </c>
      <c r="M156" s="33">
        <f t="shared" si="57"/>
        <v>6.1111111111111107</v>
      </c>
      <c r="N156" s="5">
        <f>VLOOKUP($B156,'Data Vlaue (Cr)'!$C:$FB,67)</f>
        <v>1392</v>
      </c>
      <c r="O156" s="5">
        <f>VLOOKUP($B156,'Data Vlaue (Cr)'!$C:$FB,68)</f>
        <v>1523</v>
      </c>
      <c r="P156" s="5">
        <f t="shared" si="58"/>
        <v>-9.4109195402298855</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Oil_Gas</v>
      </c>
      <c r="B157" s="79" t="str">
        <f>'Data shares'!C152</f>
        <v>OIL</v>
      </c>
      <c r="C157" s="4">
        <f>VLOOKUP($B157,'Data shares'!$C:$FB,7)</f>
        <v>418.2</v>
      </c>
      <c r="D157" s="82">
        <f>VLOOKUP($B157,'Data shares'!$C:$FB,98)</f>
        <v>19237400</v>
      </c>
      <c r="E157" s="165">
        <f>VLOOKUP(B157,'Snapshot (Volume)'!$A$7:$G$168,7,0)</f>
        <v>18726400</v>
      </c>
      <c r="F157" s="165">
        <f t="shared" si="54"/>
        <v>511000</v>
      </c>
      <c r="G157" s="166">
        <f t="shared" si="55"/>
        <v>2.7287679425837319E-2</v>
      </c>
      <c r="H157" s="165">
        <f>VLOOKUP($B157,'Data shares'!$C:$FB,66)</f>
        <v>3896200</v>
      </c>
      <c r="I157" s="165">
        <f>VLOOKUP($B157,'Data shares'!$C:$FB,67)</f>
        <v>4655000</v>
      </c>
      <c r="J157" s="81">
        <f t="shared" si="56"/>
        <v>-16.300751879699249</v>
      </c>
      <c r="K157" s="5">
        <f>VLOOKUP($B157,'Data Vlaue (Cr)'!$C:$FB,99)</f>
        <v>804</v>
      </c>
      <c r="L157" s="81">
        <f>VLOOKUP(B157,'OI(Value)'!$A$7:$C$209,3,0)</f>
        <v>21</v>
      </c>
      <c r="M157" s="33">
        <f t="shared" si="57"/>
        <v>2.6119402985074625</v>
      </c>
      <c r="N157" s="5">
        <f>VLOOKUP($B157,'Data Vlaue (Cr)'!$C:$FB,67)</f>
        <v>163</v>
      </c>
      <c r="O157" s="5">
        <f>VLOOKUP($B157,'Data Vlaue (Cr)'!$C:$FB,68)</f>
        <v>195</v>
      </c>
      <c r="P157" s="5">
        <f t="shared" si="58"/>
        <v>-19.631901840490798</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Oil_Gas</v>
      </c>
      <c r="B158" s="79" t="str">
        <f>'Data shares'!C153</f>
        <v>ONGC</v>
      </c>
      <c r="C158" s="4">
        <f>VLOOKUP($B158,'Data shares'!$C:$FB,7)</f>
        <v>246.34</v>
      </c>
      <c r="D158" s="82">
        <f>VLOOKUP($B158,'Data shares'!$C:$FB,98)</f>
        <v>172152000</v>
      </c>
      <c r="E158" s="165">
        <f>VLOOKUP(B158,'Snapshot (Volume)'!$A$7:$G$168,7,0)</f>
        <v>173252250</v>
      </c>
      <c r="F158" s="165">
        <f t="shared" si="54"/>
        <v>-1100250</v>
      </c>
      <c r="G158" s="166">
        <f t="shared" si="55"/>
        <v>-6.3505668757548603E-3</v>
      </c>
      <c r="H158" s="165">
        <f>VLOOKUP($B158,'Data shares'!$C:$FB,66)</f>
        <v>85137750</v>
      </c>
      <c r="I158" s="165">
        <f>VLOOKUP($B158,'Data shares'!$C:$FB,67)</f>
        <v>69394500</v>
      </c>
      <c r="J158" s="81">
        <f t="shared" si="56"/>
        <v>22.686596199987029</v>
      </c>
      <c r="K158" s="5">
        <f>VLOOKUP($B158,'Data Vlaue (Cr)'!$C:$FB,99)</f>
        <v>4249</v>
      </c>
      <c r="L158" s="81">
        <f>VLOOKUP(B158,'OI(Value)'!$A$7:$C$209,3,0)</f>
        <v>-27</v>
      </c>
      <c r="M158" s="33">
        <f t="shared" si="57"/>
        <v>-0.6354436337961874</v>
      </c>
      <c r="N158" s="5">
        <f>VLOOKUP($B158,'Data Vlaue (Cr)'!$C:$FB,67)</f>
        <v>2101</v>
      </c>
      <c r="O158" s="5">
        <f>VLOOKUP($B158,'Data Vlaue (Cr)'!$C:$FB,68)</f>
        <v>1713</v>
      </c>
      <c r="P158" s="5">
        <f t="shared" si="58"/>
        <v>18.46739647786768</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Textile</v>
      </c>
      <c r="B159" s="79" t="str">
        <f>'Data shares'!C154</f>
        <v>PAGEIND</v>
      </c>
      <c r="C159" s="4">
        <f>VLOOKUP($B159,'Data shares'!$C:$FB,7)</f>
        <v>41640</v>
      </c>
      <c r="D159" s="82">
        <f>VLOOKUP($B159,'Data shares'!$C:$FB,98)</f>
        <v>340185</v>
      </c>
      <c r="E159" s="165">
        <f>VLOOKUP(B159,'Snapshot (Volume)'!$A$7:$G$168,7,0)</f>
        <v>331995</v>
      </c>
      <c r="F159" s="165">
        <f t="shared" si="54"/>
        <v>8190</v>
      </c>
      <c r="G159" s="166">
        <f t="shared" si="55"/>
        <v>2.466904622057561E-2</v>
      </c>
      <c r="H159" s="165">
        <f>VLOOKUP($B159,'Data shares'!$C:$FB,66)</f>
        <v>94485</v>
      </c>
      <c r="I159" s="165">
        <f>VLOOKUP($B159,'Data shares'!$C:$FB,67)</f>
        <v>125145</v>
      </c>
      <c r="J159" s="81">
        <f t="shared" si="56"/>
        <v>-24.499580486635502</v>
      </c>
      <c r="K159" s="5">
        <f>VLOOKUP($B159,'Data Vlaue (Cr)'!$C:$FB,99)</f>
        <v>1410</v>
      </c>
      <c r="L159" s="81">
        <f>VLOOKUP(B159,'OI(Value)'!$A$7:$C$209,3,0)</f>
        <v>34</v>
      </c>
      <c r="M159" s="33">
        <f t="shared" si="57"/>
        <v>2.4113475177304964</v>
      </c>
      <c r="N159" s="5">
        <f>VLOOKUP($B159,'Data Vlaue (Cr)'!$C:$FB,67)</f>
        <v>392</v>
      </c>
      <c r="O159" s="5">
        <f>VLOOKUP($B159,'Data Vlaue (Cr)'!$C:$FB,68)</f>
        <v>519</v>
      </c>
      <c r="P159" s="5">
        <f t="shared" si="58"/>
        <v>-32.397959183673471</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FMCG</v>
      </c>
      <c r="B160" s="79" t="str">
        <f>'Data shares'!C155</f>
        <v>PATANJALI</v>
      </c>
      <c r="C160" s="4">
        <f>VLOOKUP($B160,'Data shares'!$C:$FB,7)</f>
        <v>594.1</v>
      </c>
      <c r="D160" s="82">
        <f>VLOOKUP($B160,'Data shares'!$C:$FB,98)</f>
        <v>41304600</v>
      </c>
      <c r="E160" s="165">
        <f>VLOOKUP(B160,'Snapshot (Volume)'!$A$7:$G$168,7,0)</f>
        <v>40735800</v>
      </c>
      <c r="F160" s="165">
        <f t="shared" si="54"/>
        <v>568800</v>
      </c>
      <c r="G160" s="166">
        <f t="shared" si="55"/>
        <v>1.3963147894481021E-2</v>
      </c>
      <c r="H160" s="165">
        <f>VLOOKUP($B160,'Data shares'!$C:$FB,66)</f>
        <v>5893200</v>
      </c>
      <c r="I160" s="165">
        <f>VLOOKUP($B160,'Data shares'!$C:$FB,67)</f>
        <v>7703100</v>
      </c>
      <c r="J160" s="81">
        <f t="shared" si="56"/>
        <v>-23.495735483117187</v>
      </c>
      <c r="K160" s="5">
        <f>VLOOKUP($B160,'Data Vlaue (Cr)'!$C:$FB,99)</f>
        <v>2457</v>
      </c>
      <c r="L160" s="81">
        <f>VLOOKUP(B160,'OI(Value)'!$A$7:$C$209,3,0)</f>
        <v>34</v>
      </c>
      <c r="M160" s="33">
        <f t="shared" si="57"/>
        <v>1.3838013838013838</v>
      </c>
      <c r="N160" s="5">
        <f>VLOOKUP($B160,'Data Vlaue (Cr)'!$C:$FB,67)</f>
        <v>350</v>
      </c>
      <c r="O160" s="5">
        <f>VLOOKUP($B160,'Data Vlaue (Cr)'!$C:$FB,68)</f>
        <v>458</v>
      </c>
      <c r="P160" s="5">
        <f t="shared" si="58"/>
        <v>-30.857142857142854</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New_Age</v>
      </c>
      <c r="B161" s="79" t="str">
        <f>'Data shares'!C156</f>
        <v>PAYTM</v>
      </c>
      <c r="C161" s="4">
        <f>VLOOKUP($B161,'Data shares'!$C:$FB,7)</f>
        <v>1236.9000000000001</v>
      </c>
      <c r="D161" s="82">
        <f>VLOOKUP($B161,'Data shares'!$C:$FB,98)</f>
        <v>39254400</v>
      </c>
      <c r="E161" s="165">
        <f>VLOOKUP(B161,'Snapshot (Volume)'!$A$7:$G$168,7,0)</f>
        <v>39548025</v>
      </c>
      <c r="F161" s="165">
        <f t="shared" si="54"/>
        <v>-293625</v>
      </c>
      <c r="G161" s="166">
        <f t="shared" si="55"/>
        <v>-7.4245174063685858E-3</v>
      </c>
      <c r="H161" s="165">
        <f>VLOOKUP($B161,'Data shares'!$C:$FB,66)</f>
        <v>26136250</v>
      </c>
      <c r="I161" s="165">
        <f>VLOOKUP($B161,'Data shares'!$C:$FB,67)</f>
        <v>25783900</v>
      </c>
      <c r="J161" s="81">
        <f t="shared" si="56"/>
        <v>1.366550444269486</v>
      </c>
      <c r="K161" s="5">
        <f>VLOOKUP($B161,'Data Vlaue (Cr)'!$C:$FB,99)</f>
        <v>4880</v>
      </c>
      <c r="L161" s="81">
        <f>VLOOKUP(B161,'OI(Value)'!$A$7:$C$209,3,0)</f>
        <v>-37</v>
      </c>
      <c r="M161" s="33">
        <f t="shared" si="57"/>
        <v>-0.75819672131147542</v>
      </c>
      <c r="N161" s="5">
        <f>VLOOKUP($B161,'Data Vlaue (Cr)'!$C:$FB,67)</f>
        <v>3249</v>
      </c>
      <c r="O161" s="5">
        <f>VLOOKUP($B161,'Data Vlaue (Cr)'!$C:$FB,68)</f>
        <v>3205</v>
      </c>
      <c r="P161" s="5">
        <f t="shared" si="58"/>
        <v>1.3542628501077256</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Technology</v>
      </c>
      <c r="B162" s="79" t="str">
        <f>'Data shares'!C157</f>
        <v>PERSISTENT</v>
      </c>
      <c r="C162" s="4">
        <f>VLOOKUP($B162,'Data shares'!$C:$FB,7)</f>
        <v>5357.7</v>
      </c>
      <c r="D162" s="82">
        <f>VLOOKUP($B162,'Data shares'!$C:$FB,98)</f>
        <v>4646500</v>
      </c>
      <c r="E162" s="165">
        <f>VLOOKUP(B162,'Snapshot (Volume)'!$A$7:$G$168,7,0)</f>
        <v>4668000</v>
      </c>
      <c r="F162" s="165">
        <f t="shared" si="54"/>
        <v>-21500</v>
      </c>
      <c r="G162" s="166">
        <f t="shared" si="55"/>
        <v>-4.6058269065981147E-3</v>
      </c>
      <c r="H162" s="165">
        <f>VLOOKUP($B162,'Data shares'!$C:$FB,66)</f>
        <v>2216600</v>
      </c>
      <c r="I162" s="165">
        <f>VLOOKUP($B162,'Data shares'!$C:$FB,67)</f>
        <v>2052700</v>
      </c>
      <c r="J162" s="81">
        <f t="shared" si="56"/>
        <v>7.9846056413504156</v>
      </c>
      <c r="K162" s="5">
        <f>VLOOKUP($B162,'Data Vlaue (Cr)'!$C:$FB,99)</f>
        <v>2501</v>
      </c>
      <c r="L162" s="81">
        <f>VLOOKUP(B162,'OI(Value)'!$A$7:$C$209,3,0)</f>
        <v>-12</v>
      </c>
      <c r="M162" s="33">
        <f t="shared" si="57"/>
        <v>-0.47980807676929227</v>
      </c>
      <c r="N162" s="5">
        <f>VLOOKUP($B162,'Data Vlaue (Cr)'!$C:$FB,67)</f>
        <v>1193</v>
      </c>
      <c r="O162" s="5">
        <f>VLOOKUP($B162,'Data Vlaue (Cr)'!$C:$FB,68)</f>
        <v>1105</v>
      </c>
      <c r="P162" s="5">
        <f>(N162-O162)/N162*100</f>
        <v>7.3763621123218766</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Oil_Gas</v>
      </c>
      <c r="B163" s="79" t="str">
        <f>'Data shares'!C158</f>
        <v>PETRONET</v>
      </c>
      <c r="C163" s="4">
        <f>VLOOKUP($B163,'Data shares'!$C:$FB,7)</f>
        <v>281.45</v>
      </c>
      <c r="D163" s="82">
        <f>VLOOKUP($B163,'Data shares'!$C:$FB,98)</f>
        <v>73503000</v>
      </c>
      <c r="E163" s="165">
        <f>VLOOKUP(B163,'Snapshot (Volume)'!$A$7:$G$168,7,0)</f>
        <v>72757800</v>
      </c>
      <c r="F163" s="165">
        <f t="shared" si="54"/>
        <v>745200</v>
      </c>
      <c r="G163" s="166">
        <f t="shared" si="55"/>
        <v>1.0242200836199006E-2</v>
      </c>
      <c r="H163" s="165">
        <f>VLOOKUP($B163,'Data shares'!$C:$FB,66)</f>
        <v>8474400</v>
      </c>
      <c r="I163" s="165">
        <f>VLOOKUP($B163,'Data shares'!$C:$FB,67)</f>
        <v>7461000</v>
      </c>
      <c r="J163" s="81">
        <f t="shared" si="56"/>
        <v>13.582629674306393</v>
      </c>
      <c r="K163" s="5">
        <f>VLOOKUP($B163,'Data Vlaue (Cr)'!$C:$FB,99)</f>
        <v>2077</v>
      </c>
      <c r="L163" s="81">
        <f>VLOOKUP(B163,'OI(Value)'!$A$7:$C$209,3,0)</f>
        <v>21</v>
      </c>
      <c r="M163" s="33">
        <f t="shared" si="57"/>
        <v>1.0110736639383726</v>
      </c>
      <c r="N163" s="5">
        <f>VLOOKUP($B163,'Data Vlaue (Cr)'!$C:$FB,67)</f>
        <v>239</v>
      </c>
      <c r="O163" s="5">
        <f>VLOOKUP($B163,'Data Vlaue (Cr)'!$C:$FB,68)</f>
        <v>211</v>
      </c>
      <c r="P163" s="5">
        <f>(N163-O163)/N163*100</f>
        <v>11.715481171548117</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Finance</v>
      </c>
      <c r="B164" s="79" t="str">
        <f>'Data shares'!C159</f>
        <v>PFC</v>
      </c>
      <c r="C164" s="4">
        <f>VLOOKUP($B164,'Data shares'!$C:$FB,7)</f>
        <v>403.85</v>
      </c>
      <c r="D164" s="82">
        <f>VLOOKUP($B164,'Data shares'!$C:$FB,98)</f>
        <v>95495400</v>
      </c>
      <c r="E164" s="165">
        <f>VLOOKUP(B164,'Snapshot (Volume)'!$A$7:$G$168,7,0)</f>
        <v>96718700</v>
      </c>
      <c r="F164" s="165">
        <f t="shared" si="54"/>
        <v>-1223300</v>
      </c>
      <c r="G164" s="166">
        <f t="shared" si="55"/>
        <v>-1.2648019462627186E-2</v>
      </c>
      <c r="H164" s="165">
        <f>VLOOKUP($B164,'Data shares'!$C:$FB,66)</f>
        <v>34078200</v>
      </c>
      <c r="I164" s="165">
        <f>VLOOKUP($B164,'Data shares'!$C:$FB,67)</f>
        <v>29528200</v>
      </c>
      <c r="J164" s="81">
        <f t="shared" si="56"/>
        <v>15.408998855331513</v>
      </c>
      <c r="K164" s="5">
        <f>VLOOKUP($B164,'Data Vlaue (Cr)'!$C:$FB,99)</f>
        <v>3875</v>
      </c>
      <c r="L164" s="81">
        <f>VLOOKUP(B164,'OI(Value)'!$A$7:$C$209,3,0)</f>
        <v>-50</v>
      </c>
      <c r="M164" s="33">
        <f t="shared" si="57"/>
        <v>-1.2903225806451613</v>
      </c>
      <c r="N164" s="5">
        <f>VLOOKUP($B164,'Data Vlaue (Cr)'!$C:$FB,67)</f>
        <v>1383</v>
      </c>
      <c r="O164" s="5">
        <f>VLOOKUP($B164,'Data Vlaue (Cr)'!$C:$FB,68)</f>
        <v>1198</v>
      </c>
      <c r="P164" s="5">
        <f>(N164-O164)/N164*100</f>
        <v>13.376717281272596</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shares'!B216</f>
        <v>Pharma</v>
      </c>
      <c r="B166" s="79" t="str">
        <f>'Data shares'!C216</f>
        <v>ZYDUSLIFE</v>
      </c>
      <c r="C166" s="4">
        <f>VLOOKUP($B166,'Data shares'!$C:$FB,7)</f>
        <v>993.45</v>
      </c>
      <c r="D166" s="82">
        <f>VLOOKUP($B166,'Data shares'!$C:$FB,98)</f>
        <v>14105700</v>
      </c>
      <c r="E166" s="165" t="e">
        <f>VLOOKUP(B166,'Snapshot (Volume)'!$A$7:$G$168,7,0)</f>
        <v>#N/A</v>
      </c>
      <c r="F166" s="165" t="e">
        <f t="shared" si="54"/>
        <v>#N/A</v>
      </c>
      <c r="G166" s="166" t="e">
        <f t="shared" si="55"/>
        <v>#N/A</v>
      </c>
      <c r="H166" s="165">
        <f>VLOOKUP($B166,'Data shares'!$C:$FB,66)</f>
        <v>12168900</v>
      </c>
      <c r="I166" s="165">
        <f>VLOOKUP($B166,'Data shares'!$C:$FB,67)</f>
        <v>15173100</v>
      </c>
      <c r="J166" s="81">
        <f t="shared" si="56"/>
        <v>-19.799513612907052</v>
      </c>
      <c r="K166" s="5">
        <f>VLOOKUP($B166,'Data Vlaue (Cr)'!$C:$FB,99)</f>
        <v>1409</v>
      </c>
      <c r="L166" s="81">
        <f>VLOOKUP(B166,'OI(Value)'!$A$7:$C$209,3,0)</f>
        <v>55</v>
      </c>
      <c r="M166" s="33">
        <f t="shared" si="57"/>
        <v>3.9034776437189493</v>
      </c>
      <c r="N166" s="5">
        <f>VLOOKUP($B166,'Data Vlaue (Cr)'!$C:$FB,67)</f>
        <v>1216</v>
      </c>
      <c r="O166" s="5">
        <f>VLOOKUP($B166,'Data Vlaue (Cr)'!$C:$FB,68)</f>
        <v>1516</v>
      </c>
      <c r="P166" s="5">
        <f>(N166-O166)/N166*100</f>
        <v>-24.671052631578945</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9" activePane="bottomLeft" state="frozen"/>
      <selection pane="bottomLeft" activeCell="A32" sqref="A32"/>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45940</v>
      </c>
      <c r="C6" s="71" t="s">
        <v>333</v>
      </c>
      <c r="D6" s="71" t="s">
        <v>328</v>
      </c>
      <c r="E6" s="66">
        <f>B6</f>
        <v>45940</v>
      </c>
      <c r="F6" s="71" t="s">
        <v>333</v>
      </c>
      <c r="G6" s="71" t="s">
        <v>328</v>
      </c>
      <c r="H6" s="66">
        <f>B6</f>
        <v>45940</v>
      </c>
      <c r="I6" s="71" t="s">
        <v>333</v>
      </c>
      <c r="J6" s="71" t="s">
        <v>328</v>
      </c>
      <c r="K6" s="66">
        <f>B6</f>
        <v>45940</v>
      </c>
      <c r="L6" s="71" t="s">
        <v>333</v>
      </c>
      <c r="M6" s="71" t="s">
        <v>328</v>
      </c>
      <c r="N6" s="71" t="s">
        <v>339</v>
      </c>
      <c r="O6" s="71" t="s">
        <v>328</v>
      </c>
    </row>
    <row r="7" spans="1:15" x14ac:dyDescent="0.25">
      <c r="A7" s="100" t="str">
        <f>'OI(Value)'!A7</f>
        <v>360ONE</v>
      </c>
      <c r="B7" s="82">
        <f>VLOOKUP(A7,'Data shares'!$C$2:$CV$216,98,0)</f>
        <v>4059000</v>
      </c>
      <c r="C7" s="82">
        <f>VLOOKUP(A7,'Data shares'!$C$2:$CX$216,100,0)</f>
        <v>15000</v>
      </c>
      <c r="D7" s="141">
        <f>VLOOKUP(A7,'Data shares'!$C$2:$CY$539,101,0)</f>
        <v>3.7000000000000002E-3</v>
      </c>
      <c r="E7" s="86">
        <f>VLOOKUP($A7,'Data shares'!$C:$FA,74)</f>
        <v>2481500</v>
      </c>
      <c r="F7" s="86">
        <f>VLOOKUP($A7,'Data shares'!$C:$FA,76)</f>
        <v>21500</v>
      </c>
      <c r="G7" s="87">
        <f>VLOOKUP(A7,'Data shares'!$C$2:$CA$216,77,0)</f>
        <v>8.6999999999999994E-3</v>
      </c>
      <c r="H7" s="86">
        <f>VLOOKUP($A7,'Data shares'!$C:$FA,90)</f>
        <v>917500</v>
      </c>
      <c r="I7" s="86">
        <f>VLOOKUP($A7,'Data shares'!$C:$FA,92)</f>
        <v>-5500</v>
      </c>
      <c r="J7" s="87">
        <f>VLOOKUP($A7,'Data shares'!$C:$FA,93)</f>
        <v>-6.0000000000000001E-3</v>
      </c>
      <c r="K7" s="86">
        <f>VLOOKUP($A7,'Data shares'!$C:$FA,94)</f>
        <v>660000</v>
      </c>
      <c r="L7" s="86">
        <f>VLOOKUP($A7,'Data shares'!$C:$FA,96)</f>
        <v>-1000</v>
      </c>
      <c r="M7" s="87">
        <f>VLOOKUP($A7,'Data shares'!$C:$FA,97)</f>
        <v>-1.5E-3</v>
      </c>
      <c r="N7" s="86">
        <f>VLOOKUP($A7,'Data shares'!$C:$FA,78)</f>
        <v>2432000</v>
      </c>
      <c r="O7" s="87">
        <f>VLOOKUP($A7,'Data shares'!$C:$FA,81)</f>
        <v>7.7000000000000002E-3</v>
      </c>
    </row>
    <row r="8" spans="1:15" x14ac:dyDescent="0.25">
      <c r="A8" s="100" t="str">
        <f>'OI(Value)'!A8</f>
        <v>ABB</v>
      </c>
      <c r="B8" s="82">
        <f>VLOOKUP(A8,'Data shares'!$C$2:$CV$216,98,0)</f>
        <v>4563125</v>
      </c>
      <c r="C8" s="82">
        <f>VLOOKUP(A8,'Data shares'!$C$2:$CX$216,100,0)</f>
        <v>-43750</v>
      </c>
      <c r="D8" s="141">
        <f>VLOOKUP(A8,'Data shares'!$C$2:$CY$539,101,0)</f>
        <v>-9.4999999999999998E-3</v>
      </c>
      <c r="E8" s="86">
        <f>VLOOKUP($A8,'Data shares'!$C:$FA,74)</f>
        <v>2487250</v>
      </c>
      <c r="F8" s="86">
        <f>VLOOKUP($A8,'Data shares'!$C:$FA,76)</f>
        <v>-21125</v>
      </c>
      <c r="G8" s="87">
        <f>VLOOKUP(A8,'Data shares'!$C$2:$CA$216,77,0)</f>
        <v>-8.3999999999999995E-3</v>
      </c>
      <c r="H8" s="86">
        <f>VLOOKUP($A8,'Data shares'!$C:$FA,90)</f>
        <v>1261125</v>
      </c>
      <c r="I8" s="86">
        <f>VLOOKUP($A8,'Data shares'!$C:$FA,92)</f>
        <v>-29875</v>
      </c>
      <c r="J8" s="87">
        <f>VLOOKUP($A8,'Data shares'!$C:$FA,93)</f>
        <v>-2.3099999999999999E-2</v>
      </c>
      <c r="K8" s="86">
        <f>VLOOKUP($A8,'Data shares'!$C:$FA,94)</f>
        <v>814750</v>
      </c>
      <c r="L8" s="86">
        <f>VLOOKUP($A8,'Data shares'!$C:$FA,96)</f>
        <v>7250</v>
      </c>
      <c r="M8" s="87">
        <f>VLOOKUP($A8,'Data shares'!$C:$FA,97)</f>
        <v>8.9999999999999993E-3</v>
      </c>
      <c r="N8" s="86">
        <f>VLOOKUP($A8,'Data shares'!$C:$FA,78)</f>
        <v>2378125</v>
      </c>
      <c r="O8" s="87">
        <f>VLOOKUP($A8,'Data shares'!$C:$FA,81)</f>
        <v>-1.01E-2</v>
      </c>
    </row>
    <row r="9" spans="1:15" x14ac:dyDescent="0.25">
      <c r="A9" s="100" t="str">
        <f>'OI(Value)'!A9</f>
        <v>ABCAPITAL</v>
      </c>
      <c r="B9" s="82">
        <f>VLOOKUP(A9,'Data shares'!$C$2:$CV$216,98,0)</f>
        <v>107498700</v>
      </c>
      <c r="C9" s="82">
        <f>VLOOKUP(A9,'Data shares'!$C$2:$CX$216,100,0)</f>
        <v>4603500</v>
      </c>
      <c r="D9" s="141">
        <f>VLOOKUP(A9,'Data shares'!$C$2:$CY$539,101,0)</f>
        <v>4.4699999999999997E-2</v>
      </c>
      <c r="E9" s="86">
        <f>VLOOKUP($A9,'Data shares'!$C:$FA,74)</f>
        <v>72164900</v>
      </c>
      <c r="F9" s="86">
        <f>VLOOKUP($A9,'Data shares'!$C:$FA,76)</f>
        <v>1500400</v>
      </c>
      <c r="G9" s="87">
        <f>VLOOKUP(A9,'Data shares'!$C$2:$CA$216,77,0)</f>
        <v>2.12E-2</v>
      </c>
      <c r="H9" s="86">
        <f>VLOOKUP($A9,'Data shares'!$C:$FA,90)</f>
        <v>22967900</v>
      </c>
      <c r="I9" s="86">
        <f>VLOOKUP($A9,'Data shares'!$C:$FA,92)</f>
        <v>2523400</v>
      </c>
      <c r="J9" s="87">
        <f>VLOOKUP($A9,'Data shares'!$C:$FA,93)</f>
        <v>0.1234</v>
      </c>
      <c r="K9" s="86">
        <f>VLOOKUP($A9,'Data shares'!$C:$FA,94)</f>
        <v>12365900</v>
      </c>
      <c r="L9" s="86">
        <f>VLOOKUP($A9,'Data shares'!$C:$FA,96)</f>
        <v>579700</v>
      </c>
      <c r="M9" s="87">
        <f>VLOOKUP($A9,'Data shares'!$C:$FA,97)</f>
        <v>4.9200000000000001E-2</v>
      </c>
      <c r="N9" s="86">
        <f>VLOOKUP($A9,'Data shares'!$C:$FA,78)</f>
        <v>70221200</v>
      </c>
      <c r="O9" s="87">
        <f>VLOOKUP($A9,'Data shares'!$C:$FA,81)</f>
        <v>1.8700000000000001E-2</v>
      </c>
    </row>
    <row r="10" spans="1:15" x14ac:dyDescent="0.25">
      <c r="A10" s="100" t="str">
        <f>'OI(Value)'!A10</f>
        <v>ADANIENSOL</v>
      </c>
      <c r="B10" s="82">
        <f>VLOOKUP(A10,'Data shares'!$C$2:$CV$216,98,0)</f>
        <v>23994225</v>
      </c>
      <c r="C10" s="82">
        <f>VLOOKUP(A10,'Data shares'!$C$2:$CX$216,100,0)</f>
        <v>35100</v>
      </c>
      <c r="D10" s="141">
        <f>VLOOKUP(A10,'Data shares'!$C$2:$CY$539,101,0)</f>
        <v>1.5E-3</v>
      </c>
      <c r="E10" s="86">
        <f>VLOOKUP($A10,'Data shares'!$C:$FA,74)</f>
        <v>18421425</v>
      </c>
      <c r="F10" s="86">
        <f>VLOOKUP($A10,'Data shares'!$C:$FA,76)</f>
        <v>-49275</v>
      </c>
      <c r="G10" s="87">
        <f>VLOOKUP(A10,'Data shares'!$C$2:$CA$216,77,0)</f>
        <v>-2.7000000000000001E-3</v>
      </c>
      <c r="H10" s="86">
        <f>VLOOKUP($A10,'Data shares'!$C:$FA,90)</f>
        <v>3493800</v>
      </c>
      <c r="I10" s="86">
        <f>VLOOKUP($A10,'Data shares'!$C:$FA,92)</f>
        <v>101925</v>
      </c>
      <c r="J10" s="87">
        <f>VLOOKUP($A10,'Data shares'!$C:$FA,93)</f>
        <v>0.03</v>
      </c>
      <c r="K10" s="86">
        <f>VLOOKUP($A10,'Data shares'!$C:$FA,94)</f>
        <v>2079000</v>
      </c>
      <c r="L10" s="86">
        <f>VLOOKUP($A10,'Data shares'!$C:$FA,96)</f>
        <v>-17550</v>
      </c>
      <c r="M10" s="87">
        <f>VLOOKUP($A10,'Data shares'!$C:$FA,97)</f>
        <v>-8.3999999999999995E-3</v>
      </c>
      <c r="N10" s="86">
        <f>VLOOKUP($A10,'Data shares'!$C:$FA,78)</f>
        <v>18164250</v>
      </c>
      <c r="O10" s="87">
        <f>VLOOKUP($A10,'Data shares'!$C:$FA,81)</f>
        <v>-3.2000000000000002E-3</v>
      </c>
    </row>
    <row r="11" spans="1:15" x14ac:dyDescent="0.25">
      <c r="A11" s="100" t="str">
        <f>'OI(Value)'!A11</f>
        <v>ADANIENT</v>
      </c>
      <c r="B11" s="82">
        <f>VLOOKUP(A11,'Data shares'!$C$2:$CV$216,98,0)</f>
        <v>27175500</v>
      </c>
      <c r="C11" s="82">
        <f>VLOOKUP(A11,'Data shares'!$C$2:$CX$216,100,0)</f>
        <v>110700</v>
      </c>
      <c r="D11" s="141">
        <f>VLOOKUP(A11,'Data shares'!$C$2:$CY$539,101,0)</f>
        <v>4.1000000000000003E-3</v>
      </c>
      <c r="E11" s="86">
        <f>VLOOKUP($A11,'Data shares'!$C:$FA,74)</f>
        <v>14297700</v>
      </c>
      <c r="F11" s="86">
        <f>VLOOKUP($A11,'Data shares'!$C:$FA,76)</f>
        <v>-25500</v>
      </c>
      <c r="G11" s="87">
        <f>VLOOKUP(A11,'Data shares'!$C$2:$CA$216,77,0)</f>
        <v>-1.8E-3</v>
      </c>
      <c r="H11" s="86">
        <f>VLOOKUP($A11,'Data shares'!$C:$FA,90)</f>
        <v>8176500</v>
      </c>
      <c r="I11" s="86">
        <f>VLOOKUP($A11,'Data shares'!$C:$FA,92)</f>
        <v>35400</v>
      </c>
      <c r="J11" s="87">
        <f>VLOOKUP($A11,'Data shares'!$C:$FA,93)</f>
        <v>4.3E-3</v>
      </c>
      <c r="K11" s="86">
        <f>VLOOKUP($A11,'Data shares'!$C:$FA,94)</f>
        <v>4701300</v>
      </c>
      <c r="L11" s="86">
        <f>VLOOKUP($A11,'Data shares'!$C:$FA,96)</f>
        <v>100800</v>
      </c>
      <c r="M11" s="87">
        <f>VLOOKUP($A11,'Data shares'!$C:$FA,97)</f>
        <v>2.1899999999999999E-2</v>
      </c>
      <c r="N11" s="86">
        <f>VLOOKUP($A11,'Data shares'!$C:$FA,78)</f>
        <v>13960500</v>
      </c>
      <c r="O11" s="87">
        <f>VLOOKUP($A11,'Data shares'!$C:$FA,81)</f>
        <v>-4.1999999999999997E-3</v>
      </c>
    </row>
    <row r="12" spans="1:15" x14ac:dyDescent="0.25">
      <c r="A12" s="100" t="str">
        <f>'OI(Value)'!A12</f>
        <v>ADANIGREEN</v>
      </c>
      <c r="B12" s="82">
        <f>VLOOKUP(A12,'Data shares'!$C$2:$CV$216,98,0)</f>
        <v>36364200</v>
      </c>
      <c r="C12" s="82">
        <f>VLOOKUP(A12,'Data shares'!$C$2:$CX$216,100,0)</f>
        <v>-13800</v>
      </c>
      <c r="D12" s="141">
        <f>VLOOKUP(A12,'Data shares'!$C$2:$CY$539,101,0)</f>
        <v>-4.0000000000000002E-4</v>
      </c>
      <c r="E12" s="86">
        <f>VLOOKUP($A12,'Data shares'!$C:$FA,74)</f>
        <v>20556600</v>
      </c>
      <c r="F12" s="86">
        <f>VLOOKUP($A12,'Data shares'!$C:$FA,76)</f>
        <v>267000</v>
      </c>
      <c r="G12" s="87">
        <f>VLOOKUP(A12,'Data shares'!$C$2:$CA$216,77,0)</f>
        <v>1.32E-2</v>
      </c>
      <c r="H12" s="86">
        <f>VLOOKUP($A12,'Data shares'!$C:$FA,90)</f>
        <v>10482600</v>
      </c>
      <c r="I12" s="86">
        <f>VLOOKUP($A12,'Data shares'!$C:$FA,92)</f>
        <v>-345600</v>
      </c>
      <c r="J12" s="87">
        <f>VLOOKUP($A12,'Data shares'!$C:$FA,93)</f>
        <v>-3.1899999999999998E-2</v>
      </c>
      <c r="K12" s="86">
        <f>VLOOKUP($A12,'Data shares'!$C:$FA,94)</f>
        <v>5325000</v>
      </c>
      <c r="L12" s="86">
        <f>VLOOKUP($A12,'Data shares'!$C:$FA,96)</f>
        <v>64800</v>
      </c>
      <c r="M12" s="87">
        <f>VLOOKUP($A12,'Data shares'!$C:$FA,97)</f>
        <v>1.23E-2</v>
      </c>
      <c r="N12" s="86">
        <f>VLOOKUP($A12,'Data shares'!$C:$FA,78)</f>
        <v>19807800</v>
      </c>
      <c r="O12" s="87">
        <f>VLOOKUP($A12,'Data shares'!$C:$FA,81)</f>
        <v>1.1900000000000001E-2</v>
      </c>
    </row>
    <row r="13" spans="1:15" x14ac:dyDescent="0.25">
      <c r="A13" s="100" t="str">
        <f>'OI(Value)'!A13</f>
        <v>ADANIPORTS</v>
      </c>
      <c r="B13" s="82">
        <f>VLOOKUP(A13,'Data shares'!$C$2:$CV$216,98,0)</f>
        <v>34877350</v>
      </c>
      <c r="C13" s="82">
        <f>VLOOKUP(A13,'Data shares'!$C$2:$CX$216,100,0)</f>
        <v>51300</v>
      </c>
      <c r="D13" s="141">
        <f>VLOOKUP(A13,'Data shares'!$C$2:$CY$539,101,0)</f>
        <v>1.5E-3</v>
      </c>
      <c r="E13" s="86">
        <f>VLOOKUP($A13,'Data shares'!$C:$FA,74)</f>
        <v>22842750</v>
      </c>
      <c r="F13" s="86">
        <f>VLOOKUP($A13,'Data shares'!$C:$FA,76)</f>
        <v>113525</v>
      </c>
      <c r="G13" s="87">
        <f>VLOOKUP(A13,'Data shares'!$C$2:$CA$216,77,0)</f>
        <v>5.0000000000000001E-3</v>
      </c>
      <c r="H13" s="86">
        <f>VLOOKUP($A13,'Data shares'!$C:$FA,90)</f>
        <v>7550600</v>
      </c>
      <c r="I13" s="86">
        <f>VLOOKUP($A13,'Data shares'!$C:$FA,92)</f>
        <v>-56050</v>
      </c>
      <c r="J13" s="87">
        <f>VLOOKUP($A13,'Data shares'!$C:$FA,93)</f>
        <v>-7.4000000000000003E-3</v>
      </c>
      <c r="K13" s="86">
        <f>VLOOKUP($A13,'Data shares'!$C:$FA,94)</f>
        <v>4484000</v>
      </c>
      <c r="L13" s="86">
        <f>VLOOKUP($A13,'Data shares'!$C:$FA,96)</f>
        <v>-6175</v>
      </c>
      <c r="M13" s="87">
        <f>VLOOKUP($A13,'Data shares'!$C:$FA,97)</f>
        <v>-1.4E-3</v>
      </c>
      <c r="N13" s="86">
        <f>VLOOKUP($A13,'Data shares'!$C:$FA,78)</f>
        <v>22049025</v>
      </c>
      <c r="O13" s="87">
        <f>VLOOKUP($A13,'Data shares'!$C:$FA,81)</f>
        <v>1.4E-3</v>
      </c>
    </row>
    <row r="14" spans="1:15" x14ac:dyDescent="0.25">
      <c r="A14" s="100" t="str">
        <f>'OI(Value)'!A14</f>
        <v>ALKEM</v>
      </c>
      <c r="B14" s="82">
        <f>VLOOKUP(A14,'Data shares'!$C$2:$CV$216,98,0)</f>
        <v>1868750</v>
      </c>
      <c r="C14" s="82">
        <f>VLOOKUP(A14,'Data shares'!$C$2:$CX$216,100,0)</f>
        <v>24125</v>
      </c>
      <c r="D14" s="141">
        <f>VLOOKUP(A14,'Data shares'!$C$2:$CY$539,101,0)</f>
        <v>1.3100000000000001E-2</v>
      </c>
      <c r="E14" s="86">
        <f>VLOOKUP($A14,'Data shares'!$C:$FA,74)</f>
        <v>1520875</v>
      </c>
      <c r="F14" s="86">
        <f>VLOOKUP($A14,'Data shares'!$C:$FA,76)</f>
        <v>-6125</v>
      </c>
      <c r="G14" s="87">
        <f>VLOOKUP(A14,'Data shares'!$C$2:$CA$216,77,0)</f>
        <v>-4.0000000000000001E-3</v>
      </c>
      <c r="H14" s="86">
        <f>VLOOKUP($A14,'Data shares'!$C:$FA,90)</f>
        <v>217750</v>
      </c>
      <c r="I14" s="86">
        <f>VLOOKUP($A14,'Data shares'!$C:$FA,92)</f>
        <v>19500</v>
      </c>
      <c r="J14" s="87">
        <f>VLOOKUP($A14,'Data shares'!$C:$FA,93)</f>
        <v>9.8400000000000001E-2</v>
      </c>
      <c r="K14" s="86">
        <f>VLOOKUP($A14,'Data shares'!$C:$FA,94)</f>
        <v>130125</v>
      </c>
      <c r="L14" s="86">
        <f>VLOOKUP($A14,'Data shares'!$C:$FA,96)</f>
        <v>10750</v>
      </c>
      <c r="M14" s="87">
        <f>VLOOKUP($A14,'Data shares'!$C:$FA,97)</f>
        <v>9.01E-2</v>
      </c>
      <c r="N14" s="86">
        <f>VLOOKUP($A14,'Data shares'!$C:$FA,78)</f>
        <v>1507250</v>
      </c>
      <c r="O14" s="87">
        <f>VLOOKUP($A14,'Data shares'!$C:$FA,81)</f>
        <v>-5.1000000000000004E-3</v>
      </c>
    </row>
    <row r="15" spans="1:15" x14ac:dyDescent="0.25">
      <c r="A15" s="100" t="str">
        <f>'OI(Value)'!A15</f>
        <v>AMBER</v>
      </c>
      <c r="B15" s="82">
        <f>VLOOKUP(A15,'Data shares'!$C$2:$CV$216,98,0)</f>
        <v>1422800</v>
      </c>
      <c r="C15" s="82">
        <f>VLOOKUP(A15,'Data shares'!$C$2:$CX$216,100,0)</f>
        <v>-97200</v>
      </c>
      <c r="D15" s="141">
        <f>VLOOKUP(A15,'Data shares'!$C$2:$CY$539,101,0)</f>
        <v>-6.3899999999999998E-2</v>
      </c>
      <c r="E15" s="86">
        <f>VLOOKUP($A15,'Data shares'!$C:$FA,74)</f>
        <v>559000</v>
      </c>
      <c r="F15" s="86">
        <f>VLOOKUP($A15,'Data shares'!$C:$FA,76)</f>
        <v>-22000</v>
      </c>
      <c r="G15" s="87">
        <f>VLOOKUP(A15,'Data shares'!$C$2:$CA$216,77,0)</f>
        <v>-3.7900000000000003E-2</v>
      </c>
      <c r="H15" s="86">
        <f>VLOOKUP($A15,'Data shares'!$C:$FA,90)</f>
        <v>547000</v>
      </c>
      <c r="I15" s="86">
        <f>VLOOKUP($A15,'Data shares'!$C:$FA,92)</f>
        <v>-76200</v>
      </c>
      <c r="J15" s="87">
        <f>VLOOKUP($A15,'Data shares'!$C:$FA,93)</f>
        <v>-0.12230000000000001</v>
      </c>
      <c r="K15" s="86">
        <f>VLOOKUP($A15,'Data shares'!$C:$FA,94)</f>
        <v>316800</v>
      </c>
      <c r="L15" s="86">
        <f>VLOOKUP($A15,'Data shares'!$C:$FA,96)</f>
        <v>1000</v>
      </c>
      <c r="M15" s="87">
        <f>VLOOKUP($A15,'Data shares'!$C:$FA,97)</f>
        <v>3.2000000000000002E-3</v>
      </c>
      <c r="N15" s="86">
        <f>VLOOKUP($A15,'Data shares'!$C:$FA,78)</f>
        <v>515800</v>
      </c>
      <c r="O15" s="87">
        <f>VLOOKUP($A15,'Data shares'!$C:$FA,81)</f>
        <v>-4.3799999999999999E-2</v>
      </c>
    </row>
    <row r="16" spans="1:15" x14ac:dyDescent="0.25">
      <c r="A16" s="100" t="str">
        <f>'OI(Value)'!A16</f>
        <v>AMBUJACEM</v>
      </c>
      <c r="B16" s="82">
        <f>VLOOKUP(A16,'Data shares'!$C$2:$CV$216,98,0)</f>
        <v>60790800</v>
      </c>
      <c r="C16" s="82">
        <f>VLOOKUP(A16,'Data shares'!$C$2:$CX$216,100,0)</f>
        <v>-573300</v>
      </c>
      <c r="D16" s="141">
        <f>VLOOKUP(A16,'Data shares'!$C$2:$CY$539,101,0)</f>
        <v>-9.2999999999999992E-3</v>
      </c>
      <c r="E16" s="86">
        <f>VLOOKUP($A16,'Data shares'!$C:$FA,74)</f>
        <v>40946850</v>
      </c>
      <c r="F16" s="86">
        <f>VLOOKUP($A16,'Data shares'!$C:$FA,76)</f>
        <v>-511350</v>
      </c>
      <c r="G16" s="87">
        <f>VLOOKUP(A16,'Data shares'!$C$2:$CA$216,77,0)</f>
        <v>-1.23E-2</v>
      </c>
      <c r="H16" s="86">
        <f>VLOOKUP($A16,'Data shares'!$C:$FA,90)</f>
        <v>11734800</v>
      </c>
      <c r="I16" s="86">
        <f>VLOOKUP($A16,'Data shares'!$C:$FA,92)</f>
        <v>174300</v>
      </c>
      <c r="J16" s="87">
        <f>VLOOKUP($A16,'Data shares'!$C:$FA,93)</f>
        <v>1.5100000000000001E-2</v>
      </c>
      <c r="K16" s="86">
        <f>VLOOKUP($A16,'Data shares'!$C:$FA,94)</f>
        <v>8109150</v>
      </c>
      <c r="L16" s="86">
        <f>VLOOKUP($A16,'Data shares'!$C:$FA,96)</f>
        <v>-236250</v>
      </c>
      <c r="M16" s="87">
        <f>VLOOKUP($A16,'Data shares'!$C:$FA,97)</f>
        <v>-2.8299999999999999E-2</v>
      </c>
      <c r="N16" s="86">
        <f>VLOOKUP($A16,'Data shares'!$C:$FA,78)</f>
        <v>39961950</v>
      </c>
      <c r="O16" s="87">
        <f>VLOOKUP($A16,'Data shares'!$C:$FA,81)</f>
        <v>-1.37E-2</v>
      </c>
    </row>
    <row r="17" spans="1:15" x14ac:dyDescent="0.25">
      <c r="A17" s="100" t="str">
        <f>'OI(Value)'!A17</f>
        <v>ANGELONE</v>
      </c>
      <c r="B17" s="82">
        <f>VLOOKUP(A17,'Data shares'!$C$2:$CV$216,98,0)</f>
        <v>7478000</v>
      </c>
      <c r="C17" s="82">
        <f>VLOOKUP(A17,'Data shares'!$C$2:$CX$216,100,0)</f>
        <v>-267000</v>
      </c>
      <c r="D17" s="141">
        <f>VLOOKUP(A17,'Data shares'!$C$2:$CY$539,101,0)</f>
        <v>-3.4500000000000003E-2</v>
      </c>
      <c r="E17" s="86">
        <f>VLOOKUP($A17,'Data shares'!$C:$FA,74)</f>
        <v>4026500</v>
      </c>
      <c r="F17" s="86">
        <f>VLOOKUP($A17,'Data shares'!$C:$FA,76)</f>
        <v>16500</v>
      </c>
      <c r="G17" s="87">
        <f>VLOOKUP(A17,'Data shares'!$C$2:$CA$216,77,0)</f>
        <v>4.1000000000000003E-3</v>
      </c>
      <c r="H17" s="86">
        <f>VLOOKUP($A17,'Data shares'!$C:$FA,90)</f>
        <v>1945000</v>
      </c>
      <c r="I17" s="86">
        <f>VLOOKUP($A17,'Data shares'!$C:$FA,92)</f>
        <v>-242750</v>
      </c>
      <c r="J17" s="87">
        <f>VLOOKUP($A17,'Data shares'!$C:$FA,93)</f>
        <v>-0.111</v>
      </c>
      <c r="K17" s="86">
        <f>VLOOKUP($A17,'Data shares'!$C:$FA,94)</f>
        <v>1506500</v>
      </c>
      <c r="L17" s="86">
        <f>VLOOKUP($A17,'Data shares'!$C:$FA,96)</f>
        <v>-40750</v>
      </c>
      <c r="M17" s="87">
        <f>VLOOKUP($A17,'Data shares'!$C:$FA,97)</f>
        <v>-2.63E-2</v>
      </c>
      <c r="N17" s="86">
        <f>VLOOKUP($A17,'Data shares'!$C:$FA,78)</f>
        <v>3700750</v>
      </c>
      <c r="O17" s="87">
        <f>VLOOKUP($A17,'Data shares'!$C:$FA,81)</f>
        <v>4.7000000000000002E-3</v>
      </c>
    </row>
    <row r="18" spans="1:15" x14ac:dyDescent="0.25">
      <c r="A18" s="100" t="str">
        <f>'OI(Value)'!A18</f>
        <v>APLAPOLLO</v>
      </c>
      <c r="B18" s="82">
        <f>VLOOKUP(A18,'Data shares'!$C$2:$CV$216,98,0)</f>
        <v>11254250</v>
      </c>
      <c r="C18" s="82">
        <f>VLOOKUP(A18,'Data shares'!$C$2:$CX$216,100,0)</f>
        <v>2800</v>
      </c>
      <c r="D18" s="141">
        <f>VLOOKUP(A18,'Data shares'!$C$2:$CY$539,101,0)</f>
        <v>2.0000000000000001E-4</v>
      </c>
      <c r="E18" s="86">
        <f>VLOOKUP($A18,'Data shares'!$C:$FA,74)</f>
        <v>9582300</v>
      </c>
      <c r="F18" s="86">
        <f>VLOOKUP($A18,'Data shares'!$C:$FA,76)</f>
        <v>11550</v>
      </c>
      <c r="G18" s="87">
        <f>VLOOKUP(A18,'Data shares'!$C$2:$CA$216,77,0)</f>
        <v>1.1999999999999999E-3</v>
      </c>
      <c r="H18" s="86">
        <f>VLOOKUP($A18,'Data shares'!$C:$FA,90)</f>
        <v>1060850</v>
      </c>
      <c r="I18" s="86">
        <f>VLOOKUP($A18,'Data shares'!$C:$FA,92)</f>
        <v>-7000</v>
      </c>
      <c r="J18" s="87">
        <f>VLOOKUP($A18,'Data shares'!$C:$FA,93)</f>
        <v>-6.6E-3</v>
      </c>
      <c r="K18" s="86">
        <f>VLOOKUP($A18,'Data shares'!$C:$FA,94)</f>
        <v>611100</v>
      </c>
      <c r="L18" s="86">
        <f>VLOOKUP($A18,'Data shares'!$C:$FA,96)</f>
        <v>-1750</v>
      </c>
      <c r="M18" s="87">
        <f>VLOOKUP($A18,'Data shares'!$C:$FA,97)</f>
        <v>-2.8999999999999998E-3</v>
      </c>
      <c r="N18" s="86">
        <f>VLOOKUP($A18,'Data shares'!$C:$FA,78)</f>
        <v>9507050</v>
      </c>
      <c r="O18" s="87">
        <f>VLOOKUP($A18,'Data shares'!$C:$FA,81)</f>
        <v>1.1000000000000001E-3</v>
      </c>
    </row>
    <row r="19" spans="1:15" x14ac:dyDescent="0.25">
      <c r="A19" s="100" t="str">
        <f>'OI(Value)'!A19</f>
        <v>APOLLOHOSP</v>
      </c>
      <c r="B19" s="82">
        <f>VLOOKUP(A19,'Data shares'!$C$2:$CV$216,98,0)</f>
        <v>4009750</v>
      </c>
      <c r="C19" s="82">
        <f>VLOOKUP(A19,'Data shares'!$C$2:$CX$216,100,0)</f>
        <v>57750</v>
      </c>
      <c r="D19" s="141">
        <f>VLOOKUP(A19,'Data shares'!$C$2:$CY$539,101,0)</f>
        <v>1.46E-2</v>
      </c>
      <c r="E19" s="86">
        <f>VLOOKUP($A19,'Data shares'!$C:$FA,74)</f>
        <v>2858875</v>
      </c>
      <c r="F19" s="86">
        <f>VLOOKUP($A19,'Data shares'!$C:$FA,76)</f>
        <v>50375</v>
      </c>
      <c r="G19" s="87">
        <f>VLOOKUP(A19,'Data shares'!$C$2:$CA$216,77,0)</f>
        <v>1.7899999999999999E-2</v>
      </c>
      <c r="H19" s="86">
        <f>VLOOKUP($A19,'Data shares'!$C:$FA,90)</f>
        <v>724125</v>
      </c>
      <c r="I19" s="86">
        <f>VLOOKUP($A19,'Data shares'!$C:$FA,92)</f>
        <v>19875</v>
      </c>
      <c r="J19" s="87">
        <f>VLOOKUP($A19,'Data shares'!$C:$FA,93)</f>
        <v>2.8199999999999999E-2</v>
      </c>
      <c r="K19" s="86">
        <f>VLOOKUP($A19,'Data shares'!$C:$FA,94)</f>
        <v>426750</v>
      </c>
      <c r="L19" s="86">
        <f>VLOOKUP($A19,'Data shares'!$C:$FA,96)</f>
        <v>-12500</v>
      </c>
      <c r="M19" s="87">
        <f>VLOOKUP($A19,'Data shares'!$C:$FA,97)</f>
        <v>-2.8500000000000001E-2</v>
      </c>
      <c r="N19" s="86">
        <f>VLOOKUP($A19,'Data shares'!$C:$FA,78)</f>
        <v>2817375</v>
      </c>
      <c r="O19" s="87">
        <f>VLOOKUP($A19,'Data shares'!$C:$FA,81)</f>
        <v>1.55E-2</v>
      </c>
    </row>
    <row r="20" spans="1:15" x14ac:dyDescent="0.25">
      <c r="A20" s="100" t="str">
        <f>'OI(Value)'!A20</f>
        <v>ASHOKLEY</v>
      </c>
      <c r="B20" s="82">
        <f>VLOOKUP(A20,'Data shares'!$C$2:$CV$216,98,0)</f>
        <v>247740000</v>
      </c>
      <c r="C20" s="82">
        <f>VLOOKUP(A20,'Data shares'!$C$2:$CX$216,100,0)</f>
        <v>10440000</v>
      </c>
      <c r="D20" s="141">
        <f>VLOOKUP(A20,'Data shares'!$C$2:$CY$539,101,0)</f>
        <v>4.3999999999999997E-2</v>
      </c>
      <c r="E20" s="86">
        <f>VLOOKUP($A20,'Data shares'!$C:$FA,74)</f>
        <v>135445000</v>
      </c>
      <c r="F20" s="86">
        <f>VLOOKUP($A20,'Data shares'!$C:$FA,76)</f>
        <v>1545000</v>
      </c>
      <c r="G20" s="87">
        <f>VLOOKUP(A20,'Data shares'!$C$2:$CA$216,77,0)</f>
        <v>1.15E-2</v>
      </c>
      <c r="H20" s="86">
        <f>VLOOKUP($A20,'Data shares'!$C:$FA,90)</f>
        <v>77420000</v>
      </c>
      <c r="I20" s="86">
        <f>VLOOKUP($A20,'Data shares'!$C:$FA,92)</f>
        <v>6180000</v>
      </c>
      <c r="J20" s="87">
        <f>VLOOKUP($A20,'Data shares'!$C:$FA,93)</f>
        <v>8.6699999999999999E-2</v>
      </c>
      <c r="K20" s="86">
        <f>VLOOKUP($A20,'Data shares'!$C:$FA,94)</f>
        <v>34875000</v>
      </c>
      <c r="L20" s="86">
        <f>VLOOKUP($A20,'Data shares'!$C:$FA,96)</f>
        <v>2715000</v>
      </c>
      <c r="M20" s="87">
        <f>VLOOKUP($A20,'Data shares'!$C:$FA,97)</f>
        <v>8.4400000000000003E-2</v>
      </c>
      <c r="N20" s="86">
        <f>VLOOKUP($A20,'Data shares'!$C:$FA,78)</f>
        <v>129730000</v>
      </c>
      <c r="O20" s="87">
        <f>VLOOKUP($A20,'Data shares'!$C:$FA,81)</f>
        <v>6.4999999999999997E-3</v>
      </c>
    </row>
    <row r="21" spans="1:15" x14ac:dyDescent="0.25">
      <c r="A21" s="100" t="str">
        <f>'OI(Value)'!A21</f>
        <v>ASIANPAINT</v>
      </c>
      <c r="B21" s="82">
        <f>VLOOKUP(A21,'Data shares'!$C$2:$CV$216,98,0)</f>
        <v>23140500</v>
      </c>
      <c r="C21" s="82">
        <f>VLOOKUP(A21,'Data shares'!$C$2:$CX$216,100,0)</f>
        <v>-175500</v>
      </c>
      <c r="D21" s="141">
        <f>VLOOKUP(A21,'Data shares'!$C$2:$CY$539,101,0)</f>
        <v>-7.4999999999999997E-3</v>
      </c>
      <c r="E21" s="86">
        <f>VLOOKUP($A21,'Data shares'!$C:$FA,74)</f>
        <v>13370000</v>
      </c>
      <c r="F21" s="86">
        <f>VLOOKUP($A21,'Data shares'!$C:$FA,76)</f>
        <v>-375250</v>
      </c>
      <c r="G21" s="87">
        <f>VLOOKUP(A21,'Data shares'!$C$2:$CA$216,77,0)</f>
        <v>-2.7300000000000001E-2</v>
      </c>
      <c r="H21" s="86">
        <f>VLOOKUP($A21,'Data shares'!$C:$FA,90)</f>
        <v>6192500</v>
      </c>
      <c r="I21" s="86">
        <f>VLOOKUP($A21,'Data shares'!$C:$FA,92)</f>
        <v>160250</v>
      </c>
      <c r="J21" s="87">
        <f>VLOOKUP($A21,'Data shares'!$C:$FA,93)</f>
        <v>2.6599999999999999E-2</v>
      </c>
      <c r="K21" s="86">
        <f>VLOOKUP($A21,'Data shares'!$C:$FA,94)</f>
        <v>3578000</v>
      </c>
      <c r="L21" s="86">
        <f>VLOOKUP($A21,'Data shares'!$C:$FA,96)</f>
        <v>39500</v>
      </c>
      <c r="M21" s="87">
        <f>VLOOKUP($A21,'Data shares'!$C:$FA,97)</f>
        <v>1.12E-2</v>
      </c>
      <c r="N21" s="86">
        <f>VLOOKUP($A21,'Data shares'!$C:$FA,78)</f>
        <v>12758750</v>
      </c>
      <c r="O21" s="87">
        <f>VLOOKUP($A21,'Data shares'!$C:$FA,81)</f>
        <v>-3.2500000000000001E-2</v>
      </c>
    </row>
    <row r="22" spans="1:15" x14ac:dyDescent="0.25">
      <c r="A22" s="100" t="str">
        <f>'OI(Value)'!A22</f>
        <v>ASTRAL</v>
      </c>
      <c r="B22" s="82">
        <f>VLOOKUP(A22,'Data shares'!$C$2:$CV$216,98,0)</f>
        <v>13017325</v>
      </c>
      <c r="C22" s="82">
        <f>VLOOKUP(A22,'Data shares'!$C$2:$CX$216,100,0)</f>
        <v>292825</v>
      </c>
      <c r="D22" s="141">
        <f>VLOOKUP(A22,'Data shares'!$C$2:$CY$539,101,0)</f>
        <v>2.3E-2</v>
      </c>
      <c r="E22" s="86">
        <f>VLOOKUP($A22,'Data shares'!$C:$FA,74)</f>
        <v>8709525</v>
      </c>
      <c r="F22" s="86">
        <f>VLOOKUP($A22,'Data shares'!$C:$FA,76)</f>
        <v>209525</v>
      </c>
      <c r="G22" s="87">
        <f>VLOOKUP(A22,'Data shares'!$C$2:$CA$216,77,0)</f>
        <v>2.46E-2</v>
      </c>
      <c r="H22" s="86">
        <f>VLOOKUP($A22,'Data shares'!$C:$FA,90)</f>
        <v>2931225</v>
      </c>
      <c r="I22" s="86">
        <f>VLOOKUP($A22,'Data shares'!$C:$FA,92)</f>
        <v>79900</v>
      </c>
      <c r="J22" s="87">
        <f>VLOOKUP($A22,'Data shares'!$C:$FA,93)</f>
        <v>2.8000000000000001E-2</v>
      </c>
      <c r="K22" s="86">
        <f>VLOOKUP($A22,'Data shares'!$C:$FA,94)</f>
        <v>1376575</v>
      </c>
      <c r="L22" s="86">
        <f>VLOOKUP($A22,'Data shares'!$C:$FA,96)</f>
        <v>3400</v>
      </c>
      <c r="M22" s="87">
        <f>VLOOKUP($A22,'Data shares'!$C:$FA,97)</f>
        <v>2.5000000000000001E-3</v>
      </c>
      <c r="N22" s="86">
        <f>VLOOKUP($A22,'Data shares'!$C:$FA,78)</f>
        <v>8438375</v>
      </c>
      <c r="O22" s="87">
        <f>VLOOKUP($A22,'Data shares'!$C:$FA,81)</f>
        <v>2.6100000000000002E-2</v>
      </c>
    </row>
    <row r="23" spans="1:15" x14ac:dyDescent="0.25">
      <c r="A23" s="100" t="str">
        <f>'OI(Value)'!A23</f>
        <v>AUBANK</v>
      </c>
      <c r="B23" s="82">
        <f>VLOOKUP(A23,'Data shares'!$C$2:$CV$216,98,0)</f>
        <v>32794000</v>
      </c>
      <c r="C23" s="82">
        <f>VLOOKUP(A23,'Data shares'!$C$2:$CX$216,100,0)</f>
        <v>2688000</v>
      </c>
      <c r="D23" s="141">
        <f>VLOOKUP(A23,'Data shares'!$C$2:$CY$539,101,0)</f>
        <v>8.9300000000000004E-2</v>
      </c>
      <c r="E23" s="86">
        <f>VLOOKUP($A23,'Data shares'!$C:$FA,74)</f>
        <v>20940000</v>
      </c>
      <c r="F23" s="86">
        <f>VLOOKUP($A23,'Data shares'!$C:$FA,76)</f>
        <v>485000</v>
      </c>
      <c r="G23" s="87">
        <f>VLOOKUP(A23,'Data shares'!$C$2:$CA$216,77,0)</f>
        <v>2.3699999999999999E-2</v>
      </c>
      <c r="H23" s="86">
        <f>VLOOKUP($A23,'Data shares'!$C:$FA,90)</f>
        <v>7527000</v>
      </c>
      <c r="I23" s="86">
        <f>VLOOKUP($A23,'Data shares'!$C:$FA,92)</f>
        <v>2000000</v>
      </c>
      <c r="J23" s="87">
        <f>VLOOKUP($A23,'Data shares'!$C:$FA,93)</f>
        <v>0.3619</v>
      </c>
      <c r="K23" s="86">
        <f>VLOOKUP($A23,'Data shares'!$C:$FA,94)</f>
        <v>4327000</v>
      </c>
      <c r="L23" s="86">
        <f>VLOOKUP($A23,'Data shares'!$C:$FA,96)</f>
        <v>203000</v>
      </c>
      <c r="M23" s="87">
        <f>VLOOKUP($A23,'Data shares'!$C:$FA,97)</f>
        <v>4.9200000000000001E-2</v>
      </c>
      <c r="N23" s="86">
        <f>VLOOKUP($A23,'Data shares'!$C:$FA,78)</f>
        <v>20532000</v>
      </c>
      <c r="O23" s="87">
        <f>VLOOKUP($A23,'Data shares'!$C:$FA,81)</f>
        <v>2.2700000000000001E-2</v>
      </c>
    </row>
    <row r="24" spans="1:15" x14ac:dyDescent="0.25">
      <c r="A24" s="100" t="str">
        <f>'OI(Value)'!A24</f>
        <v>AUROPHARMA</v>
      </c>
      <c r="B24" s="82">
        <f>VLOOKUP(A24,'Data shares'!$C$2:$CV$216,98,0)</f>
        <v>26973100</v>
      </c>
      <c r="C24" s="82">
        <f>VLOOKUP(A24,'Data shares'!$C$2:$CX$216,100,0)</f>
        <v>749650</v>
      </c>
      <c r="D24" s="141">
        <f>VLOOKUP(A24,'Data shares'!$C$2:$CY$539,101,0)</f>
        <v>2.86E-2</v>
      </c>
      <c r="E24" s="86">
        <f>VLOOKUP($A24,'Data shares'!$C:$FA,74)</f>
        <v>20353850</v>
      </c>
      <c r="F24" s="86">
        <f>VLOOKUP($A24,'Data shares'!$C:$FA,76)</f>
        <v>242550</v>
      </c>
      <c r="G24" s="87">
        <f>VLOOKUP(A24,'Data shares'!$C$2:$CA$216,77,0)</f>
        <v>1.21E-2</v>
      </c>
      <c r="H24" s="86">
        <f>VLOOKUP($A24,'Data shares'!$C:$FA,90)</f>
        <v>3762550</v>
      </c>
      <c r="I24" s="86">
        <f>VLOOKUP($A24,'Data shares'!$C:$FA,92)</f>
        <v>392700</v>
      </c>
      <c r="J24" s="87">
        <f>VLOOKUP($A24,'Data shares'!$C:$FA,93)</f>
        <v>0.11650000000000001</v>
      </c>
      <c r="K24" s="86">
        <f>VLOOKUP($A24,'Data shares'!$C:$FA,94)</f>
        <v>2856700</v>
      </c>
      <c r="L24" s="86">
        <f>VLOOKUP($A24,'Data shares'!$C:$FA,96)</f>
        <v>114400</v>
      </c>
      <c r="M24" s="87">
        <f>VLOOKUP($A24,'Data shares'!$C:$FA,97)</f>
        <v>4.1700000000000001E-2</v>
      </c>
      <c r="N24" s="86">
        <f>VLOOKUP($A24,'Data shares'!$C:$FA,78)</f>
        <v>19962800</v>
      </c>
      <c r="O24" s="87">
        <f>VLOOKUP($A24,'Data shares'!$C:$FA,81)</f>
        <v>1.1299999999999999E-2</v>
      </c>
    </row>
    <row r="25" spans="1:15" x14ac:dyDescent="0.25">
      <c r="A25" s="100" t="str">
        <f>'OI(Value)'!A25</f>
        <v>AXISBANK</v>
      </c>
      <c r="B25" s="82">
        <f>VLOOKUP(A25,'Data shares'!$C$2:$CV$216,98,0)</f>
        <v>123714375</v>
      </c>
      <c r="C25" s="82">
        <f>VLOOKUP(A25,'Data shares'!$C$2:$CX$216,100,0)</f>
        <v>-1753750</v>
      </c>
      <c r="D25" s="141">
        <f>VLOOKUP(A25,'Data shares'!$C$2:$CY$539,101,0)</f>
        <v>-1.4E-2</v>
      </c>
      <c r="E25" s="86">
        <f>VLOOKUP($A25,'Data shares'!$C:$FA,74)</f>
        <v>82467500</v>
      </c>
      <c r="F25" s="86">
        <f>VLOOKUP($A25,'Data shares'!$C:$FA,76)</f>
        <v>-1012500</v>
      </c>
      <c r="G25" s="87">
        <f>VLOOKUP(A25,'Data shares'!$C$2:$CA$216,77,0)</f>
        <v>-1.21E-2</v>
      </c>
      <c r="H25" s="86">
        <f>VLOOKUP($A25,'Data shares'!$C:$FA,90)</f>
        <v>28375000</v>
      </c>
      <c r="I25" s="86">
        <f>VLOOKUP($A25,'Data shares'!$C:$FA,92)</f>
        <v>-1396250</v>
      </c>
      <c r="J25" s="87">
        <f>VLOOKUP($A25,'Data shares'!$C:$FA,93)</f>
        <v>-4.6899999999999997E-2</v>
      </c>
      <c r="K25" s="86">
        <f>VLOOKUP($A25,'Data shares'!$C:$FA,94)</f>
        <v>12871875</v>
      </c>
      <c r="L25" s="86">
        <f>VLOOKUP($A25,'Data shares'!$C:$FA,96)</f>
        <v>655000</v>
      </c>
      <c r="M25" s="87">
        <f>VLOOKUP($A25,'Data shares'!$C:$FA,97)</f>
        <v>5.3600000000000002E-2</v>
      </c>
      <c r="N25" s="86">
        <f>VLOOKUP($A25,'Data shares'!$C:$FA,78)</f>
        <v>80983125</v>
      </c>
      <c r="O25" s="87">
        <f>VLOOKUP($A25,'Data shares'!$C:$FA,81)</f>
        <v>-1.35E-2</v>
      </c>
    </row>
    <row r="26" spans="1:15" x14ac:dyDescent="0.25">
      <c r="A26" s="100" t="str">
        <f>'OI(Value)'!A26</f>
        <v>BAJAJ-AUTO</v>
      </c>
      <c r="B26" s="82">
        <f>VLOOKUP(A26,'Data shares'!$C$2:$CV$216,98,0)</f>
        <v>5747775</v>
      </c>
      <c r="C26" s="82">
        <f>VLOOKUP(A26,'Data shares'!$C$2:$CX$216,100,0)</f>
        <v>68850</v>
      </c>
      <c r="D26" s="141">
        <f>VLOOKUP(A26,'Data shares'!$C$2:$CY$539,101,0)</f>
        <v>1.21E-2</v>
      </c>
      <c r="E26" s="86">
        <f>VLOOKUP($A26,'Data shares'!$C:$FA,74)</f>
        <v>3117975</v>
      </c>
      <c r="F26" s="86">
        <f>VLOOKUP($A26,'Data shares'!$C:$FA,76)</f>
        <v>6675</v>
      </c>
      <c r="G26" s="87">
        <f>VLOOKUP(A26,'Data shares'!$C$2:$CA$216,77,0)</f>
        <v>2.0999999999999999E-3</v>
      </c>
      <c r="H26" s="86">
        <f>VLOOKUP($A26,'Data shares'!$C:$FA,90)</f>
        <v>1573350</v>
      </c>
      <c r="I26" s="86">
        <f>VLOOKUP($A26,'Data shares'!$C:$FA,92)</f>
        <v>-49350</v>
      </c>
      <c r="J26" s="87">
        <f>VLOOKUP($A26,'Data shares'!$C:$FA,93)</f>
        <v>-3.04E-2</v>
      </c>
      <c r="K26" s="86">
        <f>VLOOKUP($A26,'Data shares'!$C:$FA,94)</f>
        <v>1056450</v>
      </c>
      <c r="L26" s="86">
        <f>VLOOKUP($A26,'Data shares'!$C:$FA,96)</f>
        <v>111525</v>
      </c>
      <c r="M26" s="87">
        <f>VLOOKUP($A26,'Data shares'!$C:$FA,97)</f>
        <v>0.11799999999999999</v>
      </c>
      <c r="N26" s="86">
        <f>VLOOKUP($A26,'Data shares'!$C:$FA,78)</f>
        <v>3018375</v>
      </c>
      <c r="O26" s="87">
        <f>VLOOKUP($A26,'Data shares'!$C:$FA,81)</f>
        <v>-1E-3</v>
      </c>
    </row>
    <row r="27" spans="1:15" x14ac:dyDescent="0.25">
      <c r="A27" s="100" t="str">
        <f>'OI(Value)'!A27</f>
        <v>BAJAJFINSV</v>
      </c>
      <c r="B27" s="82">
        <f>VLOOKUP(A27,'Data shares'!$C$2:$CV$216,98,0)</f>
        <v>26152000</v>
      </c>
      <c r="C27" s="82">
        <f>VLOOKUP(A27,'Data shares'!$C$2:$CX$216,100,0)</f>
        <v>647500</v>
      </c>
      <c r="D27" s="141">
        <f>VLOOKUP(A27,'Data shares'!$C$2:$CY$539,101,0)</f>
        <v>2.5399999999999999E-2</v>
      </c>
      <c r="E27" s="86">
        <f>VLOOKUP($A27,'Data shares'!$C:$FA,74)</f>
        <v>17912500</v>
      </c>
      <c r="F27" s="86">
        <f>VLOOKUP($A27,'Data shares'!$C:$FA,76)</f>
        <v>255500</v>
      </c>
      <c r="G27" s="87">
        <f>VLOOKUP(A27,'Data shares'!$C$2:$CA$216,77,0)</f>
        <v>1.4500000000000001E-2</v>
      </c>
      <c r="H27" s="86">
        <f>VLOOKUP($A27,'Data shares'!$C:$FA,90)</f>
        <v>5087000</v>
      </c>
      <c r="I27" s="86">
        <f>VLOOKUP($A27,'Data shares'!$C:$FA,92)</f>
        <v>312500</v>
      </c>
      <c r="J27" s="87">
        <f>VLOOKUP($A27,'Data shares'!$C:$FA,93)</f>
        <v>6.5500000000000003E-2</v>
      </c>
      <c r="K27" s="86">
        <f>VLOOKUP($A27,'Data shares'!$C:$FA,94)</f>
        <v>3152500</v>
      </c>
      <c r="L27" s="86">
        <f>VLOOKUP($A27,'Data shares'!$C:$FA,96)</f>
        <v>79500</v>
      </c>
      <c r="M27" s="87">
        <f>VLOOKUP($A27,'Data shares'!$C:$FA,97)</f>
        <v>2.5899999999999999E-2</v>
      </c>
      <c r="N27" s="86">
        <f>VLOOKUP($A27,'Data shares'!$C:$FA,78)</f>
        <v>17656000</v>
      </c>
      <c r="O27" s="87">
        <f>VLOOKUP($A27,'Data shares'!$C:$FA,81)</f>
        <v>1.1900000000000001E-2</v>
      </c>
    </row>
    <row r="28" spans="1:15" x14ac:dyDescent="0.25">
      <c r="A28" s="100" t="str">
        <f>'OI(Value)'!A28</f>
        <v>BAJFINANCE</v>
      </c>
      <c r="B28" s="82">
        <f>VLOOKUP(A28,'Data shares'!$C$2:$CV$216,98,0)</f>
        <v>123231750</v>
      </c>
      <c r="C28" s="82">
        <f>VLOOKUP(A28,'Data shares'!$C$2:$CX$216,100,0)</f>
        <v>1806000</v>
      </c>
      <c r="D28" s="141">
        <f>VLOOKUP(A28,'Data shares'!$C$2:$CY$539,101,0)</f>
        <v>1.49E-2</v>
      </c>
      <c r="E28" s="86">
        <f>VLOOKUP($A28,'Data shares'!$C:$FA,74)</f>
        <v>91342500</v>
      </c>
      <c r="F28" s="86">
        <f>VLOOKUP($A28,'Data shares'!$C:$FA,76)</f>
        <v>142500</v>
      </c>
      <c r="G28" s="87">
        <f>VLOOKUP(A28,'Data shares'!$C$2:$CA$216,77,0)</f>
        <v>1.6000000000000001E-3</v>
      </c>
      <c r="H28" s="86">
        <f>VLOOKUP($A28,'Data shares'!$C:$FA,90)</f>
        <v>18580500</v>
      </c>
      <c r="I28" s="86">
        <f>VLOOKUP($A28,'Data shares'!$C:$FA,92)</f>
        <v>1289250</v>
      </c>
      <c r="J28" s="87">
        <f>VLOOKUP($A28,'Data shares'!$C:$FA,93)</f>
        <v>7.46E-2</v>
      </c>
      <c r="K28" s="86">
        <f>VLOOKUP($A28,'Data shares'!$C:$FA,94)</f>
        <v>13308750</v>
      </c>
      <c r="L28" s="86">
        <f>VLOOKUP($A28,'Data shares'!$C:$FA,96)</f>
        <v>374250</v>
      </c>
      <c r="M28" s="87">
        <f>VLOOKUP($A28,'Data shares'!$C:$FA,97)</f>
        <v>2.8899999999999999E-2</v>
      </c>
      <c r="N28" s="86">
        <f>VLOOKUP($A28,'Data shares'!$C:$FA,78)</f>
        <v>89922000</v>
      </c>
      <c r="O28" s="87">
        <f>VLOOKUP($A28,'Data shares'!$C:$FA,81)</f>
        <v>-2.0000000000000001E-4</v>
      </c>
    </row>
    <row r="29" spans="1:15" x14ac:dyDescent="0.25">
      <c r="A29" s="100" t="str">
        <f>'OI(Value)'!A29</f>
        <v>BANDHANBNK</v>
      </c>
      <c r="B29" s="82">
        <f>VLOOKUP(A29,'Data shares'!$C$2:$CV$216,98,0)</f>
        <v>155361600</v>
      </c>
      <c r="C29" s="82">
        <f>VLOOKUP(A29,'Data shares'!$C$2:$CX$216,100,0)</f>
        <v>1278000</v>
      </c>
      <c r="D29" s="141">
        <f>VLOOKUP(A29,'Data shares'!$C$2:$CY$539,101,0)</f>
        <v>8.3000000000000001E-3</v>
      </c>
      <c r="E29" s="86">
        <f>VLOOKUP($A29,'Data shares'!$C:$FA,74)</f>
        <v>96710400</v>
      </c>
      <c r="F29" s="86">
        <f>VLOOKUP($A29,'Data shares'!$C:$FA,76)</f>
        <v>-788400</v>
      </c>
      <c r="G29" s="87">
        <f>VLOOKUP(A29,'Data shares'!$C$2:$CA$216,77,0)</f>
        <v>-8.0999999999999996E-3</v>
      </c>
      <c r="H29" s="86">
        <f>VLOOKUP($A29,'Data shares'!$C:$FA,90)</f>
        <v>31734000</v>
      </c>
      <c r="I29" s="86">
        <f>VLOOKUP($A29,'Data shares'!$C:$FA,92)</f>
        <v>604800</v>
      </c>
      <c r="J29" s="87">
        <f>VLOOKUP($A29,'Data shares'!$C:$FA,93)</f>
        <v>1.9400000000000001E-2</v>
      </c>
      <c r="K29" s="86">
        <f>VLOOKUP($A29,'Data shares'!$C:$FA,94)</f>
        <v>26917200</v>
      </c>
      <c r="L29" s="86">
        <f>VLOOKUP($A29,'Data shares'!$C:$FA,96)</f>
        <v>1461600</v>
      </c>
      <c r="M29" s="87">
        <f>VLOOKUP($A29,'Data shares'!$C:$FA,97)</f>
        <v>5.74E-2</v>
      </c>
      <c r="N29" s="86">
        <f>VLOOKUP($A29,'Data shares'!$C:$FA,78)</f>
        <v>90586800</v>
      </c>
      <c r="O29" s="87">
        <f>VLOOKUP($A29,'Data shares'!$C:$FA,81)</f>
        <v>-7.1999999999999998E-3</v>
      </c>
    </row>
    <row r="30" spans="1:15" x14ac:dyDescent="0.25">
      <c r="A30" s="100" t="str">
        <f>'OI(Value)'!A30</f>
        <v>BANKBARODA</v>
      </c>
      <c r="B30" s="82">
        <f>VLOOKUP(A30,'Data shares'!$C$2:$CV$216,98,0)</f>
        <v>202029750</v>
      </c>
      <c r="C30" s="82">
        <f>VLOOKUP(A30,'Data shares'!$C$2:$CX$216,100,0)</f>
        <v>-210600</v>
      </c>
      <c r="D30" s="141">
        <f>VLOOKUP(A30,'Data shares'!$C$2:$CY$539,101,0)</f>
        <v>-1E-3</v>
      </c>
      <c r="E30" s="86">
        <f>VLOOKUP($A30,'Data shares'!$C:$FA,74)</f>
        <v>127854675</v>
      </c>
      <c r="F30" s="86">
        <f>VLOOKUP($A30,'Data shares'!$C:$FA,76)</f>
        <v>-1874925</v>
      </c>
      <c r="G30" s="87">
        <f>VLOOKUP(A30,'Data shares'!$C$2:$CA$216,77,0)</f>
        <v>-1.4500000000000001E-2</v>
      </c>
      <c r="H30" s="86">
        <f>VLOOKUP($A30,'Data shares'!$C:$FA,90)</f>
        <v>42005925</v>
      </c>
      <c r="I30" s="86">
        <f>VLOOKUP($A30,'Data shares'!$C:$FA,92)</f>
        <v>944775</v>
      </c>
      <c r="J30" s="87">
        <f>VLOOKUP($A30,'Data shares'!$C:$FA,93)</f>
        <v>2.3E-2</v>
      </c>
      <c r="K30" s="86">
        <f>VLOOKUP($A30,'Data shares'!$C:$FA,94)</f>
        <v>32169150</v>
      </c>
      <c r="L30" s="86">
        <f>VLOOKUP($A30,'Data shares'!$C:$FA,96)</f>
        <v>719550</v>
      </c>
      <c r="M30" s="87">
        <f>VLOOKUP($A30,'Data shares'!$C:$FA,97)</f>
        <v>2.29E-2</v>
      </c>
      <c r="N30" s="86">
        <f>VLOOKUP($A30,'Data shares'!$C:$FA,78)</f>
        <v>125377200</v>
      </c>
      <c r="O30" s="87">
        <f>VLOOKUP($A30,'Data shares'!$C:$FA,81)</f>
        <v>-1.4999999999999999E-2</v>
      </c>
    </row>
    <row r="31" spans="1:15" x14ac:dyDescent="0.25">
      <c r="A31" s="100" t="str">
        <f>'OI(Value)'!A31</f>
        <v>BANKINDIA</v>
      </c>
      <c r="B31" s="82">
        <f>VLOOKUP(A31,'Data shares'!$C$2:$CV$216,98,0)</f>
        <v>113620000</v>
      </c>
      <c r="C31" s="82">
        <f>VLOOKUP(A31,'Data shares'!$C$2:$CX$216,100,0)</f>
        <v>2553200</v>
      </c>
      <c r="D31" s="141">
        <f>VLOOKUP(A31,'Data shares'!$C$2:$CY$539,101,0)</f>
        <v>2.3E-2</v>
      </c>
      <c r="E31" s="86">
        <f>VLOOKUP($A31,'Data shares'!$C:$FA,74)</f>
        <v>70917600</v>
      </c>
      <c r="F31" s="86">
        <f>VLOOKUP($A31,'Data shares'!$C:$FA,76)</f>
        <v>-93600</v>
      </c>
      <c r="G31" s="87">
        <f>VLOOKUP(A31,'Data shares'!$C$2:$CA$216,77,0)</f>
        <v>-1.2999999999999999E-3</v>
      </c>
      <c r="H31" s="86">
        <f>VLOOKUP($A31,'Data shares'!$C:$FA,90)</f>
        <v>25927200</v>
      </c>
      <c r="I31" s="86">
        <f>VLOOKUP($A31,'Data shares'!$C:$FA,92)</f>
        <v>1372800</v>
      </c>
      <c r="J31" s="87">
        <f>VLOOKUP($A31,'Data shares'!$C:$FA,93)</f>
        <v>5.5899999999999998E-2</v>
      </c>
      <c r="K31" s="86">
        <f>VLOOKUP($A31,'Data shares'!$C:$FA,94)</f>
        <v>16775200</v>
      </c>
      <c r="L31" s="86">
        <f>VLOOKUP($A31,'Data shares'!$C:$FA,96)</f>
        <v>1274000</v>
      </c>
      <c r="M31" s="87">
        <f>VLOOKUP($A31,'Data shares'!$C:$FA,97)</f>
        <v>8.2199999999999995E-2</v>
      </c>
      <c r="N31" s="86">
        <f>VLOOKUP($A31,'Data shares'!$C:$FA,78)</f>
        <v>67724800</v>
      </c>
      <c r="O31" s="87">
        <f>VLOOKUP($A31,'Data shares'!$C:$FA,81)</f>
        <v>-5.7000000000000002E-3</v>
      </c>
    </row>
    <row r="32" spans="1:15" x14ac:dyDescent="0.25">
      <c r="A32" s="100" t="str">
        <f>'OI(Value)'!A32</f>
        <v>BANKNIFTY</v>
      </c>
      <c r="B32" s="82">
        <f>VLOOKUP(A32,'Data shares'!$C$2:$CV$216,98,0)</f>
        <v>40408310</v>
      </c>
      <c r="C32" s="82">
        <f>VLOOKUP(A32,'Data shares'!$C$2:$CX$216,100,0)</f>
        <v>2083580</v>
      </c>
      <c r="D32" s="141">
        <f>VLOOKUP(A32,'Data shares'!$C$2:$CY$539,101,0)</f>
        <v>5.4399999999999997E-2</v>
      </c>
      <c r="E32" s="86">
        <f>VLOOKUP($A32,'Data shares'!$C:$FA,74)</f>
        <v>1970150</v>
      </c>
      <c r="F32" s="86">
        <f>VLOOKUP($A32,'Data shares'!$C:$FA,76)</f>
        <v>73850</v>
      </c>
      <c r="G32" s="87">
        <f>VLOOKUP(A32,'Data shares'!$C$2:$CA$216,77,0)</f>
        <v>3.8899999999999997E-2</v>
      </c>
      <c r="H32" s="86">
        <f>VLOOKUP($A32,'Data shares'!$C:$FA,90)</f>
        <v>17927470</v>
      </c>
      <c r="I32" s="86">
        <f>VLOOKUP($A32,'Data shares'!$C:$FA,92)</f>
        <v>393155</v>
      </c>
      <c r="J32" s="87">
        <f>VLOOKUP($A32,'Data shares'!$C:$FA,93)</f>
        <v>2.24E-2</v>
      </c>
      <c r="K32" s="86">
        <f>VLOOKUP($A32,'Data shares'!$C:$FA,94)</f>
        <v>20510690</v>
      </c>
      <c r="L32" s="86">
        <f>VLOOKUP($A32,'Data shares'!$C:$FA,96)</f>
        <v>1616575</v>
      </c>
      <c r="M32" s="87">
        <f>VLOOKUP($A32,'Data shares'!$C:$FA,97)</f>
        <v>8.5599999999999996E-2</v>
      </c>
      <c r="N32" s="86">
        <f>VLOOKUP($A32,'Data shares'!$C:$FA,78)</f>
        <v>1739640</v>
      </c>
      <c r="O32" s="87">
        <f>VLOOKUP($A32,'Data shares'!$C:$FA,81)</f>
        <v>3.4700000000000002E-2</v>
      </c>
    </row>
    <row r="33" spans="1:15" x14ac:dyDescent="0.25">
      <c r="A33" s="100" t="str">
        <f>'OI(Value)'!A33</f>
        <v>BDL</v>
      </c>
      <c r="B33" s="82">
        <f>VLOOKUP(A33,'Data shares'!$C$2:$CV$216,98,0)</f>
        <v>9812075</v>
      </c>
      <c r="C33" s="82">
        <f>VLOOKUP(A33,'Data shares'!$C$2:$CX$216,100,0)</f>
        <v>-229775</v>
      </c>
      <c r="D33" s="141">
        <f>VLOOKUP(A33,'Data shares'!$C$2:$CY$539,101,0)</f>
        <v>-2.29E-2</v>
      </c>
      <c r="E33" s="86">
        <f>VLOOKUP($A33,'Data shares'!$C:$FA,74)</f>
        <v>4496375</v>
      </c>
      <c r="F33" s="86">
        <f>VLOOKUP($A33,'Data shares'!$C:$FA,76)</f>
        <v>-94575</v>
      </c>
      <c r="G33" s="87">
        <f>VLOOKUP(A33,'Data shares'!$C$2:$CA$216,77,0)</f>
        <v>-2.06E-2</v>
      </c>
      <c r="H33" s="86">
        <f>VLOOKUP($A33,'Data shares'!$C:$FA,90)</f>
        <v>3340350</v>
      </c>
      <c r="I33" s="86">
        <f>VLOOKUP($A33,'Data shares'!$C:$FA,92)</f>
        <v>-159250</v>
      </c>
      <c r="J33" s="87">
        <f>VLOOKUP($A33,'Data shares'!$C:$FA,93)</f>
        <v>-4.5499999999999999E-2</v>
      </c>
      <c r="K33" s="86">
        <f>VLOOKUP($A33,'Data shares'!$C:$FA,94)</f>
        <v>1975350</v>
      </c>
      <c r="L33" s="86">
        <f>VLOOKUP($A33,'Data shares'!$C:$FA,96)</f>
        <v>24050</v>
      </c>
      <c r="M33" s="87">
        <f>VLOOKUP($A33,'Data shares'!$C:$FA,97)</f>
        <v>1.23E-2</v>
      </c>
      <c r="N33" s="86">
        <f>VLOOKUP($A33,'Data shares'!$C:$FA,78)</f>
        <v>4232150</v>
      </c>
      <c r="O33" s="87">
        <f>VLOOKUP($A33,'Data shares'!$C:$FA,81)</f>
        <v>-2.3599999999999999E-2</v>
      </c>
    </row>
    <row r="34" spans="1:15" x14ac:dyDescent="0.25">
      <c r="A34" s="100" t="str">
        <f>'OI(Value)'!A34</f>
        <v>BEL</v>
      </c>
      <c r="B34" s="82">
        <f>VLOOKUP(A34,'Data shares'!$C$2:$CV$216,98,0)</f>
        <v>210518100</v>
      </c>
      <c r="C34" s="82">
        <f>VLOOKUP(A34,'Data shares'!$C$2:$CX$216,100,0)</f>
        <v>-1242600</v>
      </c>
      <c r="D34" s="141">
        <f>VLOOKUP(A34,'Data shares'!$C$2:$CY$539,101,0)</f>
        <v>-5.8999999999999999E-3</v>
      </c>
      <c r="E34" s="86">
        <f>VLOOKUP($A34,'Data shares'!$C:$FA,74)</f>
        <v>109283250</v>
      </c>
      <c r="F34" s="86">
        <f>VLOOKUP($A34,'Data shares'!$C:$FA,76)</f>
        <v>-1288200</v>
      </c>
      <c r="G34" s="87">
        <f>VLOOKUP(A34,'Data shares'!$C$2:$CA$216,77,0)</f>
        <v>-1.17E-2</v>
      </c>
      <c r="H34" s="86">
        <f>VLOOKUP($A34,'Data shares'!$C:$FA,90)</f>
        <v>61876350</v>
      </c>
      <c r="I34" s="86">
        <f>VLOOKUP($A34,'Data shares'!$C:$FA,92)</f>
        <v>236550</v>
      </c>
      <c r="J34" s="87">
        <f>VLOOKUP($A34,'Data shares'!$C:$FA,93)</f>
        <v>3.8E-3</v>
      </c>
      <c r="K34" s="86">
        <f>VLOOKUP($A34,'Data shares'!$C:$FA,94)</f>
        <v>39358500</v>
      </c>
      <c r="L34" s="86">
        <f>VLOOKUP($A34,'Data shares'!$C:$FA,96)</f>
        <v>-190950</v>
      </c>
      <c r="M34" s="87">
        <f>VLOOKUP($A34,'Data shares'!$C:$FA,97)</f>
        <v>-4.7999999999999996E-3</v>
      </c>
      <c r="N34" s="86">
        <f>VLOOKUP($A34,'Data shares'!$C:$FA,78)</f>
        <v>102075600</v>
      </c>
      <c r="O34" s="87">
        <f>VLOOKUP($A34,'Data shares'!$C:$FA,81)</f>
        <v>-1.6E-2</v>
      </c>
    </row>
    <row r="35" spans="1:15" x14ac:dyDescent="0.25">
      <c r="A35" s="100" t="str">
        <f>'OI(Value)'!A35</f>
        <v>BHARATFORG</v>
      </c>
      <c r="B35" s="82">
        <f>VLOOKUP(A35,'Data shares'!$C$2:$CV$216,98,0)</f>
        <v>16423500</v>
      </c>
      <c r="C35" s="82">
        <f>VLOOKUP(A35,'Data shares'!$C$2:$CX$216,100,0)</f>
        <v>121000</v>
      </c>
      <c r="D35" s="141">
        <f>VLOOKUP(A35,'Data shares'!$C$2:$CY$539,101,0)</f>
        <v>7.4000000000000003E-3</v>
      </c>
      <c r="E35" s="86">
        <f>VLOOKUP($A35,'Data shares'!$C:$FA,74)</f>
        <v>11052500</v>
      </c>
      <c r="F35" s="86">
        <f>VLOOKUP($A35,'Data shares'!$C:$FA,76)</f>
        <v>152500</v>
      </c>
      <c r="G35" s="87">
        <f>VLOOKUP(A35,'Data shares'!$C$2:$CA$216,77,0)</f>
        <v>1.4E-2</v>
      </c>
      <c r="H35" s="86">
        <f>VLOOKUP($A35,'Data shares'!$C:$FA,90)</f>
        <v>3270000</v>
      </c>
      <c r="I35" s="86">
        <f>VLOOKUP($A35,'Data shares'!$C:$FA,92)</f>
        <v>40000</v>
      </c>
      <c r="J35" s="87">
        <f>VLOOKUP($A35,'Data shares'!$C:$FA,93)</f>
        <v>1.24E-2</v>
      </c>
      <c r="K35" s="86">
        <f>VLOOKUP($A35,'Data shares'!$C:$FA,94)</f>
        <v>2101000</v>
      </c>
      <c r="L35" s="86">
        <f>VLOOKUP($A35,'Data shares'!$C:$FA,96)</f>
        <v>-71500</v>
      </c>
      <c r="M35" s="87">
        <f>VLOOKUP($A35,'Data shares'!$C:$FA,97)</f>
        <v>-3.2899999999999999E-2</v>
      </c>
      <c r="N35" s="86">
        <f>VLOOKUP($A35,'Data shares'!$C:$FA,78)</f>
        <v>10579000</v>
      </c>
      <c r="O35" s="87">
        <f>VLOOKUP($A35,'Data shares'!$C:$FA,81)</f>
        <v>7.7000000000000002E-3</v>
      </c>
    </row>
    <row r="36" spans="1:15" x14ac:dyDescent="0.25">
      <c r="A36" s="100" t="str">
        <f>'OI(Value)'!A36</f>
        <v>BHARTIARTL</v>
      </c>
      <c r="B36" s="82">
        <f>VLOOKUP(A36,'Data shares'!$C$2:$CV$216,98,0)</f>
        <v>68647950</v>
      </c>
      <c r="C36" s="82">
        <f>VLOOKUP(A36,'Data shares'!$C$2:$CX$216,100,0)</f>
        <v>2403500</v>
      </c>
      <c r="D36" s="141">
        <f>VLOOKUP(A36,'Data shares'!$C$2:$CY$539,101,0)</f>
        <v>3.6299999999999999E-2</v>
      </c>
      <c r="E36" s="86">
        <f>VLOOKUP($A36,'Data shares'!$C:$FA,74)</f>
        <v>49790450</v>
      </c>
      <c r="F36" s="86">
        <f>VLOOKUP($A36,'Data shares'!$C:$FA,76)</f>
        <v>686375</v>
      </c>
      <c r="G36" s="87">
        <f>VLOOKUP(A36,'Data shares'!$C$2:$CA$216,77,0)</f>
        <v>1.4E-2</v>
      </c>
      <c r="H36" s="86">
        <f>VLOOKUP($A36,'Data shares'!$C:$FA,90)</f>
        <v>12763250</v>
      </c>
      <c r="I36" s="86">
        <f>VLOOKUP($A36,'Data shares'!$C:$FA,92)</f>
        <v>1513350</v>
      </c>
      <c r="J36" s="87">
        <f>VLOOKUP($A36,'Data shares'!$C:$FA,93)</f>
        <v>0.13450000000000001</v>
      </c>
      <c r="K36" s="86">
        <f>VLOOKUP($A36,'Data shares'!$C:$FA,94)</f>
        <v>6094250</v>
      </c>
      <c r="L36" s="86">
        <f>VLOOKUP($A36,'Data shares'!$C:$FA,96)</f>
        <v>203775</v>
      </c>
      <c r="M36" s="87">
        <f>VLOOKUP($A36,'Data shares'!$C:$FA,97)</f>
        <v>3.4599999999999999E-2</v>
      </c>
      <c r="N36" s="86">
        <f>VLOOKUP($A36,'Data shares'!$C:$FA,78)</f>
        <v>46668750</v>
      </c>
      <c r="O36" s="87">
        <f>VLOOKUP($A36,'Data shares'!$C:$FA,81)</f>
        <v>-5.4000000000000003E-3</v>
      </c>
    </row>
    <row r="37" spans="1:15" x14ac:dyDescent="0.25">
      <c r="A37" s="100" t="str">
        <f>'OI(Value)'!A37</f>
        <v>BHEL</v>
      </c>
      <c r="B37" s="82">
        <f>VLOOKUP(A37,'Data shares'!$C$2:$CV$216,98,0)</f>
        <v>93930375</v>
      </c>
      <c r="C37" s="82">
        <f>VLOOKUP(A37,'Data shares'!$C$2:$CX$216,100,0)</f>
        <v>249375</v>
      </c>
      <c r="D37" s="141">
        <f>VLOOKUP(A37,'Data shares'!$C$2:$CY$539,101,0)</f>
        <v>2.7000000000000001E-3</v>
      </c>
      <c r="E37" s="86">
        <f>VLOOKUP($A37,'Data shares'!$C:$FA,74)</f>
        <v>57498000</v>
      </c>
      <c r="F37" s="86">
        <f>VLOOKUP($A37,'Data shares'!$C:$FA,76)</f>
        <v>-601125</v>
      </c>
      <c r="G37" s="87">
        <f>VLOOKUP(A37,'Data shares'!$C$2:$CA$216,77,0)</f>
        <v>-1.03E-2</v>
      </c>
      <c r="H37" s="86">
        <f>VLOOKUP($A37,'Data shares'!$C:$FA,90)</f>
        <v>21401625</v>
      </c>
      <c r="I37" s="86">
        <f>VLOOKUP($A37,'Data shares'!$C:$FA,92)</f>
        <v>462000</v>
      </c>
      <c r="J37" s="87">
        <f>VLOOKUP($A37,'Data shares'!$C:$FA,93)</f>
        <v>2.2100000000000002E-2</v>
      </c>
      <c r="K37" s="86">
        <f>VLOOKUP($A37,'Data shares'!$C:$FA,94)</f>
        <v>15030750</v>
      </c>
      <c r="L37" s="86">
        <f>VLOOKUP($A37,'Data shares'!$C:$FA,96)</f>
        <v>388500</v>
      </c>
      <c r="M37" s="87">
        <f>VLOOKUP($A37,'Data shares'!$C:$FA,97)</f>
        <v>2.6499999999999999E-2</v>
      </c>
      <c r="N37" s="86">
        <f>VLOOKUP($A37,'Data shares'!$C:$FA,78)</f>
        <v>55558125</v>
      </c>
      <c r="O37" s="87">
        <f>VLOOKUP($A37,'Data shares'!$C:$FA,81)</f>
        <v>-1.2999999999999999E-2</v>
      </c>
    </row>
    <row r="38" spans="1:15" x14ac:dyDescent="0.25">
      <c r="A38" s="100" t="str">
        <f>'OI(Value)'!A38</f>
        <v>BIOCON</v>
      </c>
      <c r="B38" s="82">
        <f>VLOOKUP(A38,'Data shares'!$C$2:$CV$216,98,0)</f>
        <v>67137500</v>
      </c>
      <c r="C38" s="82">
        <f>VLOOKUP(A38,'Data shares'!$C$2:$CX$216,100,0)</f>
        <v>2182500</v>
      </c>
      <c r="D38" s="141">
        <f>VLOOKUP(A38,'Data shares'!$C$2:$CY$539,101,0)</f>
        <v>3.3599999999999998E-2</v>
      </c>
      <c r="E38" s="86">
        <f>VLOOKUP($A38,'Data shares'!$C:$FA,74)</f>
        <v>42307500</v>
      </c>
      <c r="F38" s="86">
        <f>VLOOKUP($A38,'Data shares'!$C:$FA,76)</f>
        <v>1050000</v>
      </c>
      <c r="G38" s="87">
        <f>VLOOKUP(A38,'Data shares'!$C$2:$CA$216,77,0)</f>
        <v>2.5399999999999999E-2</v>
      </c>
      <c r="H38" s="86">
        <f>VLOOKUP($A38,'Data shares'!$C:$FA,90)</f>
        <v>15197500</v>
      </c>
      <c r="I38" s="86">
        <f>VLOOKUP($A38,'Data shares'!$C:$FA,92)</f>
        <v>632500</v>
      </c>
      <c r="J38" s="87">
        <f>VLOOKUP($A38,'Data shares'!$C:$FA,93)</f>
        <v>4.3400000000000001E-2</v>
      </c>
      <c r="K38" s="86">
        <f>VLOOKUP($A38,'Data shares'!$C:$FA,94)</f>
        <v>9632500</v>
      </c>
      <c r="L38" s="86">
        <f>VLOOKUP($A38,'Data shares'!$C:$FA,96)</f>
        <v>500000</v>
      </c>
      <c r="M38" s="87">
        <f>VLOOKUP($A38,'Data shares'!$C:$FA,97)</f>
        <v>5.4699999999999999E-2</v>
      </c>
      <c r="N38" s="86">
        <f>VLOOKUP($A38,'Data shares'!$C:$FA,78)</f>
        <v>40650000</v>
      </c>
      <c r="O38" s="87">
        <f>VLOOKUP($A38,'Data shares'!$C:$FA,81)</f>
        <v>1.44E-2</v>
      </c>
    </row>
    <row r="39" spans="1:15" x14ac:dyDescent="0.25">
      <c r="A39" s="100" t="str">
        <f>'OI(Value)'!A39</f>
        <v>BLUESTARCO</v>
      </c>
      <c r="B39" s="82">
        <f>VLOOKUP(A39,'Data shares'!$C$2:$CV$216,98,0)</f>
        <v>2665000</v>
      </c>
      <c r="C39" s="82">
        <f>VLOOKUP(A39,'Data shares'!$C$2:$CX$216,100,0)</f>
        <v>158600</v>
      </c>
      <c r="D39" s="141">
        <f>VLOOKUP(A39,'Data shares'!$C$2:$CY$539,101,0)</f>
        <v>6.3299999999999995E-2</v>
      </c>
      <c r="E39" s="86">
        <f>VLOOKUP($A39,'Data shares'!$C:$FA,74)</f>
        <v>1862250</v>
      </c>
      <c r="F39" s="86">
        <f>VLOOKUP($A39,'Data shares'!$C:$FA,76)</f>
        <v>-23075</v>
      </c>
      <c r="G39" s="87">
        <f>VLOOKUP(A39,'Data shares'!$C$2:$CA$216,77,0)</f>
        <v>-1.2200000000000001E-2</v>
      </c>
      <c r="H39" s="86">
        <f>VLOOKUP($A39,'Data shares'!$C:$FA,90)</f>
        <v>495625</v>
      </c>
      <c r="I39" s="86">
        <f>VLOOKUP($A39,'Data shares'!$C:$FA,92)</f>
        <v>135200</v>
      </c>
      <c r="J39" s="87">
        <f>VLOOKUP($A39,'Data shares'!$C:$FA,93)</f>
        <v>0.37509999999999999</v>
      </c>
      <c r="K39" s="86">
        <f>VLOOKUP($A39,'Data shares'!$C:$FA,94)</f>
        <v>307125</v>
      </c>
      <c r="L39" s="86">
        <f>VLOOKUP($A39,'Data shares'!$C:$FA,96)</f>
        <v>46475</v>
      </c>
      <c r="M39" s="87">
        <f>VLOOKUP($A39,'Data shares'!$C:$FA,97)</f>
        <v>0.17829999999999999</v>
      </c>
      <c r="N39" s="86">
        <f>VLOOKUP($A39,'Data shares'!$C:$FA,78)</f>
        <v>1820650</v>
      </c>
      <c r="O39" s="87">
        <f>VLOOKUP($A39,'Data shares'!$C:$FA,81)</f>
        <v>-1.6299999999999999E-2</v>
      </c>
    </row>
    <row r="40" spans="1:15" x14ac:dyDescent="0.25">
      <c r="A40" s="100" t="str">
        <f>'OI(Value)'!A40</f>
        <v>BOSCHLTD</v>
      </c>
      <c r="B40" s="82">
        <f>VLOOKUP(A40,'Data shares'!$C$2:$CV$216,98,0)</f>
        <v>343950</v>
      </c>
      <c r="C40" s="82">
        <f>VLOOKUP(A40,'Data shares'!$C$2:$CX$216,100,0)</f>
        <v>8225</v>
      </c>
      <c r="D40" s="141">
        <f>VLOOKUP(A40,'Data shares'!$C$2:$CY$539,101,0)</f>
        <v>2.4500000000000001E-2</v>
      </c>
      <c r="E40" s="86">
        <f>VLOOKUP($A40,'Data shares'!$C:$FA,74)</f>
        <v>241525</v>
      </c>
      <c r="F40" s="86">
        <f>VLOOKUP($A40,'Data shares'!$C:$FA,76)</f>
        <v>4050</v>
      </c>
      <c r="G40" s="87">
        <f>VLOOKUP(A40,'Data shares'!$C$2:$CA$216,77,0)</f>
        <v>1.7100000000000001E-2</v>
      </c>
      <c r="H40" s="86">
        <f>VLOOKUP($A40,'Data shares'!$C:$FA,90)</f>
        <v>64025</v>
      </c>
      <c r="I40" s="86">
        <f>VLOOKUP($A40,'Data shares'!$C:$FA,92)</f>
        <v>3450</v>
      </c>
      <c r="J40" s="87">
        <f>VLOOKUP($A40,'Data shares'!$C:$FA,93)</f>
        <v>5.7000000000000002E-2</v>
      </c>
      <c r="K40" s="86">
        <f>VLOOKUP($A40,'Data shares'!$C:$FA,94)</f>
        <v>38400</v>
      </c>
      <c r="L40" s="86">
        <f>VLOOKUP($A40,'Data shares'!$C:$FA,96)</f>
        <v>725</v>
      </c>
      <c r="M40" s="87">
        <f>VLOOKUP($A40,'Data shares'!$C:$FA,97)</f>
        <v>1.9199999999999998E-2</v>
      </c>
      <c r="N40" s="86">
        <f>VLOOKUP($A40,'Data shares'!$C:$FA,78)</f>
        <v>236300</v>
      </c>
      <c r="O40" s="87">
        <f>VLOOKUP($A40,'Data shares'!$C:$FA,81)</f>
        <v>1.72E-2</v>
      </c>
    </row>
    <row r="41" spans="1:15" x14ac:dyDescent="0.25">
      <c r="A41" s="100" t="str">
        <f>'OI(Value)'!A41</f>
        <v>BPCL</v>
      </c>
      <c r="B41" s="82">
        <f>VLOOKUP(A41,'Data shares'!$C$2:$CV$216,98,0)</f>
        <v>60288850</v>
      </c>
      <c r="C41" s="82">
        <f>VLOOKUP(A41,'Data shares'!$C$2:$CX$216,100,0)</f>
        <v>260700</v>
      </c>
      <c r="D41" s="141">
        <f>VLOOKUP(A41,'Data shares'!$C$2:$CY$539,101,0)</f>
        <v>4.3E-3</v>
      </c>
      <c r="E41" s="86">
        <f>VLOOKUP($A41,'Data shares'!$C:$FA,74)</f>
        <v>36687600</v>
      </c>
      <c r="F41" s="86">
        <f>VLOOKUP($A41,'Data shares'!$C:$FA,76)</f>
        <v>96775</v>
      </c>
      <c r="G41" s="87">
        <f>VLOOKUP(A41,'Data shares'!$C$2:$CA$216,77,0)</f>
        <v>2.5999999999999999E-3</v>
      </c>
      <c r="H41" s="86">
        <f>VLOOKUP($A41,'Data shares'!$C:$FA,90)</f>
        <v>13283850</v>
      </c>
      <c r="I41" s="86">
        <f>VLOOKUP($A41,'Data shares'!$C:$FA,92)</f>
        <v>880850</v>
      </c>
      <c r="J41" s="87">
        <f>VLOOKUP($A41,'Data shares'!$C:$FA,93)</f>
        <v>7.0999999999999994E-2</v>
      </c>
      <c r="K41" s="86">
        <f>VLOOKUP($A41,'Data shares'!$C:$FA,94)</f>
        <v>10317400</v>
      </c>
      <c r="L41" s="86">
        <f>VLOOKUP($A41,'Data shares'!$C:$FA,96)</f>
        <v>-716925</v>
      </c>
      <c r="M41" s="87">
        <f>VLOOKUP($A41,'Data shares'!$C:$FA,97)</f>
        <v>-6.5000000000000002E-2</v>
      </c>
      <c r="N41" s="86">
        <f>VLOOKUP($A41,'Data shares'!$C:$FA,78)</f>
        <v>35978575</v>
      </c>
      <c r="O41" s="87">
        <f>VLOOKUP($A41,'Data shares'!$C:$FA,81)</f>
        <v>1E-4</v>
      </c>
    </row>
    <row r="42" spans="1:15" x14ac:dyDescent="0.25">
      <c r="A42" s="100" t="str">
        <f>'OI(Value)'!A42</f>
        <v>BRITANNIA</v>
      </c>
      <c r="B42" s="82">
        <f>VLOOKUP(A42,'Data shares'!$C$2:$CV$216,98,0)</f>
        <v>5205250</v>
      </c>
      <c r="C42" s="82">
        <f>VLOOKUP(A42,'Data shares'!$C$2:$CX$216,100,0)</f>
        <v>-6500</v>
      </c>
      <c r="D42" s="141">
        <f>VLOOKUP(A42,'Data shares'!$C$2:$CY$539,101,0)</f>
        <v>-1.1999999999999999E-3</v>
      </c>
      <c r="E42" s="86">
        <f>VLOOKUP($A42,'Data shares'!$C:$FA,74)</f>
        <v>3593500</v>
      </c>
      <c r="F42" s="86">
        <f>VLOOKUP($A42,'Data shares'!$C:$FA,76)</f>
        <v>-26625</v>
      </c>
      <c r="G42" s="87">
        <f>VLOOKUP(A42,'Data shares'!$C$2:$CA$216,77,0)</f>
        <v>-7.4000000000000003E-3</v>
      </c>
      <c r="H42" s="86">
        <f>VLOOKUP($A42,'Data shares'!$C:$FA,90)</f>
        <v>1074750</v>
      </c>
      <c r="I42" s="86">
        <f>VLOOKUP($A42,'Data shares'!$C:$FA,92)</f>
        <v>20875</v>
      </c>
      <c r="J42" s="87">
        <f>VLOOKUP($A42,'Data shares'!$C:$FA,93)</f>
        <v>1.9800000000000002E-2</v>
      </c>
      <c r="K42" s="86">
        <f>VLOOKUP($A42,'Data shares'!$C:$FA,94)</f>
        <v>537000</v>
      </c>
      <c r="L42" s="86">
        <f>VLOOKUP($A42,'Data shares'!$C:$FA,96)</f>
        <v>-750</v>
      </c>
      <c r="M42" s="87">
        <f>VLOOKUP($A42,'Data shares'!$C:$FA,97)</f>
        <v>-1.4E-3</v>
      </c>
      <c r="N42" s="86">
        <f>VLOOKUP($A42,'Data shares'!$C:$FA,78)</f>
        <v>3572375</v>
      </c>
      <c r="O42" s="87">
        <f>VLOOKUP($A42,'Data shares'!$C:$FA,81)</f>
        <v>-7.4000000000000003E-3</v>
      </c>
    </row>
    <row r="43" spans="1:15" x14ac:dyDescent="0.25">
      <c r="A43" s="100" t="str">
        <f>'OI(Value)'!A43</f>
        <v>BSE</v>
      </c>
      <c r="B43" s="82">
        <f>VLOOKUP(A43,'Data shares'!$C$2:$CV$216,98,0)</f>
        <v>30337125</v>
      </c>
      <c r="C43" s="82">
        <f>VLOOKUP(A43,'Data shares'!$C$2:$CX$216,100,0)</f>
        <v>267000</v>
      </c>
      <c r="D43" s="141">
        <f>VLOOKUP(A43,'Data shares'!$C$2:$CY$539,101,0)</f>
        <v>8.8999999999999999E-3</v>
      </c>
      <c r="E43" s="86">
        <f>VLOOKUP($A43,'Data shares'!$C:$FA,74)</f>
        <v>13204125</v>
      </c>
      <c r="F43" s="86">
        <f>VLOOKUP($A43,'Data shares'!$C:$FA,76)</f>
        <v>-420000</v>
      </c>
      <c r="G43" s="87">
        <f>VLOOKUP(A43,'Data shares'!$C$2:$CA$216,77,0)</f>
        <v>-3.0800000000000001E-2</v>
      </c>
      <c r="H43" s="86">
        <f>VLOOKUP($A43,'Data shares'!$C:$FA,90)</f>
        <v>8462625</v>
      </c>
      <c r="I43" s="86">
        <f>VLOOKUP($A43,'Data shares'!$C:$FA,92)</f>
        <v>400500</v>
      </c>
      <c r="J43" s="87">
        <f>VLOOKUP($A43,'Data shares'!$C:$FA,93)</f>
        <v>4.9700000000000001E-2</v>
      </c>
      <c r="K43" s="86">
        <f>VLOOKUP($A43,'Data shares'!$C:$FA,94)</f>
        <v>8670375</v>
      </c>
      <c r="L43" s="86">
        <f>VLOOKUP($A43,'Data shares'!$C:$FA,96)</f>
        <v>286500</v>
      </c>
      <c r="M43" s="87">
        <f>VLOOKUP($A43,'Data shares'!$C:$FA,97)</f>
        <v>3.4200000000000001E-2</v>
      </c>
      <c r="N43" s="86">
        <f>VLOOKUP($A43,'Data shares'!$C:$FA,78)</f>
        <v>12276750</v>
      </c>
      <c r="O43" s="87">
        <f>VLOOKUP($A43,'Data shares'!$C:$FA,81)</f>
        <v>-3.5999999999999997E-2</v>
      </c>
    </row>
    <row r="44" spans="1:15" x14ac:dyDescent="0.25">
      <c r="A44" s="100" t="str">
        <f>'OI(Value)'!A44</f>
        <v>CAMS</v>
      </c>
      <c r="B44" s="82">
        <f>VLOOKUP(A44,'Data shares'!$C$2:$CV$216,98,0)</f>
        <v>3985650</v>
      </c>
      <c r="C44" s="82">
        <f>VLOOKUP(A44,'Data shares'!$C$2:$CX$216,100,0)</f>
        <v>21600</v>
      </c>
      <c r="D44" s="141">
        <f>VLOOKUP(A44,'Data shares'!$C$2:$CY$539,101,0)</f>
        <v>5.4000000000000003E-3</v>
      </c>
      <c r="E44" s="86">
        <f>VLOOKUP($A44,'Data shares'!$C:$FA,74)</f>
        <v>2291850</v>
      </c>
      <c r="F44" s="86">
        <f>VLOOKUP($A44,'Data shares'!$C:$FA,76)</f>
        <v>-17250</v>
      </c>
      <c r="G44" s="87">
        <f>VLOOKUP(A44,'Data shares'!$C$2:$CA$216,77,0)</f>
        <v>-7.4999999999999997E-3</v>
      </c>
      <c r="H44" s="86">
        <f>VLOOKUP($A44,'Data shares'!$C:$FA,90)</f>
        <v>1042350</v>
      </c>
      <c r="I44" s="86">
        <f>VLOOKUP($A44,'Data shares'!$C:$FA,92)</f>
        <v>13800</v>
      </c>
      <c r="J44" s="87">
        <f>VLOOKUP($A44,'Data shares'!$C:$FA,93)</f>
        <v>1.34E-2</v>
      </c>
      <c r="K44" s="86">
        <f>VLOOKUP($A44,'Data shares'!$C:$FA,94)</f>
        <v>651450</v>
      </c>
      <c r="L44" s="86">
        <f>VLOOKUP($A44,'Data shares'!$C:$FA,96)</f>
        <v>25050</v>
      </c>
      <c r="M44" s="87">
        <f>VLOOKUP($A44,'Data shares'!$C:$FA,97)</f>
        <v>0.04</v>
      </c>
      <c r="N44" s="86">
        <f>VLOOKUP($A44,'Data shares'!$C:$FA,78)</f>
        <v>2154750</v>
      </c>
      <c r="O44" s="87">
        <f>VLOOKUP($A44,'Data shares'!$C:$FA,81)</f>
        <v>-1.2800000000000001E-2</v>
      </c>
    </row>
    <row r="45" spans="1:15" x14ac:dyDescent="0.25">
      <c r="A45" s="100" t="str">
        <f>'OI(Value)'!A45</f>
        <v>CANBK</v>
      </c>
      <c r="B45" s="82">
        <f>VLOOKUP(A45,'Data shares'!$C$2:$CV$216,98,0)</f>
        <v>449185500</v>
      </c>
      <c r="C45" s="82">
        <f>VLOOKUP(A45,'Data shares'!$C$2:$CX$216,100,0)</f>
        <v>-8268750</v>
      </c>
      <c r="D45" s="141">
        <f>VLOOKUP(A45,'Data shares'!$C$2:$CY$539,101,0)</f>
        <v>-1.8100000000000002E-2</v>
      </c>
      <c r="E45" s="86">
        <f>VLOOKUP($A45,'Data shares'!$C:$FA,74)</f>
        <v>275710500</v>
      </c>
      <c r="F45" s="86">
        <f>VLOOKUP($A45,'Data shares'!$C:$FA,76)</f>
        <v>-371250</v>
      </c>
      <c r="G45" s="87">
        <f>VLOOKUP(A45,'Data shares'!$C$2:$CA$216,77,0)</f>
        <v>-1.2999999999999999E-3</v>
      </c>
      <c r="H45" s="86">
        <f>VLOOKUP($A45,'Data shares'!$C:$FA,90)</f>
        <v>93588750</v>
      </c>
      <c r="I45" s="86">
        <f>VLOOKUP($A45,'Data shares'!$C:$FA,92)</f>
        <v>-7890750</v>
      </c>
      <c r="J45" s="87">
        <f>VLOOKUP($A45,'Data shares'!$C:$FA,93)</f>
        <v>-7.7799999999999994E-2</v>
      </c>
      <c r="K45" s="86">
        <f>VLOOKUP($A45,'Data shares'!$C:$FA,94)</f>
        <v>79886250</v>
      </c>
      <c r="L45" s="86">
        <f>VLOOKUP($A45,'Data shares'!$C:$FA,96)</f>
        <v>-6750</v>
      </c>
      <c r="M45" s="87">
        <f>VLOOKUP($A45,'Data shares'!$C:$FA,97)</f>
        <v>-1E-4</v>
      </c>
      <c r="N45" s="86">
        <f>VLOOKUP($A45,'Data shares'!$C:$FA,78)</f>
        <v>267246000</v>
      </c>
      <c r="O45" s="87">
        <f>VLOOKUP($A45,'Data shares'!$C:$FA,81)</f>
        <v>-3.0999999999999999E-3</v>
      </c>
    </row>
    <row r="46" spans="1:15" x14ac:dyDescent="0.25">
      <c r="A46" s="100" t="str">
        <f>'OI(Value)'!A46</f>
        <v>CDSL</v>
      </c>
      <c r="B46" s="82">
        <f>VLOOKUP(A46,'Data shares'!$C$2:$CV$216,98,0)</f>
        <v>17299975</v>
      </c>
      <c r="C46" s="82">
        <f>VLOOKUP(A46,'Data shares'!$C$2:$CX$216,100,0)</f>
        <v>-373350</v>
      </c>
      <c r="D46" s="141">
        <f>VLOOKUP(A46,'Data shares'!$C$2:$CY$539,101,0)</f>
        <v>-2.1100000000000001E-2</v>
      </c>
      <c r="E46" s="86">
        <f>VLOOKUP($A46,'Data shares'!$C:$FA,74)</f>
        <v>8320575</v>
      </c>
      <c r="F46" s="86">
        <f>VLOOKUP($A46,'Data shares'!$C:$FA,76)</f>
        <v>-330600</v>
      </c>
      <c r="G46" s="87">
        <f>VLOOKUP(A46,'Data shares'!$C$2:$CA$216,77,0)</f>
        <v>-3.8199999999999998E-2</v>
      </c>
      <c r="H46" s="86">
        <f>VLOOKUP($A46,'Data shares'!$C:$FA,90)</f>
        <v>5362275</v>
      </c>
      <c r="I46" s="86">
        <f>VLOOKUP($A46,'Data shares'!$C:$FA,92)</f>
        <v>-102125</v>
      </c>
      <c r="J46" s="87">
        <f>VLOOKUP($A46,'Data shares'!$C:$FA,93)</f>
        <v>-1.8700000000000001E-2</v>
      </c>
      <c r="K46" s="86">
        <f>VLOOKUP($A46,'Data shares'!$C:$FA,94)</f>
        <v>3617125</v>
      </c>
      <c r="L46" s="86">
        <f>VLOOKUP($A46,'Data shares'!$C:$FA,96)</f>
        <v>59375</v>
      </c>
      <c r="M46" s="87">
        <f>VLOOKUP($A46,'Data shares'!$C:$FA,97)</f>
        <v>1.67E-2</v>
      </c>
      <c r="N46" s="86">
        <f>VLOOKUP($A46,'Data shares'!$C:$FA,78)</f>
        <v>7618525</v>
      </c>
      <c r="O46" s="87">
        <f>VLOOKUP($A46,'Data shares'!$C:$FA,81)</f>
        <v>-4.4600000000000001E-2</v>
      </c>
    </row>
    <row r="47" spans="1:15" x14ac:dyDescent="0.25">
      <c r="A47" s="100" t="str">
        <f>'OI(Value)'!A47</f>
        <v>CGPOWER</v>
      </c>
      <c r="B47" s="82">
        <f>VLOOKUP(A47,'Data shares'!$C$2:$CV$216,98,0)</f>
        <v>28114600</v>
      </c>
      <c r="C47" s="82">
        <f>VLOOKUP(A47,'Data shares'!$C$2:$CX$216,100,0)</f>
        <v>1053150</v>
      </c>
      <c r="D47" s="141">
        <f>VLOOKUP(A47,'Data shares'!$C$2:$CY$539,101,0)</f>
        <v>3.8899999999999997E-2</v>
      </c>
      <c r="E47" s="86">
        <f>VLOOKUP($A47,'Data shares'!$C:$FA,74)</f>
        <v>18497700</v>
      </c>
      <c r="F47" s="86">
        <f>VLOOKUP($A47,'Data shares'!$C:$FA,76)</f>
        <v>205700</v>
      </c>
      <c r="G47" s="87">
        <f>VLOOKUP(A47,'Data shares'!$C$2:$CA$216,77,0)</f>
        <v>1.12E-2</v>
      </c>
      <c r="H47" s="86">
        <f>VLOOKUP($A47,'Data shares'!$C:$FA,90)</f>
        <v>5934700</v>
      </c>
      <c r="I47" s="86">
        <f>VLOOKUP($A47,'Data shares'!$C:$FA,92)</f>
        <v>415650</v>
      </c>
      <c r="J47" s="87">
        <f>VLOOKUP($A47,'Data shares'!$C:$FA,93)</f>
        <v>7.5300000000000006E-2</v>
      </c>
      <c r="K47" s="86">
        <f>VLOOKUP($A47,'Data shares'!$C:$FA,94)</f>
        <v>3682200</v>
      </c>
      <c r="L47" s="86">
        <f>VLOOKUP($A47,'Data shares'!$C:$FA,96)</f>
        <v>431800</v>
      </c>
      <c r="M47" s="87">
        <f>VLOOKUP($A47,'Data shares'!$C:$FA,97)</f>
        <v>0.1328</v>
      </c>
      <c r="N47" s="86">
        <f>VLOOKUP($A47,'Data shares'!$C:$FA,78)</f>
        <v>18042100</v>
      </c>
      <c r="O47" s="87">
        <f>VLOOKUP($A47,'Data shares'!$C:$FA,81)</f>
        <v>8.8999999999999999E-3</v>
      </c>
    </row>
    <row r="48" spans="1:15" x14ac:dyDescent="0.25">
      <c r="A48" s="100" t="str">
        <f>'OI(Value)'!A48</f>
        <v>CHOLAFIN</v>
      </c>
      <c r="B48" s="82">
        <f>VLOOKUP(A48,'Data shares'!$C$2:$CV$216,98,0)</f>
        <v>19998125</v>
      </c>
      <c r="C48" s="82">
        <f>VLOOKUP(A48,'Data shares'!$C$2:$CX$216,100,0)</f>
        <v>58125</v>
      </c>
      <c r="D48" s="141">
        <f>VLOOKUP(A48,'Data shares'!$C$2:$CY$539,101,0)</f>
        <v>2.8999999999999998E-3</v>
      </c>
      <c r="E48" s="86">
        <f>VLOOKUP($A48,'Data shares'!$C:$FA,74)</f>
        <v>15751250</v>
      </c>
      <c r="F48" s="86">
        <f>VLOOKUP($A48,'Data shares'!$C:$FA,76)</f>
        <v>92500</v>
      </c>
      <c r="G48" s="87">
        <f>VLOOKUP(A48,'Data shares'!$C$2:$CA$216,77,0)</f>
        <v>5.8999999999999999E-3</v>
      </c>
      <c r="H48" s="86">
        <f>VLOOKUP($A48,'Data shares'!$C:$FA,90)</f>
        <v>2461250</v>
      </c>
      <c r="I48" s="86">
        <f>VLOOKUP($A48,'Data shares'!$C:$FA,92)</f>
        <v>-10000</v>
      </c>
      <c r="J48" s="87">
        <f>VLOOKUP($A48,'Data shares'!$C:$FA,93)</f>
        <v>-4.0000000000000001E-3</v>
      </c>
      <c r="K48" s="86">
        <f>VLOOKUP($A48,'Data shares'!$C:$FA,94)</f>
        <v>1785625</v>
      </c>
      <c r="L48" s="86">
        <f>VLOOKUP($A48,'Data shares'!$C:$FA,96)</f>
        <v>-24375</v>
      </c>
      <c r="M48" s="87">
        <f>VLOOKUP($A48,'Data shares'!$C:$FA,97)</f>
        <v>-1.35E-2</v>
      </c>
      <c r="N48" s="86">
        <f>VLOOKUP($A48,'Data shares'!$C:$FA,78)</f>
        <v>15191250</v>
      </c>
      <c r="O48" s="87">
        <f>VLOOKUP($A48,'Data shares'!$C:$FA,81)</f>
        <v>1.1999999999999999E-3</v>
      </c>
    </row>
    <row r="49" spans="1:15" x14ac:dyDescent="0.25">
      <c r="A49" s="100" t="str">
        <f>'OI(Value)'!A49</f>
        <v>CIPLA</v>
      </c>
      <c r="B49" s="82">
        <f>VLOOKUP(A49,'Data shares'!$C$2:$CV$216,98,0)</f>
        <v>18391125</v>
      </c>
      <c r="C49" s="82">
        <f>VLOOKUP(A49,'Data shares'!$C$2:$CX$216,100,0)</f>
        <v>2029125</v>
      </c>
      <c r="D49" s="141">
        <f>VLOOKUP(A49,'Data shares'!$C$2:$CY$539,101,0)</f>
        <v>0.124</v>
      </c>
      <c r="E49" s="86">
        <f>VLOOKUP($A49,'Data shares'!$C:$FA,74)</f>
        <v>11117625</v>
      </c>
      <c r="F49" s="86">
        <f>VLOOKUP($A49,'Data shares'!$C:$FA,76)</f>
        <v>314250</v>
      </c>
      <c r="G49" s="87">
        <f>VLOOKUP(A49,'Data shares'!$C$2:$CA$216,77,0)</f>
        <v>2.9100000000000001E-2</v>
      </c>
      <c r="H49" s="86">
        <f>VLOOKUP($A49,'Data shares'!$C:$FA,90)</f>
        <v>4042125</v>
      </c>
      <c r="I49" s="86">
        <f>VLOOKUP($A49,'Data shares'!$C:$FA,92)</f>
        <v>501000</v>
      </c>
      <c r="J49" s="87">
        <f>VLOOKUP($A49,'Data shares'!$C:$FA,93)</f>
        <v>0.14149999999999999</v>
      </c>
      <c r="K49" s="86">
        <f>VLOOKUP($A49,'Data shares'!$C:$FA,94)</f>
        <v>3231375</v>
      </c>
      <c r="L49" s="86">
        <f>VLOOKUP($A49,'Data shares'!$C:$FA,96)</f>
        <v>1213875</v>
      </c>
      <c r="M49" s="87">
        <f>VLOOKUP($A49,'Data shares'!$C:$FA,97)</f>
        <v>0.60170000000000001</v>
      </c>
      <c r="N49" s="86">
        <f>VLOOKUP($A49,'Data shares'!$C:$FA,78)</f>
        <v>10968750</v>
      </c>
      <c r="O49" s="87">
        <f>VLOOKUP($A49,'Data shares'!$C:$FA,81)</f>
        <v>2.6100000000000002E-2</v>
      </c>
    </row>
    <row r="50" spans="1:15" x14ac:dyDescent="0.25">
      <c r="A50" s="100" t="str">
        <f>'OI(Value)'!A50</f>
        <v>COALINDIA</v>
      </c>
      <c r="B50" s="82">
        <f>VLOOKUP(A50,'Data shares'!$C$2:$CV$216,98,0)</f>
        <v>120406500</v>
      </c>
      <c r="C50" s="82">
        <f>VLOOKUP(A50,'Data shares'!$C$2:$CX$216,100,0)</f>
        <v>2808000</v>
      </c>
      <c r="D50" s="141">
        <f>VLOOKUP(A50,'Data shares'!$C$2:$CY$539,101,0)</f>
        <v>2.3900000000000001E-2</v>
      </c>
      <c r="E50" s="86">
        <f>VLOOKUP($A50,'Data shares'!$C:$FA,74)</f>
        <v>70777800</v>
      </c>
      <c r="F50" s="86">
        <f>VLOOKUP($A50,'Data shares'!$C:$FA,76)</f>
        <v>815400</v>
      </c>
      <c r="G50" s="87">
        <f>VLOOKUP(A50,'Data shares'!$C$2:$CA$216,77,0)</f>
        <v>1.17E-2</v>
      </c>
      <c r="H50" s="86">
        <f>VLOOKUP($A50,'Data shares'!$C:$FA,90)</f>
        <v>29917350</v>
      </c>
      <c r="I50" s="86">
        <f>VLOOKUP($A50,'Data shares'!$C:$FA,92)</f>
        <v>1391850</v>
      </c>
      <c r="J50" s="87">
        <f>VLOOKUP($A50,'Data shares'!$C:$FA,93)</f>
        <v>4.8800000000000003E-2</v>
      </c>
      <c r="K50" s="86">
        <f>VLOOKUP($A50,'Data shares'!$C:$FA,94)</f>
        <v>19711350</v>
      </c>
      <c r="L50" s="86">
        <f>VLOOKUP($A50,'Data shares'!$C:$FA,96)</f>
        <v>600750</v>
      </c>
      <c r="M50" s="87">
        <f>VLOOKUP($A50,'Data shares'!$C:$FA,97)</f>
        <v>3.1399999999999997E-2</v>
      </c>
      <c r="N50" s="86">
        <f>VLOOKUP($A50,'Data shares'!$C:$FA,78)</f>
        <v>68196600</v>
      </c>
      <c r="O50" s="87">
        <f>VLOOKUP($A50,'Data shares'!$C:$FA,81)</f>
        <v>5.7999999999999996E-3</v>
      </c>
    </row>
    <row r="51" spans="1:15" x14ac:dyDescent="0.25">
      <c r="A51" s="100" t="str">
        <f>'OI(Value)'!A51</f>
        <v>COFORGE</v>
      </c>
      <c r="B51" s="82">
        <f>VLOOKUP(A51,'Data shares'!$C$2:$CV$216,98,0)</f>
        <v>19714125</v>
      </c>
      <c r="C51" s="82">
        <f>VLOOKUP(A51,'Data shares'!$C$2:$CX$216,100,0)</f>
        <v>-573375</v>
      </c>
      <c r="D51" s="141">
        <f>VLOOKUP(A51,'Data shares'!$C$2:$CY$539,101,0)</f>
        <v>-2.8299999999999999E-2</v>
      </c>
      <c r="E51" s="86">
        <f>VLOOKUP($A51,'Data shares'!$C:$FA,74)</f>
        <v>12602250</v>
      </c>
      <c r="F51" s="86">
        <f>VLOOKUP($A51,'Data shares'!$C:$FA,76)</f>
        <v>-166500</v>
      </c>
      <c r="G51" s="87">
        <f>VLOOKUP(A51,'Data shares'!$C$2:$CA$216,77,0)</f>
        <v>-1.2999999999999999E-2</v>
      </c>
      <c r="H51" s="86">
        <f>VLOOKUP($A51,'Data shares'!$C:$FA,90)</f>
        <v>4197375</v>
      </c>
      <c r="I51" s="86">
        <f>VLOOKUP($A51,'Data shares'!$C:$FA,92)</f>
        <v>-401625</v>
      </c>
      <c r="J51" s="87">
        <f>VLOOKUP($A51,'Data shares'!$C:$FA,93)</f>
        <v>-8.7300000000000003E-2</v>
      </c>
      <c r="K51" s="86">
        <f>VLOOKUP($A51,'Data shares'!$C:$FA,94)</f>
        <v>2914500</v>
      </c>
      <c r="L51" s="86">
        <f>VLOOKUP($A51,'Data shares'!$C:$FA,96)</f>
        <v>-5250</v>
      </c>
      <c r="M51" s="87">
        <f>VLOOKUP($A51,'Data shares'!$C:$FA,97)</f>
        <v>-1.8E-3</v>
      </c>
      <c r="N51" s="86">
        <f>VLOOKUP($A51,'Data shares'!$C:$FA,78)</f>
        <v>12335625</v>
      </c>
      <c r="O51" s="87">
        <f>VLOOKUP($A51,'Data shares'!$C:$FA,81)</f>
        <v>-1.3599999999999999E-2</v>
      </c>
    </row>
    <row r="52" spans="1:15" x14ac:dyDescent="0.25">
      <c r="A52" s="100" t="str">
        <f>'OI(Value)'!A52</f>
        <v>COLPAL</v>
      </c>
      <c r="B52" s="82">
        <f>VLOOKUP(A52,'Data shares'!$C$2:$CV$216,98,0)</f>
        <v>8404875</v>
      </c>
      <c r="C52" s="82">
        <f>VLOOKUP(A52,'Data shares'!$C$2:$CX$216,100,0)</f>
        <v>150975</v>
      </c>
      <c r="D52" s="141">
        <f>VLOOKUP(A52,'Data shares'!$C$2:$CY$539,101,0)</f>
        <v>1.83E-2</v>
      </c>
      <c r="E52" s="86">
        <f>VLOOKUP($A52,'Data shares'!$C:$FA,74)</f>
        <v>5413500</v>
      </c>
      <c r="F52" s="86">
        <f>VLOOKUP($A52,'Data shares'!$C:$FA,76)</f>
        <v>76050</v>
      </c>
      <c r="G52" s="87">
        <f>VLOOKUP(A52,'Data shares'!$C$2:$CA$216,77,0)</f>
        <v>1.4200000000000001E-2</v>
      </c>
      <c r="H52" s="86">
        <f>VLOOKUP($A52,'Data shares'!$C:$FA,90)</f>
        <v>1654650</v>
      </c>
      <c r="I52" s="86">
        <f>VLOOKUP($A52,'Data shares'!$C:$FA,92)</f>
        <v>18675</v>
      </c>
      <c r="J52" s="87">
        <f>VLOOKUP($A52,'Data shares'!$C:$FA,93)</f>
        <v>1.14E-2</v>
      </c>
      <c r="K52" s="86">
        <f>VLOOKUP($A52,'Data shares'!$C:$FA,94)</f>
        <v>1336725</v>
      </c>
      <c r="L52" s="86">
        <f>VLOOKUP($A52,'Data shares'!$C:$FA,96)</f>
        <v>56250</v>
      </c>
      <c r="M52" s="87">
        <f>VLOOKUP($A52,'Data shares'!$C:$FA,97)</f>
        <v>4.3900000000000002E-2</v>
      </c>
      <c r="N52" s="86">
        <f>VLOOKUP($A52,'Data shares'!$C:$FA,78)</f>
        <v>4828050</v>
      </c>
      <c r="O52" s="87">
        <f>VLOOKUP($A52,'Data shares'!$C:$FA,81)</f>
        <v>9.4999999999999998E-3</v>
      </c>
    </row>
    <row r="53" spans="1:15" x14ac:dyDescent="0.25">
      <c r="A53" s="100" t="str">
        <f>'OI(Value)'!A53</f>
        <v>CONCOR</v>
      </c>
      <c r="B53" s="82">
        <f>VLOOKUP(A53,'Data shares'!$C$2:$CV$216,98,0)</f>
        <v>42998750</v>
      </c>
      <c r="C53" s="82">
        <f>VLOOKUP(A53,'Data shares'!$C$2:$CX$216,100,0)</f>
        <v>-20000</v>
      </c>
      <c r="D53" s="141">
        <f>VLOOKUP(A53,'Data shares'!$C$2:$CY$539,101,0)</f>
        <v>-5.0000000000000001E-4</v>
      </c>
      <c r="E53" s="86">
        <f>VLOOKUP($A53,'Data shares'!$C:$FA,74)</f>
        <v>25518750</v>
      </c>
      <c r="F53" s="86">
        <f>VLOOKUP($A53,'Data shares'!$C:$FA,76)</f>
        <v>-105000</v>
      </c>
      <c r="G53" s="87">
        <f>VLOOKUP(A53,'Data shares'!$C$2:$CA$216,77,0)</f>
        <v>-4.1000000000000003E-3</v>
      </c>
      <c r="H53" s="86">
        <f>VLOOKUP($A53,'Data shares'!$C:$FA,90)</f>
        <v>10057500</v>
      </c>
      <c r="I53" s="86">
        <f>VLOOKUP($A53,'Data shares'!$C:$FA,92)</f>
        <v>-35000</v>
      </c>
      <c r="J53" s="87">
        <f>VLOOKUP($A53,'Data shares'!$C:$FA,93)</f>
        <v>-3.5000000000000001E-3</v>
      </c>
      <c r="K53" s="86">
        <f>VLOOKUP($A53,'Data shares'!$C:$FA,94)</f>
        <v>7422500</v>
      </c>
      <c r="L53" s="86">
        <f>VLOOKUP($A53,'Data shares'!$C:$FA,96)</f>
        <v>120000</v>
      </c>
      <c r="M53" s="87">
        <f>VLOOKUP($A53,'Data shares'!$C:$FA,97)</f>
        <v>1.6400000000000001E-2</v>
      </c>
      <c r="N53" s="86">
        <f>VLOOKUP($A53,'Data shares'!$C:$FA,78)</f>
        <v>23186250</v>
      </c>
      <c r="O53" s="87">
        <f>VLOOKUP($A53,'Data shares'!$C:$FA,81)</f>
        <v>-1.0999999999999999E-2</v>
      </c>
    </row>
    <row r="54" spans="1:15" x14ac:dyDescent="0.25">
      <c r="A54" s="100" t="str">
        <f>'OI(Value)'!A54</f>
        <v>CROMPTON</v>
      </c>
      <c r="B54" s="82">
        <f>VLOOKUP(A54,'Data shares'!$C$2:$CV$216,98,0)</f>
        <v>80735400</v>
      </c>
      <c r="C54" s="82">
        <f>VLOOKUP(A54,'Data shares'!$C$2:$CX$216,100,0)</f>
        <v>703800</v>
      </c>
      <c r="D54" s="141">
        <f>VLOOKUP(A54,'Data shares'!$C$2:$CY$539,101,0)</f>
        <v>8.8000000000000005E-3</v>
      </c>
      <c r="E54" s="86">
        <f>VLOOKUP($A54,'Data shares'!$C:$FA,74)</f>
        <v>52057800</v>
      </c>
      <c r="F54" s="86">
        <f>VLOOKUP($A54,'Data shares'!$C:$FA,76)</f>
        <v>576000</v>
      </c>
      <c r="G54" s="87">
        <f>VLOOKUP(A54,'Data shares'!$C$2:$CA$216,77,0)</f>
        <v>1.12E-2</v>
      </c>
      <c r="H54" s="86">
        <f>VLOOKUP($A54,'Data shares'!$C:$FA,90)</f>
        <v>18300600</v>
      </c>
      <c r="I54" s="86">
        <f>VLOOKUP($A54,'Data shares'!$C:$FA,92)</f>
        <v>-117000</v>
      </c>
      <c r="J54" s="87">
        <f>VLOOKUP($A54,'Data shares'!$C:$FA,93)</f>
        <v>-6.4000000000000003E-3</v>
      </c>
      <c r="K54" s="86">
        <f>VLOOKUP($A54,'Data shares'!$C:$FA,94)</f>
        <v>10377000</v>
      </c>
      <c r="L54" s="86">
        <f>VLOOKUP($A54,'Data shares'!$C:$FA,96)</f>
        <v>244800</v>
      </c>
      <c r="M54" s="87">
        <f>VLOOKUP($A54,'Data shares'!$C:$FA,97)</f>
        <v>2.4199999999999999E-2</v>
      </c>
      <c r="N54" s="86">
        <f>VLOOKUP($A54,'Data shares'!$C:$FA,78)</f>
        <v>49113000</v>
      </c>
      <c r="O54" s="87">
        <f>VLOOKUP($A54,'Data shares'!$C:$FA,81)</f>
        <v>8.0999999999999996E-3</v>
      </c>
    </row>
    <row r="55" spans="1:15" x14ac:dyDescent="0.25">
      <c r="A55" s="100" t="str">
        <f>'OI(Value)'!A55</f>
        <v>CUMMINSIND</v>
      </c>
      <c r="B55" s="82">
        <f>VLOOKUP(A55,'Data shares'!$C$2:$CV$216,98,0)</f>
        <v>4229400</v>
      </c>
      <c r="C55" s="82">
        <f>VLOOKUP(A55,'Data shares'!$C$2:$CX$216,100,0)</f>
        <v>104200</v>
      </c>
      <c r="D55" s="141">
        <f>VLOOKUP(A55,'Data shares'!$C$2:$CY$539,101,0)</f>
        <v>2.53E-2</v>
      </c>
      <c r="E55" s="86">
        <f>VLOOKUP($A55,'Data shares'!$C:$FA,74)</f>
        <v>2974400</v>
      </c>
      <c r="F55" s="86">
        <f>VLOOKUP($A55,'Data shares'!$C:$FA,76)</f>
        <v>42600</v>
      </c>
      <c r="G55" s="87">
        <f>VLOOKUP(A55,'Data shares'!$C$2:$CA$216,77,0)</f>
        <v>1.4500000000000001E-2</v>
      </c>
      <c r="H55" s="86">
        <f>VLOOKUP($A55,'Data shares'!$C:$FA,90)</f>
        <v>742800</v>
      </c>
      <c r="I55" s="86">
        <f>VLOOKUP($A55,'Data shares'!$C:$FA,92)</f>
        <v>55600</v>
      </c>
      <c r="J55" s="87">
        <f>VLOOKUP($A55,'Data shares'!$C:$FA,93)</f>
        <v>8.09E-2</v>
      </c>
      <c r="K55" s="86">
        <f>VLOOKUP($A55,'Data shares'!$C:$FA,94)</f>
        <v>512200</v>
      </c>
      <c r="L55" s="86">
        <f>VLOOKUP($A55,'Data shares'!$C:$FA,96)</f>
        <v>6000</v>
      </c>
      <c r="M55" s="87">
        <f>VLOOKUP($A55,'Data shares'!$C:$FA,97)</f>
        <v>1.1900000000000001E-2</v>
      </c>
      <c r="N55" s="86">
        <f>VLOOKUP($A55,'Data shares'!$C:$FA,78)</f>
        <v>2934000</v>
      </c>
      <c r="O55" s="87">
        <f>VLOOKUP($A55,'Data shares'!$C:$FA,81)</f>
        <v>1.3899999999999999E-2</v>
      </c>
    </row>
    <row r="56" spans="1:15" x14ac:dyDescent="0.25">
      <c r="A56" s="100" t="str">
        <f>'OI(Value)'!A56</f>
        <v>CYIENT</v>
      </c>
      <c r="B56" s="82">
        <f>VLOOKUP(A56,'Data shares'!$C$2:$CV$216,98,0)</f>
        <v>7184625</v>
      </c>
      <c r="C56" s="82">
        <f>VLOOKUP(A56,'Data shares'!$C$2:$CX$216,100,0)</f>
        <v>409275</v>
      </c>
      <c r="D56" s="141">
        <f>VLOOKUP(A56,'Data shares'!$C$2:$CY$539,101,0)</f>
        <v>6.0400000000000002E-2</v>
      </c>
      <c r="E56" s="86">
        <f>VLOOKUP($A56,'Data shares'!$C:$FA,74)</f>
        <v>4001375</v>
      </c>
      <c r="F56" s="86">
        <f>VLOOKUP($A56,'Data shares'!$C:$FA,76)</f>
        <v>2125</v>
      </c>
      <c r="G56" s="87">
        <f>VLOOKUP(A56,'Data shares'!$C$2:$CA$216,77,0)</f>
        <v>5.0000000000000001E-4</v>
      </c>
      <c r="H56" s="86">
        <f>VLOOKUP($A56,'Data shares'!$C:$FA,90)</f>
        <v>2066350</v>
      </c>
      <c r="I56" s="86">
        <f>VLOOKUP($A56,'Data shares'!$C:$FA,92)</f>
        <v>364225</v>
      </c>
      <c r="J56" s="87">
        <f>VLOOKUP($A56,'Data shares'!$C:$FA,93)</f>
        <v>0.214</v>
      </c>
      <c r="K56" s="86">
        <f>VLOOKUP($A56,'Data shares'!$C:$FA,94)</f>
        <v>1116900</v>
      </c>
      <c r="L56" s="86">
        <f>VLOOKUP($A56,'Data shares'!$C:$FA,96)</f>
        <v>42925</v>
      </c>
      <c r="M56" s="87">
        <f>VLOOKUP($A56,'Data shares'!$C:$FA,97)</f>
        <v>0.04</v>
      </c>
      <c r="N56" s="86">
        <f>VLOOKUP($A56,'Data shares'!$C:$FA,78)</f>
        <v>3701750</v>
      </c>
      <c r="O56" s="87">
        <f>VLOOKUP($A56,'Data shares'!$C:$FA,81)</f>
        <v>-1.9E-3</v>
      </c>
    </row>
    <row r="57" spans="1:15" x14ac:dyDescent="0.25">
      <c r="A57" s="100" t="str">
        <f>'OI(Value)'!A57</f>
        <v>DABUR</v>
      </c>
      <c r="B57" s="82">
        <f>VLOOKUP(A57,'Data shares'!$C$2:$CV$216,98,0)</f>
        <v>55740000</v>
      </c>
      <c r="C57" s="82">
        <f>VLOOKUP(A57,'Data shares'!$C$2:$CX$216,100,0)</f>
        <v>-328750</v>
      </c>
      <c r="D57" s="141">
        <f>VLOOKUP(A57,'Data shares'!$C$2:$CY$539,101,0)</f>
        <v>-5.8999999999999999E-3</v>
      </c>
      <c r="E57" s="86">
        <f>VLOOKUP($A57,'Data shares'!$C:$FA,74)</f>
        <v>28671250</v>
      </c>
      <c r="F57" s="86">
        <f>VLOOKUP($A57,'Data shares'!$C:$FA,76)</f>
        <v>-333750</v>
      </c>
      <c r="G57" s="87">
        <f>VLOOKUP(A57,'Data shares'!$C$2:$CA$216,77,0)</f>
        <v>-1.15E-2</v>
      </c>
      <c r="H57" s="86">
        <f>VLOOKUP($A57,'Data shares'!$C:$FA,90)</f>
        <v>18765000</v>
      </c>
      <c r="I57" s="86">
        <f>VLOOKUP($A57,'Data shares'!$C:$FA,92)</f>
        <v>-201250</v>
      </c>
      <c r="J57" s="87">
        <f>VLOOKUP($A57,'Data shares'!$C:$FA,93)</f>
        <v>-1.06E-2</v>
      </c>
      <c r="K57" s="86">
        <f>VLOOKUP($A57,'Data shares'!$C:$FA,94)</f>
        <v>8303750</v>
      </c>
      <c r="L57" s="86">
        <f>VLOOKUP($A57,'Data shares'!$C:$FA,96)</f>
        <v>206250</v>
      </c>
      <c r="M57" s="87">
        <f>VLOOKUP($A57,'Data shares'!$C:$FA,97)</f>
        <v>2.5499999999999998E-2</v>
      </c>
      <c r="N57" s="86">
        <f>VLOOKUP($A57,'Data shares'!$C:$FA,78)</f>
        <v>26820000</v>
      </c>
      <c r="O57" s="87">
        <f>VLOOKUP($A57,'Data shares'!$C:$FA,81)</f>
        <v>-1.34E-2</v>
      </c>
    </row>
    <row r="58" spans="1:15" x14ac:dyDescent="0.25">
      <c r="A58" s="100" t="str">
        <f>'OI(Value)'!A58</f>
        <v>DALBHARAT</v>
      </c>
      <c r="B58" s="82">
        <f>VLOOKUP(A58,'Data shares'!$C$2:$CV$216,98,0)</f>
        <v>3293225</v>
      </c>
      <c r="C58" s="82">
        <f>VLOOKUP(A58,'Data shares'!$C$2:$CX$216,100,0)</f>
        <v>84500</v>
      </c>
      <c r="D58" s="141">
        <f>VLOOKUP(A58,'Data shares'!$C$2:$CY$539,101,0)</f>
        <v>2.63E-2</v>
      </c>
      <c r="E58" s="86">
        <f>VLOOKUP($A58,'Data shares'!$C:$FA,74)</f>
        <v>2606500</v>
      </c>
      <c r="F58" s="86">
        <f>VLOOKUP($A58,'Data shares'!$C:$FA,76)</f>
        <v>62725</v>
      </c>
      <c r="G58" s="87">
        <f>VLOOKUP(A58,'Data shares'!$C$2:$CA$216,77,0)</f>
        <v>2.47E-2</v>
      </c>
      <c r="H58" s="86">
        <f>VLOOKUP($A58,'Data shares'!$C:$FA,90)</f>
        <v>420225</v>
      </c>
      <c r="I58" s="86">
        <f>VLOOKUP($A58,'Data shares'!$C:$FA,92)</f>
        <v>13975</v>
      </c>
      <c r="J58" s="87">
        <f>VLOOKUP($A58,'Data shares'!$C:$FA,93)</f>
        <v>3.44E-2</v>
      </c>
      <c r="K58" s="86">
        <f>VLOOKUP($A58,'Data shares'!$C:$FA,94)</f>
        <v>266500</v>
      </c>
      <c r="L58" s="86">
        <f>VLOOKUP($A58,'Data shares'!$C:$FA,96)</f>
        <v>7800</v>
      </c>
      <c r="M58" s="87">
        <f>VLOOKUP($A58,'Data shares'!$C:$FA,97)</f>
        <v>3.0200000000000001E-2</v>
      </c>
      <c r="N58" s="86">
        <f>VLOOKUP($A58,'Data shares'!$C:$FA,78)</f>
        <v>2569125</v>
      </c>
      <c r="O58" s="87">
        <f>VLOOKUP($A58,'Data shares'!$C:$FA,81)</f>
        <v>2.3300000000000001E-2</v>
      </c>
    </row>
    <row r="59" spans="1:15" x14ac:dyDescent="0.25">
      <c r="A59" s="100" t="str">
        <f>'OI(Value)'!A59</f>
        <v>DELHIVERY</v>
      </c>
      <c r="B59" s="82">
        <f>VLOOKUP(A59,'Data shares'!$C$2:$CV$216,98,0)</f>
        <v>31757875</v>
      </c>
      <c r="C59" s="82">
        <f>VLOOKUP(A59,'Data shares'!$C$2:$CX$216,100,0)</f>
        <v>1130875</v>
      </c>
      <c r="D59" s="141">
        <f>VLOOKUP(A59,'Data shares'!$C$2:$CY$539,101,0)</f>
        <v>3.6900000000000002E-2</v>
      </c>
      <c r="E59" s="86">
        <f>VLOOKUP($A59,'Data shares'!$C:$FA,74)</f>
        <v>18948900</v>
      </c>
      <c r="F59" s="86">
        <f>VLOOKUP($A59,'Data shares'!$C:$FA,76)</f>
        <v>425375</v>
      </c>
      <c r="G59" s="87">
        <f>VLOOKUP(A59,'Data shares'!$C$2:$CA$216,77,0)</f>
        <v>2.3E-2</v>
      </c>
      <c r="H59" s="86">
        <f>VLOOKUP($A59,'Data shares'!$C:$FA,90)</f>
        <v>7194025</v>
      </c>
      <c r="I59" s="86">
        <f>VLOOKUP($A59,'Data shares'!$C:$FA,92)</f>
        <v>585150</v>
      </c>
      <c r="J59" s="87">
        <f>VLOOKUP($A59,'Data shares'!$C:$FA,93)</f>
        <v>8.8499999999999995E-2</v>
      </c>
      <c r="K59" s="86">
        <f>VLOOKUP($A59,'Data shares'!$C:$FA,94)</f>
        <v>5614950</v>
      </c>
      <c r="L59" s="86">
        <f>VLOOKUP($A59,'Data shares'!$C:$FA,96)</f>
        <v>120350</v>
      </c>
      <c r="M59" s="87">
        <f>VLOOKUP($A59,'Data shares'!$C:$FA,97)</f>
        <v>2.1899999999999999E-2</v>
      </c>
      <c r="N59" s="86">
        <f>VLOOKUP($A59,'Data shares'!$C:$FA,78)</f>
        <v>18268300</v>
      </c>
      <c r="O59" s="87">
        <f>VLOOKUP($A59,'Data shares'!$C:$FA,81)</f>
        <v>1.35E-2</v>
      </c>
    </row>
    <row r="60" spans="1:15" x14ac:dyDescent="0.25">
      <c r="A60" s="100" t="str">
        <f>'OI(Value)'!A60</f>
        <v>DIVISLAB</v>
      </c>
      <c r="B60" s="82">
        <f>VLOOKUP(A60,'Data shares'!$C$2:$CV$216,98,0)</f>
        <v>6040600</v>
      </c>
      <c r="C60" s="82">
        <f>VLOOKUP(A60,'Data shares'!$C$2:$CX$216,100,0)</f>
        <v>1529900</v>
      </c>
      <c r="D60" s="141">
        <f>VLOOKUP(A60,'Data shares'!$C$2:$CY$539,101,0)</f>
        <v>0.3392</v>
      </c>
      <c r="E60" s="86">
        <f>VLOOKUP($A60,'Data shares'!$C:$FA,74)</f>
        <v>2750900</v>
      </c>
      <c r="F60" s="86">
        <f>VLOOKUP($A60,'Data shares'!$C:$FA,76)</f>
        <v>140000</v>
      </c>
      <c r="G60" s="87">
        <f>VLOOKUP(A60,'Data shares'!$C$2:$CA$216,77,0)</f>
        <v>5.3600000000000002E-2</v>
      </c>
      <c r="H60" s="86">
        <f>VLOOKUP($A60,'Data shares'!$C:$FA,90)</f>
        <v>1718200</v>
      </c>
      <c r="I60" s="86">
        <f>VLOOKUP($A60,'Data shares'!$C:$FA,92)</f>
        <v>696400</v>
      </c>
      <c r="J60" s="87">
        <f>VLOOKUP($A60,'Data shares'!$C:$FA,93)</f>
        <v>0.68149999999999999</v>
      </c>
      <c r="K60" s="86">
        <f>VLOOKUP($A60,'Data shares'!$C:$FA,94)</f>
        <v>1571500</v>
      </c>
      <c r="L60" s="86">
        <f>VLOOKUP($A60,'Data shares'!$C:$FA,96)</f>
        <v>693500</v>
      </c>
      <c r="M60" s="87">
        <f>VLOOKUP($A60,'Data shares'!$C:$FA,97)</f>
        <v>0.78990000000000005</v>
      </c>
      <c r="N60" s="86">
        <f>VLOOKUP($A60,'Data shares'!$C:$FA,78)</f>
        <v>2681800</v>
      </c>
      <c r="O60" s="87">
        <f>VLOOKUP($A60,'Data shares'!$C:$FA,81)</f>
        <v>5.2699999999999997E-2</v>
      </c>
    </row>
    <row r="61" spans="1:15" x14ac:dyDescent="0.25">
      <c r="A61" s="100" t="str">
        <f>'OI(Value)'!A61</f>
        <v>DIXON</v>
      </c>
      <c r="B61" s="82">
        <f>VLOOKUP(A61,'Data shares'!$C$2:$CV$216,98,0)</f>
        <v>3074600</v>
      </c>
      <c r="C61" s="82">
        <f>VLOOKUP(A61,'Data shares'!$C$2:$CX$216,100,0)</f>
        <v>-156250</v>
      </c>
      <c r="D61" s="141">
        <f>VLOOKUP(A61,'Data shares'!$C$2:$CY$539,101,0)</f>
        <v>-4.8399999999999999E-2</v>
      </c>
      <c r="E61" s="86">
        <f>VLOOKUP($A61,'Data shares'!$C:$FA,74)</f>
        <v>1509950</v>
      </c>
      <c r="F61" s="86">
        <f>VLOOKUP($A61,'Data shares'!$C:$FA,76)</f>
        <v>-89550</v>
      </c>
      <c r="G61" s="87">
        <f>VLOOKUP(A61,'Data shares'!$C$2:$CA$216,77,0)</f>
        <v>-5.6000000000000001E-2</v>
      </c>
      <c r="H61" s="86">
        <f>VLOOKUP($A61,'Data shares'!$C:$FA,90)</f>
        <v>797950</v>
      </c>
      <c r="I61" s="86">
        <f>VLOOKUP($A61,'Data shares'!$C:$FA,92)</f>
        <v>-99650</v>
      </c>
      <c r="J61" s="87">
        <f>VLOOKUP($A61,'Data shares'!$C:$FA,93)</f>
        <v>-0.111</v>
      </c>
      <c r="K61" s="86">
        <f>VLOOKUP($A61,'Data shares'!$C:$FA,94)</f>
        <v>766700</v>
      </c>
      <c r="L61" s="86">
        <f>VLOOKUP($A61,'Data shares'!$C:$FA,96)</f>
        <v>32950</v>
      </c>
      <c r="M61" s="87">
        <f>VLOOKUP($A61,'Data shares'!$C:$FA,97)</f>
        <v>4.4900000000000002E-2</v>
      </c>
      <c r="N61" s="86">
        <f>VLOOKUP($A61,'Data shares'!$C:$FA,78)</f>
        <v>1439600</v>
      </c>
      <c r="O61" s="87">
        <f>VLOOKUP($A61,'Data shares'!$C:$FA,81)</f>
        <v>-5.9200000000000003E-2</v>
      </c>
    </row>
    <row r="62" spans="1:15" x14ac:dyDescent="0.25">
      <c r="A62" s="100" t="str">
        <f>'OI(Value)'!A62</f>
        <v>DLF</v>
      </c>
      <c r="B62" s="82">
        <f>VLOOKUP(A62,'Data shares'!$C$2:$CV$216,98,0)</f>
        <v>68737350</v>
      </c>
      <c r="C62" s="82">
        <f>VLOOKUP(A62,'Data shares'!$C$2:$CX$216,100,0)</f>
        <v>-903375</v>
      </c>
      <c r="D62" s="141">
        <f>VLOOKUP(A62,'Data shares'!$C$2:$CY$539,101,0)</f>
        <v>-1.2999999999999999E-2</v>
      </c>
      <c r="E62" s="86">
        <f>VLOOKUP($A62,'Data shares'!$C:$FA,74)</f>
        <v>42036225</v>
      </c>
      <c r="F62" s="86">
        <f>VLOOKUP($A62,'Data shares'!$C:$FA,76)</f>
        <v>-862125</v>
      </c>
      <c r="G62" s="87">
        <f>VLOOKUP(A62,'Data shares'!$C$2:$CA$216,77,0)</f>
        <v>-2.01E-2</v>
      </c>
      <c r="H62" s="86">
        <f>VLOOKUP($A62,'Data shares'!$C:$FA,90)</f>
        <v>16212900</v>
      </c>
      <c r="I62" s="86">
        <f>VLOOKUP($A62,'Data shares'!$C:$FA,92)</f>
        <v>-89100</v>
      </c>
      <c r="J62" s="87">
        <f>VLOOKUP($A62,'Data shares'!$C:$FA,93)</f>
        <v>-5.4999999999999997E-3</v>
      </c>
      <c r="K62" s="86">
        <f>VLOOKUP($A62,'Data shares'!$C:$FA,94)</f>
        <v>10488225</v>
      </c>
      <c r="L62" s="86">
        <f>VLOOKUP($A62,'Data shares'!$C:$FA,96)</f>
        <v>47850</v>
      </c>
      <c r="M62" s="87">
        <f>VLOOKUP($A62,'Data shares'!$C:$FA,97)</f>
        <v>4.5999999999999999E-3</v>
      </c>
      <c r="N62" s="86">
        <f>VLOOKUP($A62,'Data shares'!$C:$FA,78)</f>
        <v>40655175</v>
      </c>
      <c r="O62" s="87">
        <f>VLOOKUP($A62,'Data shares'!$C:$FA,81)</f>
        <v>-1.89E-2</v>
      </c>
    </row>
    <row r="63" spans="1:15" x14ac:dyDescent="0.25">
      <c r="A63" s="100" t="str">
        <f>'OI(Value)'!A63</f>
        <v>DMART</v>
      </c>
      <c r="B63" s="82">
        <f>VLOOKUP(A63,'Data shares'!$C$2:$CV$216,98,0)</f>
        <v>10623600</v>
      </c>
      <c r="C63" s="82">
        <f>VLOOKUP(A63,'Data shares'!$C$2:$CX$216,100,0)</f>
        <v>1375950</v>
      </c>
      <c r="D63" s="141">
        <f>VLOOKUP(A63,'Data shares'!$C$2:$CY$539,101,0)</f>
        <v>0.14879999999999999</v>
      </c>
      <c r="E63" s="86">
        <f>VLOOKUP($A63,'Data shares'!$C:$FA,74)</f>
        <v>6201000</v>
      </c>
      <c r="F63" s="86">
        <f>VLOOKUP($A63,'Data shares'!$C:$FA,76)</f>
        <v>138600</v>
      </c>
      <c r="G63" s="87">
        <f>VLOOKUP(A63,'Data shares'!$C$2:$CA$216,77,0)</f>
        <v>2.29E-2</v>
      </c>
      <c r="H63" s="86">
        <f>VLOOKUP($A63,'Data shares'!$C:$FA,90)</f>
        <v>2814000</v>
      </c>
      <c r="I63" s="86">
        <f>VLOOKUP($A63,'Data shares'!$C:$FA,92)</f>
        <v>772200</v>
      </c>
      <c r="J63" s="87">
        <f>VLOOKUP($A63,'Data shares'!$C:$FA,93)</f>
        <v>0.37819999999999998</v>
      </c>
      <c r="K63" s="86">
        <f>VLOOKUP($A63,'Data shares'!$C:$FA,94)</f>
        <v>1608600</v>
      </c>
      <c r="L63" s="86">
        <f>VLOOKUP($A63,'Data shares'!$C:$FA,96)</f>
        <v>465150</v>
      </c>
      <c r="M63" s="87">
        <f>VLOOKUP($A63,'Data shares'!$C:$FA,97)</f>
        <v>0.40679999999999999</v>
      </c>
      <c r="N63" s="86">
        <f>VLOOKUP($A63,'Data shares'!$C:$FA,78)</f>
        <v>5959950</v>
      </c>
      <c r="O63" s="87">
        <f>VLOOKUP($A63,'Data shares'!$C:$FA,81)</f>
        <v>1.7299999999999999E-2</v>
      </c>
    </row>
    <row r="64" spans="1:15" x14ac:dyDescent="0.25">
      <c r="A64" s="100" t="str">
        <f>'OI(Value)'!A64</f>
        <v>DRREDDY</v>
      </c>
      <c r="B64" s="82">
        <f>VLOOKUP(A64,'Data shares'!$C$2:$CV$216,98,0)</f>
        <v>21013750</v>
      </c>
      <c r="C64" s="82">
        <f>VLOOKUP(A64,'Data shares'!$C$2:$CX$216,100,0)</f>
        <v>-100000</v>
      </c>
      <c r="D64" s="141">
        <f>VLOOKUP(A64,'Data shares'!$C$2:$CY$539,101,0)</f>
        <v>-4.7000000000000002E-3</v>
      </c>
      <c r="E64" s="86">
        <f>VLOOKUP($A64,'Data shares'!$C:$FA,74)</f>
        <v>12598750</v>
      </c>
      <c r="F64" s="86">
        <f>VLOOKUP($A64,'Data shares'!$C:$FA,76)</f>
        <v>118750</v>
      </c>
      <c r="G64" s="87">
        <f>VLOOKUP(A64,'Data shares'!$C$2:$CA$216,77,0)</f>
        <v>9.4999999999999998E-3</v>
      </c>
      <c r="H64" s="86">
        <f>VLOOKUP($A64,'Data shares'!$C:$FA,90)</f>
        <v>5405625</v>
      </c>
      <c r="I64" s="86">
        <f>VLOOKUP($A64,'Data shares'!$C:$FA,92)</f>
        <v>-165625</v>
      </c>
      <c r="J64" s="87">
        <f>VLOOKUP($A64,'Data shares'!$C:$FA,93)</f>
        <v>-2.9700000000000001E-2</v>
      </c>
      <c r="K64" s="86">
        <f>VLOOKUP($A64,'Data shares'!$C:$FA,94)</f>
        <v>3009375</v>
      </c>
      <c r="L64" s="86">
        <f>VLOOKUP($A64,'Data shares'!$C:$FA,96)</f>
        <v>-53125</v>
      </c>
      <c r="M64" s="87">
        <f>VLOOKUP($A64,'Data shares'!$C:$FA,97)</f>
        <v>-1.7299999999999999E-2</v>
      </c>
      <c r="N64" s="86">
        <f>VLOOKUP($A64,'Data shares'!$C:$FA,78)</f>
        <v>12370625</v>
      </c>
      <c r="O64" s="87">
        <f>VLOOKUP($A64,'Data shares'!$C:$FA,81)</f>
        <v>7.0000000000000001E-3</v>
      </c>
    </row>
    <row r="65" spans="1:15" x14ac:dyDescent="0.25">
      <c r="A65" s="100" t="str">
        <f>'OI(Value)'!A65</f>
        <v>EICHERMOT</v>
      </c>
      <c r="B65" s="82">
        <f>VLOOKUP(A65,'Data shares'!$C$2:$CV$216,98,0)</f>
        <v>6782125</v>
      </c>
      <c r="C65" s="82">
        <f>VLOOKUP(A65,'Data shares'!$C$2:$CX$216,100,0)</f>
        <v>37450</v>
      </c>
      <c r="D65" s="141">
        <f>VLOOKUP(A65,'Data shares'!$C$2:$CY$539,101,0)</f>
        <v>5.5999999999999999E-3</v>
      </c>
      <c r="E65" s="86">
        <f>VLOOKUP($A65,'Data shares'!$C:$FA,74)</f>
        <v>3494225</v>
      </c>
      <c r="F65" s="86">
        <f>VLOOKUP($A65,'Data shares'!$C:$FA,76)</f>
        <v>43750</v>
      </c>
      <c r="G65" s="87">
        <f>VLOOKUP(A65,'Data shares'!$C$2:$CA$216,77,0)</f>
        <v>1.2699999999999999E-2</v>
      </c>
      <c r="H65" s="86">
        <f>VLOOKUP($A65,'Data shares'!$C:$FA,90)</f>
        <v>1846600</v>
      </c>
      <c r="I65" s="86">
        <f>VLOOKUP($A65,'Data shares'!$C:$FA,92)</f>
        <v>-31150</v>
      </c>
      <c r="J65" s="87">
        <f>VLOOKUP($A65,'Data shares'!$C:$FA,93)</f>
        <v>-1.66E-2</v>
      </c>
      <c r="K65" s="86">
        <f>VLOOKUP($A65,'Data shares'!$C:$FA,94)</f>
        <v>1441300</v>
      </c>
      <c r="L65" s="86">
        <f>VLOOKUP($A65,'Data shares'!$C:$FA,96)</f>
        <v>24850</v>
      </c>
      <c r="M65" s="87">
        <f>VLOOKUP($A65,'Data shares'!$C:$FA,97)</f>
        <v>1.7500000000000002E-2</v>
      </c>
      <c r="N65" s="86">
        <f>VLOOKUP($A65,'Data shares'!$C:$FA,78)</f>
        <v>3409000</v>
      </c>
      <c r="O65" s="87">
        <f>VLOOKUP($A65,'Data shares'!$C:$FA,81)</f>
        <v>9.4000000000000004E-3</v>
      </c>
    </row>
    <row r="66" spans="1:15" x14ac:dyDescent="0.25">
      <c r="A66" s="100" t="str">
        <f>'OI(Value)'!A66</f>
        <v>ETERNAL</v>
      </c>
      <c r="B66" s="82">
        <f>VLOOKUP(A66,'Data shares'!$C$2:$CV$216,98,0)</f>
        <v>332465075</v>
      </c>
      <c r="C66" s="82">
        <f>VLOOKUP(A66,'Data shares'!$C$2:$CX$216,100,0)</f>
        <v>-1668400</v>
      </c>
      <c r="D66" s="141">
        <f>VLOOKUP(A66,'Data shares'!$C$2:$CY$539,101,0)</f>
        <v>-5.0000000000000001E-3</v>
      </c>
      <c r="E66" s="86">
        <f>VLOOKUP($A66,'Data shares'!$C:$FA,74)</f>
        <v>242257500</v>
      </c>
      <c r="F66" s="86">
        <f>VLOOKUP($A66,'Data shares'!$C:$FA,76)</f>
        <v>-1767825</v>
      </c>
      <c r="G66" s="87">
        <f>VLOOKUP(A66,'Data shares'!$C$2:$CA$216,77,0)</f>
        <v>-7.1999999999999998E-3</v>
      </c>
      <c r="H66" s="86">
        <f>VLOOKUP($A66,'Data shares'!$C:$FA,90)</f>
        <v>51938650</v>
      </c>
      <c r="I66" s="86">
        <f>VLOOKUP($A66,'Data shares'!$C:$FA,92)</f>
        <v>-1176125</v>
      </c>
      <c r="J66" s="87">
        <f>VLOOKUP($A66,'Data shares'!$C:$FA,93)</f>
        <v>-2.2100000000000002E-2</v>
      </c>
      <c r="K66" s="86">
        <f>VLOOKUP($A66,'Data shares'!$C:$FA,94)</f>
        <v>38268925</v>
      </c>
      <c r="L66" s="86">
        <f>VLOOKUP($A66,'Data shares'!$C:$FA,96)</f>
        <v>1275550</v>
      </c>
      <c r="M66" s="87">
        <f>VLOOKUP($A66,'Data shares'!$C:$FA,97)</f>
        <v>3.4500000000000003E-2</v>
      </c>
      <c r="N66" s="86">
        <f>VLOOKUP($A66,'Data shares'!$C:$FA,78)</f>
        <v>238811575</v>
      </c>
      <c r="O66" s="87">
        <f>VLOOKUP($A66,'Data shares'!$C:$FA,81)</f>
        <v>-8.9999999999999993E-3</v>
      </c>
    </row>
    <row r="67" spans="1:15" x14ac:dyDescent="0.25">
      <c r="A67" s="100" t="str">
        <f>'OI(Value)'!A67</f>
        <v>EXIDEIND</v>
      </c>
      <c r="B67" s="82">
        <f>VLOOKUP(A67,'Data shares'!$C$2:$CV$216,98,0)</f>
        <v>49721400</v>
      </c>
      <c r="C67" s="82">
        <f>VLOOKUP(A67,'Data shares'!$C$2:$CX$216,100,0)</f>
        <v>1164600</v>
      </c>
      <c r="D67" s="141">
        <f>VLOOKUP(A67,'Data shares'!$C$2:$CY$539,101,0)</f>
        <v>2.4E-2</v>
      </c>
      <c r="E67" s="86">
        <f>VLOOKUP($A67,'Data shares'!$C:$FA,74)</f>
        <v>29761200</v>
      </c>
      <c r="F67" s="86">
        <f>VLOOKUP($A67,'Data shares'!$C:$FA,76)</f>
        <v>-133200</v>
      </c>
      <c r="G67" s="87">
        <f>VLOOKUP(A67,'Data shares'!$C$2:$CA$216,77,0)</f>
        <v>-4.4999999999999997E-3</v>
      </c>
      <c r="H67" s="86">
        <f>VLOOKUP($A67,'Data shares'!$C:$FA,90)</f>
        <v>10866600</v>
      </c>
      <c r="I67" s="86">
        <f>VLOOKUP($A67,'Data shares'!$C:$FA,92)</f>
        <v>291600</v>
      </c>
      <c r="J67" s="87">
        <f>VLOOKUP($A67,'Data shares'!$C:$FA,93)</f>
        <v>2.76E-2</v>
      </c>
      <c r="K67" s="86">
        <f>VLOOKUP($A67,'Data shares'!$C:$FA,94)</f>
        <v>9093600</v>
      </c>
      <c r="L67" s="86">
        <f>VLOOKUP($A67,'Data shares'!$C:$FA,96)</f>
        <v>1006200</v>
      </c>
      <c r="M67" s="87">
        <f>VLOOKUP($A67,'Data shares'!$C:$FA,97)</f>
        <v>0.1244</v>
      </c>
      <c r="N67" s="86">
        <f>VLOOKUP($A67,'Data shares'!$C:$FA,78)</f>
        <v>28459800</v>
      </c>
      <c r="O67" s="87">
        <f>VLOOKUP($A67,'Data shares'!$C:$FA,81)</f>
        <v>-5.4999999999999997E-3</v>
      </c>
    </row>
    <row r="68" spans="1:15" x14ac:dyDescent="0.25">
      <c r="A68" s="100" t="str">
        <f>'OI(Value)'!A68</f>
        <v>FEDERALBNK</v>
      </c>
      <c r="B68" s="82">
        <f>VLOOKUP(A68,'Data shares'!$C$2:$CV$216,98,0)</f>
        <v>171670000</v>
      </c>
      <c r="C68" s="82">
        <f>VLOOKUP(A68,'Data shares'!$C$2:$CX$216,100,0)</f>
        <v>2565000</v>
      </c>
      <c r="D68" s="141">
        <f>VLOOKUP(A68,'Data shares'!$C$2:$CY$539,101,0)</f>
        <v>1.52E-2</v>
      </c>
      <c r="E68" s="86">
        <f>VLOOKUP($A68,'Data shares'!$C:$FA,74)</f>
        <v>89155000</v>
      </c>
      <c r="F68" s="86">
        <f>VLOOKUP($A68,'Data shares'!$C:$FA,76)</f>
        <v>2250000</v>
      </c>
      <c r="G68" s="87">
        <f>VLOOKUP(A68,'Data shares'!$C$2:$CA$216,77,0)</f>
        <v>2.5899999999999999E-2</v>
      </c>
      <c r="H68" s="86">
        <f>VLOOKUP($A68,'Data shares'!$C:$FA,90)</f>
        <v>45125000</v>
      </c>
      <c r="I68" s="86">
        <f>VLOOKUP($A68,'Data shares'!$C:$FA,92)</f>
        <v>-180000</v>
      </c>
      <c r="J68" s="87">
        <f>VLOOKUP($A68,'Data shares'!$C:$FA,93)</f>
        <v>-4.0000000000000001E-3</v>
      </c>
      <c r="K68" s="86">
        <f>VLOOKUP($A68,'Data shares'!$C:$FA,94)</f>
        <v>37390000</v>
      </c>
      <c r="L68" s="86">
        <f>VLOOKUP($A68,'Data shares'!$C:$FA,96)</f>
        <v>495000</v>
      </c>
      <c r="M68" s="87">
        <f>VLOOKUP($A68,'Data shares'!$C:$FA,97)</f>
        <v>1.34E-2</v>
      </c>
      <c r="N68" s="86">
        <f>VLOOKUP($A68,'Data shares'!$C:$FA,78)</f>
        <v>85605000</v>
      </c>
      <c r="O68" s="87">
        <f>VLOOKUP($A68,'Data shares'!$C:$FA,81)</f>
        <v>2.1000000000000001E-2</v>
      </c>
    </row>
    <row r="69" spans="1:15" x14ac:dyDescent="0.25">
      <c r="A69" s="100" t="str">
        <f>'OI(Value)'!A69</f>
        <v>FINNIFTY</v>
      </c>
      <c r="B69" s="82">
        <f>VLOOKUP(A69,'Data shares'!$C$2:$CV$216,98,0)</f>
        <v>1964040</v>
      </c>
      <c r="C69" s="82">
        <f>VLOOKUP(A69,'Data shares'!$C$2:$CX$216,100,0)</f>
        <v>120250</v>
      </c>
      <c r="D69" s="141">
        <f>VLOOKUP(A69,'Data shares'!$C$2:$CY$539,101,0)</f>
        <v>6.5199999999999994E-2</v>
      </c>
      <c r="E69" s="86">
        <f>VLOOKUP($A69,'Data shares'!$C:$FA,74)</f>
        <v>34645</v>
      </c>
      <c r="F69" s="86">
        <f>VLOOKUP($A69,'Data shares'!$C:$FA,76)</f>
        <v>-975</v>
      </c>
      <c r="G69" s="87">
        <f>VLOOKUP(A69,'Data shares'!$C$2:$CA$216,77,0)</f>
        <v>-2.7400000000000001E-2</v>
      </c>
      <c r="H69" s="86">
        <f>VLOOKUP($A69,'Data shares'!$C:$FA,90)</f>
        <v>1154790</v>
      </c>
      <c r="I69" s="86">
        <f>VLOOKUP($A69,'Data shares'!$C:$FA,92)</f>
        <v>22490</v>
      </c>
      <c r="J69" s="87">
        <f>VLOOKUP($A69,'Data shares'!$C:$FA,93)</f>
        <v>1.9900000000000001E-2</v>
      </c>
      <c r="K69" s="86">
        <f>VLOOKUP($A69,'Data shares'!$C:$FA,94)</f>
        <v>774605</v>
      </c>
      <c r="L69" s="86">
        <f>VLOOKUP($A69,'Data shares'!$C:$FA,96)</f>
        <v>98735</v>
      </c>
      <c r="M69" s="87">
        <f>VLOOKUP($A69,'Data shares'!$C:$FA,97)</f>
        <v>0.14610000000000001</v>
      </c>
      <c r="N69" s="86">
        <f>VLOOKUP($A69,'Data shares'!$C:$FA,78)</f>
        <v>33085</v>
      </c>
      <c r="O69" s="87">
        <f>VLOOKUP($A69,'Data shares'!$C:$FA,81)</f>
        <v>-3.2300000000000002E-2</v>
      </c>
    </row>
    <row r="70" spans="1:15" x14ac:dyDescent="0.25">
      <c r="A70" s="100" t="str">
        <f>'OI(Value)'!A70</f>
        <v>FORTIS</v>
      </c>
      <c r="B70" s="82">
        <f>VLOOKUP(A70,'Data shares'!$C$2:$CV$216,98,0)</f>
        <v>15168300</v>
      </c>
      <c r="C70" s="82">
        <f>VLOOKUP(A70,'Data shares'!$C$2:$CX$216,100,0)</f>
        <v>-189100</v>
      </c>
      <c r="D70" s="141">
        <f>VLOOKUP(A70,'Data shares'!$C$2:$CY$539,101,0)</f>
        <v>-1.23E-2</v>
      </c>
      <c r="E70" s="86">
        <f>VLOOKUP($A70,'Data shares'!$C:$FA,74)</f>
        <v>8906300</v>
      </c>
      <c r="F70" s="86">
        <f>VLOOKUP($A70,'Data shares'!$C:$FA,76)</f>
        <v>108500</v>
      </c>
      <c r="G70" s="87">
        <f>VLOOKUP(A70,'Data shares'!$C$2:$CA$216,77,0)</f>
        <v>1.23E-2</v>
      </c>
      <c r="H70" s="86">
        <f>VLOOKUP($A70,'Data shares'!$C:$FA,90)</f>
        <v>3379775</v>
      </c>
      <c r="I70" s="86">
        <f>VLOOKUP($A70,'Data shares'!$C:$FA,92)</f>
        <v>-164300</v>
      </c>
      <c r="J70" s="87">
        <f>VLOOKUP($A70,'Data shares'!$C:$FA,93)</f>
        <v>-4.6399999999999997E-2</v>
      </c>
      <c r="K70" s="86">
        <f>VLOOKUP($A70,'Data shares'!$C:$FA,94)</f>
        <v>2882225</v>
      </c>
      <c r="L70" s="86">
        <f>VLOOKUP($A70,'Data shares'!$C:$FA,96)</f>
        <v>-133300</v>
      </c>
      <c r="M70" s="87">
        <f>VLOOKUP($A70,'Data shares'!$C:$FA,97)</f>
        <v>-4.4200000000000003E-2</v>
      </c>
      <c r="N70" s="86">
        <f>VLOOKUP($A70,'Data shares'!$C:$FA,78)</f>
        <v>8539725</v>
      </c>
      <c r="O70" s="87">
        <f>VLOOKUP($A70,'Data shares'!$C:$FA,81)</f>
        <v>1.0699999999999999E-2</v>
      </c>
    </row>
    <row r="71" spans="1:15" x14ac:dyDescent="0.25">
      <c r="A71" s="100" t="str">
        <f>'OI(Value)'!A71</f>
        <v>GAIL</v>
      </c>
      <c r="B71" s="82">
        <f>VLOOKUP(A71,'Data shares'!$C$2:$CV$216,98,0)</f>
        <v>163595250</v>
      </c>
      <c r="C71" s="82">
        <f>VLOOKUP(A71,'Data shares'!$C$2:$CX$216,100,0)</f>
        <v>-3247650</v>
      </c>
      <c r="D71" s="141">
        <f>VLOOKUP(A71,'Data shares'!$C$2:$CY$539,101,0)</f>
        <v>-1.95E-2</v>
      </c>
      <c r="E71" s="86">
        <f>VLOOKUP($A71,'Data shares'!$C:$FA,74)</f>
        <v>99253350</v>
      </c>
      <c r="F71" s="86">
        <f>VLOOKUP($A71,'Data shares'!$C:$FA,76)</f>
        <v>-2623950</v>
      </c>
      <c r="G71" s="87">
        <f>VLOOKUP(A71,'Data shares'!$C$2:$CA$216,77,0)</f>
        <v>-2.58E-2</v>
      </c>
      <c r="H71" s="86">
        <f>VLOOKUP($A71,'Data shares'!$C:$FA,90)</f>
        <v>38634750</v>
      </c>
      <c r="I71" s="86">
        <f>VLOOKUP($A71,'Data shares'!$C:$FA,92)</f>
        <v>-689850</v>
      </c>
      <c r="J71" s="87">
        <f>VLOOKUP($A71,'Data shares'!$C:$FA,93)</f>
        <v>-1.7500000000000002E-2</v>
      </c>
      <c r="K71" s="86">
        <f>VLOOKUP($A71,'Data shares'!$C:$FA,94)</f>
        <v>25707150</v>
      </c>
      <c r="L71" s="86">
        <f>VLOOKUP($A71,'Data shares'!$C:$FA,96)</f>
        <v>66150</v>
      </c>
      <c r="M71" s="87">
        <f>VLOOKUP($A71,'Data shares'!$C:$FA,97)</f>
        <v>2.5999999999999999E-3</v>
      </c>
      <c r="N71" s="86">
        <f>VLOOKUP($A71,'Data shares'!$C:$FA,78)</f>
        <v>94925250</v>
      </c>
      <c r="O71" s="87">
        <f>VLOOKUP($A71,'Data shares'!$C:$FA,81)</f>
        <v>-3.4099999999999998E-2</v>
      </c>
    </row>
    <row r="72" spans="1:15" x14ac:dyDescent="0.25">
      <c r="A72" s="100" t="str">
        <f>'OI(Value)'!A72</f>
        <v>GLENMARK</v>
      </c>
      <c r="B72" s="82">
        <f>VLOOKUP(A72,'Data shares'!$C$2:$CV$216,98,0)</f>
        <v>10501125</v>
      </c>
      <c r="C72" s="82">
        <f>VLOOKUP(A72,'Data shares'!$C$2:$CX$216,100,0)</f>
        <v>228375</v>
      </c>
      <c r="D72" s="141">
        <f>VLOOKUP(A72,'Data shares'!$C$2:$CY$539,101,0)</f>
        <v>2.2200000000000001E-2</v>
      </c>
      <c r="E72" s="86">
        <f>VLOOKUP($A72,'Data shares'!$C:$FA,74)</f>
        <v>7653000</v>
      </c>
      <c r="F72" s="86">
        <f>VLOOKUP($A72,'Data shares'!$C:$FA,76)</f>
        <v>106500</v>
      </c>
      <c r="G72" s="87">
        <f>VLOOKUP(A72,'Data shares'!$C$2:$CA$216,77,0)</f>
        <v>1.41E-2</v>
      </c>
      <c r="H72" s="86">
        <f>VLOOKUP($A72,'Data shares'!$C:$FA,90)</f>
        <v>1767000</v>
      </c>
      <c r="I72" s="86">
        <f>VLOOKUP($A72,'Data shares'!$C:$FA,92)</f>
        <v>84375</v>
      </c>
      <c r="J72" s="87">
        <f>VLOOKUP($A72,'Data shares'!$C:$FA,93)</f>
        <v>5.0099999999999999E-2</v>
      </c>
      <c r="K72" s="86">
        <f>VLOOKUP($A72,'Data shares'!$C:$FA,94)</f>
        <v>1081125</v>
      </c>
      <c r="L72" s="86">
        <f>VLOOKUP($A72,'Data shares'!$C:$FA,96)</f>
        <v>37500</v>
      </c>
      <c r="M72" s="87">
        <f>VLOOKUP($A72,'Data shares'!$C:$FA,97)</f>
        <v>3.5900000000000001E-2</v>
      </c>
      <c r="N72" s="86">
        <f>VLOOKUP($A72,'Data shares'!$C:$FA,78)</f>
        <v>7547250</v>
      </c>
      <c r="O72" s="87">
        <f>VLOOKUP($A72,'Data shares'!$C:$FA,81)</f>
        <v>1.2500000000000001E-2</v>
      </c>
    </row>
    <row r="73" spans="1:15" x14ac:dyDescent="0.25">
      <c r="A73" s="100" t="str">
        <f>'OI(Value)'!A73</f>
        <v>GMRAIRPORT</v>
      </c>
      <c r="B73" s="82">
        <f>VLOOKUP(A73,'Data shares'!$C$2:$CV$216,98,0)</f>
        <v>329052600</v>
      </c>
      <c r="C73" s="82">
        <f>VLOOKUP(A73,'Data shares'!$C$2:$CX$216,100,0)</f>
        <v>788175</v>
      </c>
      <c r="D73" s="141">
        <f>VLOOKUP(A73,'Data shares'!$C$2:$CY$539,101,0)</f>
        <v>2.3999999999999998E-3</v>
      </c>
      <c r="E73" s="86">
        <f>VLOOKUP($A73,'Data shares'!$C:$FA,74)</f>
        <v>221798025</v>
      </c>
      <c r="F73" s="86">
        <f>VLOOKUP($A73,'Data shares'!$C:$FA,76)</f>
        <v>1541475</v>
      </c>
      <c r="G73" s="87">
        <f>VLOOKUP(A73,'Data shares'!$C$2:$CA$216,77,0)</f>
        <v>7.0000000000000001E-3</v>
      </c>
      <c r="H73" s="86">
        <f>VLOOKUP($A73,'Data shares'!$C:$FA,90)</f>
        <v>71249625</v>
      </c>
      <c r="I73" s="86">
        <f>VLOOKUP($A73,'Data shares'!$C:$FA,92)</f>
        <v>-474300</v>
      </c>
      <c r="J73" s="87">
        <f>VLOOKUP($A73,'Data shares'!$C:$FA,93)</f>
        <v>-6.6E-3</v>
      </c>
      <c r="K73" s="86">
        <f>VLOOKUP($A73,'Data shares'!$C:$FA,94)</f>
        <v>36004950</v>
      </c>
      <c r="L73" s="86">
        <f>VLOOKUP($A73,'Data shares'!$C:$FA,96)</f>
        <v>-279000</v>
      </c>
      <c r="M73" s="87">
        <f>VLOOKUP($A73,'Data shares'!$C:$FA,97)</f>
        <v>-7.7000000000000002E-3</v>
      </c>
      <c r="N73" s="86">
        <f>VLOOKUP($A73,'Data shares'!$C:$FA,78)</f>
        <v>207408600</v>
      </c>
      <c r="O73" s="87">
        <f>VLOOKUP($A73,'Data shares'!$C:$FA,81)</f>
        <v>-3.3E-3</v>
      </c>
    </row>
    <row r="74" spans="1:15" x14ac:dyDescent="0.25">
      <c r="A74" s="100" t="str">
        <f>'OI(Value)'!A74</f>
        <v>GODREJCP</v>
      </c>
      <c r="B74" s="82">
        <f>VLOOKUP(A74,'Data shares'!$C$2:$CV$216,98,0)</f>
        <v>17488000</v>
      </c>
      <c r="C74" s="82">
        <f>VLOOKUP(A74,'Data shares'!$C$2:$CX$216,100,0)</f>
        <v>483500</v>
      </c>
      <c r="D74" s="141">
        <f>VLOOKUP(A74,'Data shares'!$C$2:$CY$539,101,0)</f>
        <v>2.8400000000000002E-2</v>
      </c>
      <c r="E74" s="86">
        <f>VLOOKUP($A74,'Data shares'!$C:$FA,74)</f>
        <v>11702500</v>
      </c>
      <c r="F74" s="86">
        <f>VLOOKUP($A74,'Data shares'!$C:$FA,76)</f>
        <v>153000</v>
      </c>
      <c r="G74" s="87">
        <f>VLOOKUP(A74,'Data shares'!$C$2:$CA$216,77,0)</f>
        <v>1.32E-2</v>
      </c>
      <c r="H74" s="86">
        <f>VLOOKUP($A74,'Data shares'!$C:$FA,90)</f>
        <v>3821500</v>
      </c>
      <c r="I74" s="86">
        <f>VLOOKUP($A74,'Data shares'!$C:$FA,92)</f>
        <v>301500</v>
      </c>
      <c r="J74" s="87">
        <f>VLOOKUP($A74,'Data shares'!$C:$FA,93)</f>
        <v>8.5699999999999998E-2</v>
      </c>
      <c r="K74" s="86">
        <f>VLOOKUP($A74,'Data shares'!$C:$FA,94)</f>
        <v>1964000</v>
      </c>
      <c r="L74" s="86">
        <f>VLOOKUP($A74,'Data shares'!$C:$FA,96)</f>
        <v>29000</v>
      </c>
      <c r="M74" s="87">
        <f>VLOOKUP($A74,'Data shares'!$C:$FA,97)</f>
        <v>1.4999999999999999E-2</v>
      </c>
      <c r="N74" s="86">
        <f>VLOOKUP($A74,'Data shares'!$C:$FA,78)</f>
        <v>11245500</v>
      </c>
      <c r="O74" s="87">
        <f>VLOOKUP($A74,'Data shares'!$C:$FA,81)</f>
        <v>5.1999999999999998E-3</v>
      </c>
    </row>
    <row r="75" spans="1:15" x14ac:dyDescent="0.25">
      <c r="A75" s="100" t="str">
        <f>'OI(Value)'!A75</f>
        <v>GODREJPROP</v>
      </c>
      <c r="B75" s="82">
        <f>VLOOKUP(A75,'Data shares'!$C$2:$CV$216,98,0)</f>
        <v>14331350</v>
      </c>
      <c r="C75" s="82">
        <f>VLOOKUP(A75,'Data shares'!$C$2:$CX$216,100,0)</f>
        <v>-205425</v>
      </c>
      <c r="D75" s="141">
        <f>VLOOKUP(A75,'Data shares'!$C$2:$CY$539,101,0)</f>
        <v>-1.41E-2</v>
      </c>
      <c r="E75" s="86">
        <f>VLOOKUP($A75,'Data shares'!$C:$FA,74)</f>
        <v>9777900</v>
      </c>
      <c r="F75" s="86">
        <f>VLOOKUP($A75,'Data shares'!$C:$FA,76)</f>
        <v>-235400</v>
      </c>
      <c r="G75" s="87">
        <f>VLOOKUP(A75,'Data shares'!$C$2:$CA$216,77,0)</f>
        <v>-2.35E-2</v>
      </c>
      <c r="H75" s="86">
        <f>VLOOKUP($A75,'Data shares'!$C:$FA,90)</f>
        <v>2746150</v>
      </c>
      <c r="I75" s="86">
        <f>VLOOKUP($A75,'Data shares'!$C:$FA,92)</f>
        <v>-51975</v>
      </c>
      <c r="J75" s="87">
        <f>VLOOKUP($A75,'Data shares'!$C:$FA,93)</f>
        <v>-1.8599999999999998E-2</v>
      </c>
      <c r="K75" s="86">
        <f>VLOOKUP($A75,'Data shares'!$C:$FA,94)</f>
        <v>1807300</v>
      </c>
      <c r="L75" s="86">
        <f>VLOOKUP($A75,'Data shares'!$C:$FA,96)</f>
        <v>81950</v>
      </c>
      <c r="M75" s="87">
        <f>VLOOKUP($A75,'Data shares'!$C:$FA,97)</f>
        <v>4.7500000000000001E-2</v>
      </c>
      <c r="N75" s="86">
        <f>VLOOKUP($A75,'Data shares'!$C:$FA,78)</f>
        <v>9541675</v>
      </c>
      <c r="O75" s="87">
        <f>VLOOKUP($A75,'Data shares'!$C:$FA,81)</f>
        <v>-2.2800000000000001E-2</v>
      </c>
    </row>
    <row r="76" spans="1:15" x14ac:dyDescent="0.25">
      <c r="A76" s="100" t="str">
        <f>'OI(Value)'!A76</f>
        <v>GRASIM</v>
      </c>
      <c r="B76" s="82">
        <f>VLOOKUP(A76,'Data shares'!$C$2:$CV$216,98,0)</f>
        <v>17165000</v>
      </c>
      <c r="C76" s="82">
        <f>VLOOKUP(A76,'Data shares'!$C$2:$CX$216,100,0)</f>
        <v>117250</v>
      </c>
      <c r="D76" s="141">
        <f>VLOOKUP(A76,'Data shares'!$C$2:$CY$539,101,0)</f>
        <v>6.8999999999999999E-3</v>
      </c>
      <c r="E76" s="86">
        <f>VLOOKUP($A76,'Data shares'!$C:$FA,74)</f>
        <v>14454250</v>
      </c>
      <c r="F76" s="86">
        <f>VLOOKUP($A76,'Data shares'!$C:$FA,76)</f>
        <v>157250</v>
      </c>
      <c r="G76" s="87">
        <f>VLOOKUP(A76,'Data shares'!$C$2:$CA$216,77,0)</f>
        <v>1.0999999999999999E-2</v>
      </c>
      <c r="H76" s="86">
        <f>VLOOKUP($A76,'Data shares'!$C:$FA,90)</f>
        <v>1699250</v>
      </c>
      <c r="I76" s="86">
        <f>VLOOKUP($A76,'Data shares'!$C:$FA,92)</f>
        <v>-31000</v>
      </c>
      <c r="J76" s="87">
        <f>VLOOKUP($A76,'Data shares'!$C:$FA,93)</f>
        <v>-1.7899999999999999E-2</v>
      </c>
      <c r="K76" s="86">
        <f>VLOOKUP($A76,'Data shares'!$C:$FA,94)</f>
        <v>1011500</v>
      </c>
      <c r="L76" s="86">
        <f>VLOOKUP($A76,'Data shares'!$C:$FA,96)</f>
        <v>-9000</v>
      </c>
      <c r="M76" s="87">
        <f>VLOOKUP($A76,'Data shares'!$C:$FA,97)</f>
        <v>-8.8000000000000005E-3</v>
      </c>
      <c r="N76" s="86">
        <f>VLOOKUP($A76,'Data shares'!$C:$FA,78)</f>
        <v>14371500</v>
      </c>
      <c r="O76" s="87">
        <f>VLOOKUP($A76,'Data shares'!$C:$FA,81)</f>
        <v>9.1000000000000004E-3</v>
      </c>
    </row>
    <row r="77" spans="1:15" x14ac:dyDescent="0.25">
      <c r="A77" s="100" t="str">
        <f>'OI(Value)'!A77</f>
        <v>HAL</v>
      </c>
      <c r="B77" s="82">
        <f>VLOOKUP(A77,'Data shares'!$C$2:$CV$216,98,0)</f>
        <v>15838950</v>
      </c>
      <c r="C77" s="82">
        <f>VLOOKUP(A77,'Data shares'!$C$2:$CX$216,100,0)</f>
        <v>400500</v>
      </c>
      <c r="D77" s="141">
        <f>VLOOKUP(A77,'Data shares'!$C$2:$CY$539,101,0)</f>
        <v>2.5899999999999999E-2</v>
      </c>
      <c r="E77" s="86">
        <f>VLOOKUP($A77,'Data shares'!$C:$FA,74)</f>
        <v>9054600</v>
      </c>
      <c r="F77" s="86">
        <f>VLOOKUP($A77,'Data shares'!$C:$FA,76)</f>
        <v>86100</v>
      </c>
      <c r="G77" s="87">
        <f>VLOOKUP(A77,'Data shares'!$C$2:$CA$216,77,0)</f>
        <v>9.5999999999999992E-3</v>
      </c>
      <c r="H77" s="86">
        <f>VLOOKUP($A77,'Data shares'!$C:$FA,90)</f>
        <v>4205850</v>
      </c>
      <c r="I77" s="86">
        <f>VLOOKUP($A77,'Data shares'!$C:$FA,92)</f>
        <v>327150</v>
      </c>
      <c r="J77" s="87">
        <f>VLOOKUP($A77,'Data shares'!$C:$FA,93)</f>
        <v>8.43E-2</v>
      </c>
      <c r="K77" s="86">
        <f>VLOOKUP($A77,'Data shares'!$C:$FA,94)</f>
        <v>2578500</v>
      </c>
      <c r="L77" s="86">
        <f>VLOOKUP($A77,'Data shares'!$C:$FA,96)</f>
        <v>-12750</v>
      </c>
      <c r="M77" s="87">
        <f>VLOOKUP($A77,'Data shares'!$C:$FA,97)</f>
        <v>-4.8999999999999998E-3</v>
      </c>
      <c r="N77" s="86">
        <f>VLOOKUP($A77,'Data shares'!$C:$FA,78)</f>
        <v>8538450</v>
      </c>
      <c r="O77" s="87">
        <f>VLOOKUP($A77,'Data shares'!$C:$FA,81)</f>
        <v>9.7999999999999997E-3</v>
      </c>
    </row>
    <row r="78" spans="1:15" x14ac:dyDescent="0.25">
      <c r="A78" s="100" t="str">
        <f>'OI(Value)'!A78</f>
        <v>HAVELLS</v>
      </c>
      <c r="B78" s="82">
        <f>VLOOKUP(A78,'Data shares'!$C$2:$CV$216,98,0)</f>
        <v>14679500</v>
      </c>
      <c r="C78" s="82">
        <f>VLOOKUP(A78,'Data shares'!$C$2:$CX$216,100,0)</f>
        <v>-201000</v>
      </c>
      <c r="D78" s="141">
        <f>VLOOKUP(A78,'Data shares'!$C$2:$CY$539,101,0)</f>
        <v>-1.35E-2</v>
      </c>
      <c r="E78" s="86">
        <f>VLOOKUP($A78,'Data shares'!$C:$FA,74)</f>
        <v>10504500</v>
      </c>
      <c r="F78" s="86">
        <f>VLOOKUP($A78,'Data shares'!$C:$FA,76)</f>
        <v>-31500</v>
      </c>
      <c r="G78" s="87">
        <f>VLOOKUP(A78,'Data shares'!$C$2:$CA$216,77,0)</f>
        <v>-3.0000000000000001E-3</v>
      </c>
      <c r="H78" s="86">
        <f>VLOOKUP($A78,'Data shares'!$C:$FA,90)</f>
        <v>2586000</v>
      </c>
      <c r="I78" s="86">
        <f>VLOOKUP($A78,'Data shares'!$C:$FA,92)</f>
        <v>-179000</v>
      </c>
      <c r="J78" s="87">
        <f>VLOOKUP($A78,'Data shares'!$C:$FA,93)</f>
        <v>-6.4699999999999994E-2</v>
      </c>
      <c r="K78" s="86">
        <f>VLOOKUP($A78,'Data shares'!$C:$FA,94)</f>
        <v>1589000</v>
      </c>
      <c r="L78" s="86">
        <f>VLOOKUP($A78,'Data shares'!$C:$FA,96)</f>
        <v>9500</v>
      </c>
      <c r="M78" s="87">
        <f>VLOOKUP($A78,'Data shares'!$C:$FA,97)</f>
        <v>6.0000000000000001E-3</v>
      </c>
      <c r="N78" s="86">
        <f>VLOOKUP($A78,'Data shares'!$C:$FA,78)</f>
        <v>10251500</v>
      </c>
      <c r="O78" s="87">
        <f>VLOOKUP($A78,'Data shares'!$C:$FA,81)</f>
        <v>-4.4000000000000003E-3</v>
      </c>
    </row>
    <row r="79" spans="1:15" x14ac:dyDescent="0.25">
      <c r="A79" s="100" t="str">
        <f>'OI(Value)'!A79</f>
        <v>HCLTECH</v>
      </c>
      <c r="B79" s="82">
        <f>VLOOKUP(A79,'Data shares'!$C$2:$CV$216,98,0)</f>
        <v>31489850</v>
      </c>
      <c r="C79" s="82">
        <f>VLOOKUP(A79,'Data shares'!$C$2:$CX$216,100,0)</f>
        <v>245350</v>
      </c>
      <c r="D79" s="141">
        <f>VLOOKUP(A79,'Data shares'!$C$2:$CY$539,101,0)</f>
        <v>7.9000000000000008E-3</v>
      </c>
      <c r="E79" s="86">
        <f>VLOOKUP($A79,'Data shares'!$C:$FA,74)</f>
        <v>20146000</v>
      </c>
      <c r="F79" s="86">
        <f>VLOOKUP($A79,'Data shares'!$C:$FA,76)</f>
        <v>-877800</v>
      </c>
      <c r="G79" s="87">
        <f>VLOOKUP(A79,'Data shares'!$C$2:$CA$216,77,0)</f>
        <v>-4.1799999999999997E-2</v>
      </c>
      <c r="H79" s="86">
        <f>VLOOKUP($A79,'Data shares'!$C:$FA,90)</f>
        <v>6230350</v>
      </c>
      <c r="I79" s="86">
        <f>VLOOKUP($A79,'Data shares'!$C:$FA,92)</f>
        <v>642600</v>
      </c>
      <c r="J79" s="87">
        <f>VLOOKUP($A79,'Data shares'!$C:$FA,93)</f>
        <v>0.115</v>
      </c>
      <c r="K79" s="86">
        <f>VLOOKUP($A79,'Data shares'!$C:$FA,94)</f>
        <v>5113500</v>
      </c>
      <c r="L79" s="86">
        <f>VLOOKUP($A79,'Data shares'!$C:$FA,96)</f>
        <v>480550</v>
      </c>
      <c r="M79" s="87">
        <f>VLOOKUP($A79,'Data shares'!$C:$FA,97)</f>
        <v>0.1037</v>
      </c>
      <c r="N79" s="86">
        <f>VLOOKUP($A79,'Data shares'!$C:$FA,78)</f>
        <v>19590550</v>
      </c>
      <c r="O79" s="87">
        <f>VLOOKUP($A79,'Data shares'!$C:$FA,81)</f>
        <v>-4.5600000000000002E-2</v>
      </c>
    </row>
    <row r="80" spans="1:15" x14ac:dyDescent="0.25">
      <c r="A80" s="100" t="str">
        <f>'OI(Value)'!A80</f>
        <v>HDFCAMC</v>
      </c>
      <c r="B80" s="82">
        <f>VLOOKUP(A80,'Data shares'!$C$2:$CV$216,98,0)</f>
        <v>3579900</v>
      </c>
      <c r="C80" s="82">
        <f>VLOOKUP(A80,'Data shares'!$C$2:$CX$216,100,0)</f>
        <v>47700</v>
      </c>
      <c r="D80" s="141">
        <f>VLOOKUP(A80,'Data shares'!$C$2:$CY$539,101,0)</f>
        <v>1.35E-2</v>
      </c>
      <c r="E80" s="86">
        <f>VLOOKUP($A80,'Data shares'!$C:$FA,74)</f>
        <v>2224350</v>
      </c>
      <c r="F80" s="86">
        <f>VLOOKUP($A80,'Data shares'!$C:$FA,76)</f>
        <v>2100</v>
      </c>
      <c r="G80" s="87">
        <f>VLOOKUP(A80,'Data shares'!$C$2:$CA$216,77,0)</f>
        <v>8.9999999999999998E-4</v>
      </c>
      <c r="H80" s="86">
        <f>VLOOKUP($A80,'Data shares'!$C:$FA,90)</f>
        <v>769200</v>
      </c>
      <c r="I80" s="86">
        <f>VLOOKUP($A80,'Data shares'!$C:$FA,92)</f>
        <v>19350</v>
      </c>
      <c r="J80" s="87">
        <f>VLOOKUP($A80,'Data shares'!$C:$FA,93)</f>
        <v>2.58E-2</v>
      </c>
      <c r="K80" s="86">
        <f>VLOOKUP($A80,'Data shares'!$C:$FA,94)</f>
        <v>586350</v>
      </c>
      <c r="L80" s="86">
        <f>VLOOKUP($A80,'Data shares'!$C:$FA,96)</f>
        <v>26250</v>
      </c>
      <c r="M80" s="87">
        <f>VLOOKUP($A80,'Data shares'!$C:$FA,97)</f>
        <v>4.6899999999999997E-2</v>
      </c>
      <c r="N80" s="86">
        <f>VLOOKUP($A80,'Data shares'!$C:$FA,78)</f>
        <v>2182350</v>
      </c>
      <c r="O80" s="87">
        <f>VLOOKUP($A80,'Data shares'!$C:$FA,81)</f>
        <v>2.2000000000000001E-3</v>
      </c>
    </row>
    <row r="81" spans="1:15" x14ac:dyDescent="0.25">
      <c r="A81" s="100" t="str">
        <f>'OI(Value)'!A81</f>
        <v>HDFCBANK</v>
      </c>
      <c r="B81" s="82">
        <f>VLOOKUP(A81,'Data shares'!$C$2:$CV$216,98,0)</f>
        <v>256532100</v>
      </c>
      <c r="C81" s="82">
        <f>VLOOKUP(A81,'Data shares'!$C$2:$CX$216,100,0)</f>
        <v>-297000</v>
      </c>
      <c r="D81" s="141">
        <f>VLOOKUP(A81,'Data shares'!$C$2:$CY$539,101,0)</f>
        <v>-1.1999999999999999E-3</v>
      </c>
      <c r="E81" s="86">
        <f>VLOOKUP($A81,'Data shares'!$C:$FA,74)</f>
        <v>200343000</v>
      </c>
      <c r="F81" s="86">
        <f>VLOOKUP($A81,'Data shares'!$C:$FA,76)</f>
        <v>129800</v>
      </c>
      <c r="G81" s="87">
        <f>VLOOKUP(A81,'Data shares'!$C$2:$CA$216,77,0)</f>
        <v>5.9999999999999995E-4</v>
      </c>
      <c r="H81" s="86">
        <f>VLOOKUP($A81,'Data shares'!$C:$FA,90)</f>
        <v>31808700</v>
      </c>
      <c r="I81" s="86">
        <f>VLOOKUP($A81,'Data shares'!$C:$FA,92)</f>
        <v>-202400</v>
      </c>
      <c r="J81" s="87">
        <f>VLOOKUP($A81,'Data shares'!$C:$FA,93)</f>
        <v>-6.3E-3</v>
      </c>
      <c r="K81" s="86">
        <f>VLOOKUP($A81,'Data shares'!$C:$FA,94)</f>
        <v>24380400</v>
      </c>
      <c r="L81" s="86">
        <f>VLOOKUP($A81,'Data shares'!$C:$FA,96)</f>
        <v>-224400</v>
      </c>
      <c r="M81" s="87">
        <f>VLOOKUP($A81,'Data shares'!$C:$FA,97)</f>
        <v>-9.1000000000000004E-3</v>
      </c>
      <c r="N81" s="86">
        <f>VLOOKUP($A81,'Data shares'!$C:$FA,78)</f>
        <v>194359000</v>
      </c>
      <c r="O81" s="87">
        <f>VLOOKUP($A81,'Data shares'!$C:$FA,81)</f>
        <v>-2.5999999999999999E-3</v>
      </c>
    </row>
    <row r="82" spans="1:15" x14ac:dyDescent="0.25">
      <c r="A82" s="100" t="str">
        <f>'OI(Value)'!A82</f>
        <v>HDFCLIFE</v>
      </c>
      <c r="B82" s="82">
        <f>VLOOKUP(A82,'Data shares'!$C$2:$CV$216,98,0)</f>
        <v>45882100</v>
      </c>
      <c r="C82" s="82">
        <f>VLOOKUP(A82,'Data shares'!$C$2:$CX$216,100,0)</f>
        <v>1969000</v>
      </c>
      <c r="D82" s="141">
        <f>VLOOKUP(A82,'Data shares'!$C$2:$CY$539,101,0)</f>
        <v>4.48E-2</v>
      </c>
      <c r="E82" s="86">
        <f>VLOOKUP($A82,'Data shares'!$C:$FA,74)</f>
        <v>31191600</v>
      </c>
      <c r="F82" s="86">
        <f>VLOOKUP($A82,'Data shares'!$C:$FA,76)</f>
        <v>737000</v>
      </c>
      <c r="G82" s="87">
        <f>VLOOKUP(A82,'Data shares'!$C$2:$CA$216,77,0)</f>
        <v>2.4199999999999999E-2</v>
      </c>
      <c r="H82" s="86">
        <f>VLOOKUP($A82,'Data shares'!$C:$FA,90)</f>
        <v>9483100</v>
      </c>
      <c r="I82" s="86">
        <f>VLOOKUP($A82,'Data shares'!$C:$FA,92)</f>
        <v>1120900</v>
      </c>
      <c r="J82" s="87">
        <f>VLOOKUP($A82,'Data shares'!$C:$FA,93)</f>
        <v>0.13400000000000001</v>
      </c>
      <c r="K82" s="86">
        <f>VLOOKUP($A82,'Data shares'!$C:$FA,94)</f>
        <v>5207400</v>
      </c>
      <c r="L82" s="86">
        <f>VLOOKUP($A82,'Data shares'!$C:$FA,96)</f>
        <v>111100</v>
      </c>
      <c r="M82" s="87">
        <f>VLOOKUP($A82,'Data shares'!$C:$FA,97)</f>
        <v>2.18E-2</v>
      </c>
      <c r="N82" s="86">
        <f>VLOOKUP($A82,'Data shares'!$C:$FA,78)</f>
        <v>30728500</v>
      </c>
      <c r="O82" s="87">
        <f>VLOOKUP($A82,'Data shares'!$C:$FA,81)</f>
        <v>2.1299999999999999E-2</v>
      </c>
    </row>
    <row r="83" spans="1:15" x14ac:dyDescent="0.25">
      <c r="A83" s="100" t="str">
        <f>'OI(Value)'!A83</f>
        <v>HEROMOTOCO</v>
      </c>
      <c r="B83" s="82">
        <f>VLOOKUP(A83,'Data shares'!$C$2:$CV$216,98,0)</f>
        <v>9040650</v>
      </c>
      <c r="C83" s="82">
        <f>VLOOKUP(A83,'Data shares'!$C$2:$CX$216,100,0)</f>
        <v>481800</v>
      </c>
      <c r="D83" s="141">
        <f>VLOOKUP(A83,'Data shares'!$C$2:$CY$539,101,0)</f>
        <v>5.6300000000000003E-2</v>
      </c>
      <c r="E83" s="86">
        <f>VLOOKUP($A83,'Data shares'!$C:$FA,74)</f>
        <v>4636950</v>
      </c>
      <c r="F83" s="86">
        <f>VLOOKUP($A83,'Data shares'!$C:$FA,76)</f>
        <v>37200</v>
      </c>
      <c r="G83" s="87">
        <f>VLOOKUP(A83,'Data shares'!$C$2:$CA$216,77,0)</f>
        <v>8.0999999999999996E-3</v>
      </c>
      <c r="H83" s="86">
        <f>VLOOKUP($A83,'Data shares'!$C:$FA,90)</f>
        <v>2717400</v>
      </c>
      <c r="I83" s="86">
        <f>VLOOKUP($A83,'Data shares'!$C:$FA,92)</f>
        <v>382350</v>
      </c>
      <c r="J83" s="87">
        <f>VLOOKUP($A83,'Data shares'!$C:$FA,93)</f>
        <v>0.16370000000000001</v>
      </c>
      <c r="K83" s="86">
        <f>VLOOKUP($A83,'Data shares'!$C:$FA,94)</f>
        <v>1686300</v>
      </c>
      <c r="L83" s="86">
        <f>VLOOKUP($A83,'Data shares'!$C:$FA,96)</f>
        <v>62250</v>
      </c>
      <c r="M83" s="87">
        <f>VLOOKUP($A83,'Data shares'!$C:$FA,97)</f>
        <v>3.8300000000000001E-2</v>
      </c>
      <c r="N83" s="86">
        <f>VLOOKUP($A83,'Data shares'!$C:$FA,78)</f>
        <v>4333500</v>
      </c>
      <c r="O83" s="87">
        <f>VLOOKUP($A83,'Data shares'!$C:$FA,81)</f>
        <v>6.7000000000000002E-3</v>
      </c>
    </row>
    <row r="84" spans="1:15" x14ac:dyDescent="0.25">
      <c r="A84" s="100" t="str">
        <f>'OI(Value)'!A84</f>
        <v>HFCL</v>
      </c>
      <c r="B84" s="82">
        <f>VLOOKUP(A84,'Data shares'!$C$2:$CV$216,98,0)</f>
        <v>181522350</v>
      </c>
      <c r="C84" s="82">
        <f>VLOOKUP(A84,'Data shares'!$C$2:$CX$216,100,0)</f>
        <v>3192750</v>
      </c>
      <c r="D84" s="141">
        <f>VLOOKUP(A84,'Data shares'!$C$2:$CY$539,101,0)</f>
        <v>1.7899999999999999E-2</v>
      </c>
      <c r="E84" s="86">
        <f>VLOOKUP($A84,'Data shares'!$C:$FA,74)</f>
        <v>120615000</v>
      </c>
      <c r="F84" s="86">
        <f>VLOOKUP($A84,'Data shares'!$C:$FA,76)</f>
        <v>490200</v>
      </c>
      <c r="G84" s="87">
        <f>VLOOKUP(A84,'Data shares'!$C$2:$CA$216,77,0)</f>
        <v>4.1000000000000003E-3</v>
      </c>
      <c r="H84" s="86">
        <f>VLOOKUP($A84,'Data shares'!$C:$FA,90)</f>
        <v>38783850</v>
      </c>
      <c r="I84" s="86">
        <f>VLOOKUP($A84,'Data shares'!$C:$FA,92)</f>
        <v>909450</v>
      </c>
      <c r="J84" s="87">
        <f>VLOOKUP($A84,'Data shares'!$C:$FA,93)</f>
        <v>2.4E-2</v>
      </c>
      <c r="K84" s="86">
        <f>VLOOKUP($A84,'Data shares'!$C:$FA,94)</f>
        <v>22123500</v>
      </c>
      <c r="L84" s="86">
        <f>VLOOKUP($A84,'Data shares'!$C:$FA,96)</f>
        <v>1793100</v>
      </c>
      <c r="M84" s="87">
        <f>VLOOKUP($A84,'Data shares'!$C:$FA,97)</f>
        <v>8.8200000000000001E-2</v>
      </c>
      <c r="N84" s="86">
        <f>VLOOKUP($A84,'Data shares'!$C:$FA,78)</f>
        <v>111965550</v>
      </c>
      <c r="O84" s="87">
        <f>VLOOKUP($A84,'Data shares'!$C:$FA,81)</f>
        <v>2.5999999999999999E-3</v>
      </c>
    </row>
    <row r="85" spans="1:15" x14ac:dyDescent="0.25">
      <c r="A85" s="100" t="str">
        <f>'OI(Value)'!A85</f>
        <v>HINDALCO</v>
      </c>
      <c r="B85" s="82">
        <f>VLOOKUP(A85,'Data shares'!$C$2:$CV$216,98,0)</f>
        <v>96432000</v>
      </c>
      <c r="C85" s="82">
        <f>VLOOKUP(A85,'Data shares'!$C$2:$CX$216,100,0)</f>
        <v>502600</v>
      </c>
      <c r="D85" s="141">
        <f>VLOOKUP(A85,'Data shares'!$C$2:$CY$539,101,0)</f>
        <v>5.1999999999999998E-3</v>
      </c>
      <c r="E85" s="86">
        <f>VLOOKUP($A85,'Data shares'!$C:$FA,74)</f>
        <v>65359000</v>
      </c>
      <c r="F85" s="86">
        <f>VLOOKUP($A85,'Data shares'!$C:$FA,76)</f>
        <v>-340200</v>
      </c>
      <c r="G85" s="87">
        <f>VLOOKUP(A85,'Data shares'!$C$2:$CA$216,77,0)</f>
        <v>-5.1999999999999998E-3</v>
      </c>
      <c r="H85" s="86">
        <f>VLOOKUP($A85,'Data shares'!$C:$FA,90)</f>
        <v>18086600</v>
      </c>
      <c r="I85" s="86">
        <f>VLOOKUP($A85,'Data shares'!$C:$FA,92)</f>
        <v>539000</v>
      </c>
      <c r="J85" s="87">
        <f>VLOOKUP($A85,'Data shares'!$C:$FA,93)</f>
        <v>3.0700000000000002E-2</v>
      </c>
      <c r="K85" s="86">
        <f>VLOOKUP($A85,'Data shares'!$C:$FA,94)</f>
        <v>12986400</v>
      </c>
      <c r="L85" s="86">
        <f>VLOOKUP($A85,'Data shares'!$C:$FA,96)</f>
        <v>303800</v>
      </c>
      <c r="M85" s="87">
        <f>VLOOKUP($A85,'Data shares'!$C:$FA,97)</f>
        <v>2.4E-2</v>
      </c>
      <c r="N85" s="86">
        <f>VLOOKUP($A85,'Data shares'!$C:$FA,78)</f>
        <v>64220800</v>
      </c>
      <c r="O85" s="87">
        <f>VLOOKUP($A85,'Data shares'!$C:$FA,81)</f>
        <v>-7.0000000000000001E-3</v>
      </c>
    </row>
    <row r="86" spans="1:15" x14ac:dyDescent="0.25">
      <c r="A86" s="100" t="str">
        <f>'OI(Value)'!A86</f>
        <v>HINDPETRO</v>
      </c>
      <c r="B86" s="82">
        <f>VLOOKUP(A86,'Data shares'!$C$2:$CV$216,98,0)</f>
        <v>87269400</v>
      </c>
      <c r="C86" s="82">
        <f>VLOOKUP(A86,'Data shares'!$C$2:$CX$216,100,0)</f>
        <v>2960550</v>
      </c>
      <c r="D86" s="141">
        <f>VLOOKUP(A86,'Data shares'!$C$2:$CY$539,101,0)</f>
        <v>3.5099999999999999E-2</v>
      </c>
      <c r="E86" s="86">
        <f>VLOOKUP($A86,'Data shares'!$C:$FA,74)</f>
        <v>50993550</v>
      </c>
      <c r="F86" s="86">
        <f>VLOOKUP($A86,'Data shares'!$C:$FA,76)</f>
        <v>540675</v>
      </c>
      <c r="G86" s="87">
        <f>VLOOKUP(A86,'Data shares'!$C$2:$CA$216,77,0)</f>
        <v>1.0699999999999999E-2</v>
      </c>
      <c r="H86" s="86">
        <f>VLOOKUP($A86,'Data shares'!$C:$FA,90)</f>
        <v>24808275</v>
      </c>
      <c r="I86" s="86">
        <f>VLOOKUP($A86,'Data shares'!$C:$FA,92)</f>
        <v>2065500</v>
      </c>
      <c r="J86" s="87">
        <f>VLOOKUP($A86,'Data shares'!$C:$FA,93)</f>
        <v>9.0800000000000006E-2</v>
      </c>
      <c r="K86" s="86">
        <f>VLOOKUP($A86,'Data shares'!$C:$FA,94)</f>
        <v>11467575</v>
      </c>
      <c r="L86" s="86">
        <f>VLOOKUP($A86,'Data shares'!$C:$FA,96)</f>
        <v>354375</v>
      </c>
      <c r="M86" s="87">
        <f>VLOOKUP($A86,'Data shares'!$C:$FA,97)</f>
        <v>3.1899999999999998E-2</v>
      </c>
      <c r="N86" s="86">
        <f>VLOOKUP($A86,'Data shares'!$C:$FA,78)</f>
        <v>50003325</v>
      </c>
      <c r="O86" s="87">
        <f>VLOOKUP($A86,'Data shares'!$C:$FA,81)</f>
        <v>9.2999999999999992E-3</v>
      </c>
    </row>
    <row r="87" spans="1:15" x14ac:dyDescent="0.25">
      <c r="A87" s="100" t="str">
        <f>'OI(Value)'!A87</f>
        <v>HINDUNILVR</v>
      </c>
      <c r="B87" s="82">
        <f>VLOOKUP(A87,'Data shares'!$C$2:$CV$216,98,0)</f>
        <v>21699000</v>
      </c>
      <c r="C87" s="82">
        <f>VLOOKUP(A87,'Data shares'!$C$2:$CX$216,100,0)</f>
        <v>369900</v>
      </c>
      <c r="D87" s="141">
        <f>VLOOKUP(A87,'Data shares'!$C$2:$CY$539,101,0)</f>
        <v>1.7299999999999999E-2</v>
      </c>
      <c r="E87" s="86">
        <f>VLOOKUP($A87,'Data shares'!$C:$FA,74)</f>
        <v>14083500</v>
      </c>
      <c r="F87" s="86">
        <f>VLOOKUP($A87,'Data shares'!$C:$FA,76)</f>
        <v>93900</v>
      </c>
      <c r="G87" s="87">
        <f>VLOOKUP(A87,'Data shares'!$C$2:$CA$216,77,0)</f>
        <v>6.7000000000000002E-3</v>
      </c>
      <c r="H87" s="86">
        <f>VLOOKUP($A87,'Data shares'!$C:$FA,90)</f>
        <v>4868400</v>
      </c>
      <c r="I87" s="86">
        <f>VLOOKUP($A87,'Data shares'!$C:$FA,92)</f>
        <v>265200</v>
      </c>
      <c r="J87" s="87">
        <f>VLOOKUP($A87,'Data shares'!$C:$FA,93)</f>
        <v>5.7599999999999998E-2</v>
      </c>
      <c r="K87" s="86">
        <f>VLOOKUP($A87,'Data shares'!$C:$FA,94)</f>
        <v>2747100</v>
      </c>
      <c r="L87" s="86">
        <f>VLOOKUP($A87,'Data shares'!$C:$FA,96)</f>
        <v>10800</v>
      </c>
      <c r="M87" s="87">
        <f>VLOOKUP($A87,'Data shares'!$C:$FA,97)</f>
        <v>3.8999999999999998E-3</v>
      </c>
      <c r="N87" s="86">
        <f>VLOOKUP($A87,'Data shares'!$C:$FA,78)</f>
        <v>13543800</v>
      </c>
      <c r="O87" s="87">
        <f>VLOOKUP($A87,'Data shares'!$C:$FA,81)</f>
        <v>5.9999999999999995E-4</v>
      </c>
    </row>
    <row r="88" spans="1:15" x14ac:dyDescent="0.25">
      <c r="A88" s="100" t="str">
        <f>'OI(Value)'!A88</f>
        <v>HINDZINC</v>
      </c>
      <c r="B88" s="82">
        <f>VLOOKUP(A88,'Data shares'!$C$2:$CV$216,98,0)</f>
        <v>67185125</v>
      </c>
      <c r="C88" s="82">
        <f>VLOOKUP(A88,'Data shares'!$C$2:$CX$216,100,0)</f>
        <v>8734250</v>
      </c>
      <c r="D88" s="141">
        <f>VLOOKUP(A88,'Data shares'!$C$2:$CY$539,101,0)</f>
        <v>0.14940000000000001</v>
      </c>
      <c r="E88" s="86">
        <f>VLOOKUP($A88,'Data shares'!$C:$FA,74)</f>
        <v>34484975</v>
      </c>
      <c r="F88" s="86">
        <f>VLOOKUP($A88,'Data shares'!$C:$FA,76)</f>
        <v>1637825</v>
      </c>
      <c r="G88" s="87">
        <f>VLOOKUP(A88,'Data shares'!$C$2:$CA$216,77,0)</f>
        <v>4.99E-2</v>
      </c>
      <c r="H88" s="86">
        <f>VLOOKUP($A88,'Data shares'!$C:$FA,90)</f>
        <v>20588575</v>
      </c>
      <c r="I88" s="86">
        <f>VLOOKUP($A88,'Data shares'!$C:$FA,92)</f>
        <v>5909400</v>
      </c>
      <c r="J88" s="87">
        <f>VLOOKUP($A88,'Data shares'!$C:$FA,93)</f>
        <v>0.40260000000000001</v>
      </c>
      <c r="K88" s="86">
        <f>VLOOKUP($A88,'Data shares'!$C:$FA,94)</f>
        <v>12111575</v>
      </c>
      <c r="L88" s="86">
        <f>VLOOKUP($A88,'Data shares'!$C:$FA,96)</f>
        <v>1187025</v>
      </c>
      <c r="M88" s="87">
        <f>VLOOKUP($A88,'Data shares'!$C:$FA,97)</f>
        <v>0.1087</v>
      </c>
      <c r="N88" s="86">
        <f>VLOOKUP($A88,'Data shares'!$C:$FA,78)</f>
        <v>31887975</v>
      </c>
      <c r="O88" s="87">
        <f>VLOOKUP($A88,'Data shares'!$C:$FA,81)</f>
        <v>2.87E-2</v>
      </c>
    </row>
    <row r="89" spans="1:15" x14ac:dyDescent="0.25">
      <c r="A89" s="100" t="str">
        <f>'OI(Value)'!A89</f>
        <v>HUDCO</v>
      </c>
      <c r="B89" s="82">
        <f>VLOOKUP(A89,'Data shares'!$C$2:$CV$216,98,0)</f>
        <v>50360700</v>
      </c>
      <c r="C89" s="82">
        <f>VLOOKUP(A89,'Data shares'!$C$2:$CX$216,100,0)</f>
        <v>266400</v>
      </c>
      <c r="D89" s="141">
        <f>VLOOKUP(A89,'Data shares'!$C$2:$CY$539,101,0)</f>
        <v>5.3E-3</v>
      </c>
      <c r="E89" s="86">
        <f>VLOOKUP($A89,'Data shares'!$C:$FA,74)</f>
        <v>27455850</v>
      </c>
      <c r="F89" s="86">
        <f>VLOOKUP($A89,'Data shares'!$C:$FA,76)</f>
        <v>-24975</v>
      </c>
      <c r="G89" s="87">
        <f>VLOOKUP(A89,'Data shares'!$C$2:$CA$216,77,0)</f>
        <v>-8.9999999999999998E-4</v>
      </c>
      <c r="H89" s="86">
        <f>VLOOKUP($A89,'Data shares'!$C:$FA,90)</f>
        <v>14435550</v>
      </c>
      <c r="I89" s="86">
        <f>VLOOKUP($A89,'Data shares'!$C:$FA,92)</f>
        <v>249750</v>
      </c>
      <c r="J89" s="87">
        <f>VLOOKUP($A89,'Data shares'!$C:$FA,93)</f>
        <v>1.7600000000000001E-2</v>
      </c>
      <c r="K89" s="86">
        <f>VLOOKUP($A89,'Data shares'!$C:$FA,94)</f>
        <v>8469300</v>
      </c>
      <c r="L89" s="86">
        <f>VLOOKUP($A89,'Data shares'!$C:$FA,96)</f>
        <v>41625</v>
      </c>
      <c r="M89" s="87">
        <f>VLOOKUP($A89,'Data shares'!$C:$FA,97)</f>
        <v>4.8999999999999998E-3</v>
      </c>
      <c r="N89" s="86">
        <f>VLOOKUP($A89,'Data shares'!$C:$FA,78)</f>
        <v>26370825</v>
      </c>
      <c r="O89" s="87">
        <f>VLOOKUP($A89,'Data shares'!$C:$FA,81)</f>
        <v>-2E-3</v>
      </c>
    </row>
    <row r="90" spans="1:15" x14ac:dyDescent="0.25">
      <c r="A90" s="100" t="str">
        <f>'OI(Value)'!A90</f>
        <v>ICICIBANK</v>
      </c>
      <c r="B90" s="82">
        <f>VLOOKUP(A90,'Data shares'!$C$2:$CV$216,98,0)</f>
        <v>153748000</v>
      </c>
      <c r="C90" s="82">
        <f>VLOOKUP(A90,'Data shares'!$C$2:$CX$216,100,0)</f>
        <v>2568300</v>
      </c>
      <c r="D90" s="141">
        <f>VLOOKUP(A90,'Data shares'!$C$2:$CY$539,101,0)</f>
        <v>1.7000000000000001E-2</v>
      </c>
      <c r="E90" s="86">
        <f>VLOOKUP($A90,'Data shares'!$C:$FA,74)</f>
        <v>112877800</v>
      </c>
      <c r="F90" s="86">
        <f>VLOOKUP($A90,'Data shares'!$C:$FA,76)</f>
        <v>1775900</v>
      </c>
      <c r="G90" s="87">
        <f>VLOOKUP(A90,'Data shares'!$C$2:$CA$216,77,0)</f>
        <v>1.6E-2</v>
      </c>
      <c r="H90" s="86">
        <f>VLOOKUP($A90,'Data shares'!$C:$FA,90)</f>
        <v>23599100</v>
      </c>
      <c r="I90" s="86">
        <f>VLOOKUP($A90,'Data shares'!$C:$FA,92)</f>
        <v>404600</v>
      </c>
      <c r="J90" s="87">
        <f>VLOOKUP($A90,'Data shares'!$C:$FA,93)</f>
        <v>1.7399999999999999E-2</v>
      </c>
      <c r="K90" s="86">
        <f>VLOOKUP($A90,'Data shares'!$C:$FA,94)</f>
        <v>17271100</v>
      </c>
      <c r="L90" s="86">
        <f>VLOOKUP($A90,'Data shares'!$C:$FA,96)</f>
        <v>387800</v>
      </c>
      <c r="M90" s="87">
        <f>VLOOKUP($A90,'Data shares'!$C:$FA,97)</f>
        <v>2.3E-2</v>
      </c>
      <c r="N90" s="86">
        <f>VLOOKUP($A90,'Data shares'!$C:$FA,78)</f>
        <v>108124800</v>
      </c>
      <c r="O90" s="87">
        <f>VLOOKUP($A90,'Data shares'!$C:$FA,81)</f>
        <v>1.1299999999999999E-2</v>
      </c>
    </row>
    <row r="91" spans="1:15" x14ac:dyDescent="0.25">
      <c r="A91" s="100" t="str">
        <f>'OI(Value)'!A91</f>
        <v>ICICIGI</v>
      </c>
      <c r="B91" s="82">
        <f>VLOOKUP(A91,'Data shares'!$C$2:$CV$216,98,0)</f>
        <v>7416825</v>
      </c>
      <c r="C91" s="82">
        <f>VLOOKUP(A91,'Data shares'!$C$2:$CX$216,100,0)</f>
        <v>252850</v>
      </c>
      <c r="D91" s="141">
        <f>VLOOKUP(A91,'Data shares'!$C$2:$CY$539,101,0)</f>
        <v>3.5299999999999998E-2</v>
      </c>
      <c r="E91" s="86">
        <f>VLOOKUP($A91,'Data shares'!$C:$FA,74)</f>
        <v>5611450</v>
      </c>
      <c r="F91" s="86">
        <f>VLOOKUP($A91,'Data shares'!$C:$FA,76)</f>
        <v>145275</v>
      </c>
      <c r="G91" s="87">
        <f>VLOOKUP(A91,'Data shares'!$C$2:$CA$216,77,0)</f>
        <v>2.6599999999999999E-2</v>
      </c>
      <c r="H91" s="86">
        <f>VLOOKUP($A91,'Data shares'!$C:$FA,90)</f>
        <v>1104025</v>
      </c>
      <c r="I91" s="86">
        <f>VLOOKUP($A91,'Data shares'!$C:$FA,92)</f>
        <v>93925</v>
      </c>
      <c r="J91" s="87">
        <f>VLOOKUP($A91,'Data shares'!$C:$FA,93)</f>
        <v>9.2999999999999999E-2</v>
      </c>
      <c r="K91" s="86">
        <f>VLOOKUP($A91,'Data shares'!$C:$FA,94)</f>
        <v>701350</v>
      </c>
      <c r="L91" s="86">
        <f>VLOOKUP($A91,'Data shares'!$C:$FA,96)</f>
        <v>13650</v>
      </c>
      <c r="M91" s="87">
        <f>VLOOKUP($A91,'Data shares'!$C:$FA,97)</f>
        <v>1.9800000000000002E-2</v>
      </c>
      <c r="N91" s="86">
        <f>VLOOKUP($A91,'Data shares'!$C:$FA,78)</f>
        <v>5559775</v>
      </c>
      <c r="O91" s="87">
        <f>VLOOKUP($A91,'Data shares'!$C:$FA,81)</f>
        <v>2.4400000000000002E-2</v>
      </c>
    </row>
    <row r="92" spans="1:15" x14ac:dyDescent="0.25">
      <c r="A92" s="100" t="str">
        <f>'OI(Value)'!A92</f>
        <v>ICICIPRULI</v>
      </c>
      <c r="B92" s="82">
        <f>VLOOKUP(A92,'Data shares'!$C$2:$CV$216,98,0)</f>
        <v>16873850</v>
      </c>
      <c r="C92" s="82">
        <f>VLOOKUP(A92,'Data shares'!$C$2:$CX$216,100,0)</f>
        <v>112850</v>
      </c>
      <c r="D92" s="141">
        <f>VLOOKUP(A92,'Data shares'!$C$2:$CY$539,101,0)</f>
        <v>6.7000000000000002E-3</v>
      </c>
      <c r="E92" s="86">
        <f>VLOOKUP($A92,'Data shares'!$C:$FA,74)</f>
        <v>11643900</v>
      </c>
      <c r="F92" s="86">
        <f>VLOOKUP($A92,'Data shares'!$C:$FA,76)</f>
        <v>-79550</v>
      </c>
      <c r="G92" s="87">
        <f>VLOOKUP(A92,'Data shares'!$C$2:$CA$216,77,0)</f>
        <v>-6.7999999999999996E-3</v>
      </c>
      <c r="H92" s="86">
        <f>VLOOKUP($A92,'Data shares'!$C:$FA,90)</f>
        <v>3251375</v>
      </c>
      <c r="I92" s="86">
        <f>VLOOKUP($A92,'Data shares'!$C:$FA,92)</f>
        <v>262700</v>
      </c>
      <c r="J92" s="87">
        <f>VLOOKUP($A92,'Data shares'!$C:$FA,93)</f>
        <v>8.7900000000000006E-2</v>
      </c>
      <c r="K92" s="86">
        <f>VLOOKUP($A92,'Data shares'!$C:$FA,94)</f>
        <v>1978575</v>
      </c>
      <c r="L92" s="86">
        <f>VLOOKUP($A92,'Data shares'!$C:$FA,96)</f>
        <v>-70300</v>
      </c>
      <c r="M92" s="87">
        <f>VLOOKUP($A92,'Data shares'!$C:$FA,97)</f>
        <v>-3.4299999999999997E-2</v>
      </c>
      <c r="N92" s="86">
        <f>VLOOKUP($A92,'Data shares'!$C:$FA,78)</f>
        <v>11392300</v>
      </c>
      <c r="O92" s="87">
        <f>VLOOKUP($A92,'Data shares'!$C:$FA,81)</f>
        <v>-6.8999999999999999E-3</v>
      </c>
    </row>
    <row r="93" spans="1:15" x14ac:dyDescent="0.25">
      <c r="A93" s="100" t="str">
        <f>'OI(Value)'!A93</f>
        <v>IDEA</v>
      </c>
      <c r="B93" s="82">
        <f>VLOOKUP(A93,'Data shares'!$C$2:$CV$216,98,0)</f>
        <v>9753549975</v>
      </c>
      <c r="C93" s="82">
        <f>VLOOKUP(A93,'Data shares'!$C$2:$CX$216,100,0)</f>
        <v>48960375</v>
      </c>
      <c r="D93" s="141">
        <f>VLOOKUP(A93,'Data shares'!$C$2:$CY$539,101,0)</f>
        <v>5.0000000000000001E-3</v>
      </c>
      <c r="E93" s="86">
        <f>VLOOKUP($A93,'Data shares'!$C:$FA,74)</f>
        <v>6287226900</v>
      </c>
      <c r="F93" s="86">
        <f>VLOOKUP($A93,'Data shares'!$C:$FA,76)</f>
        <v>-76263825</v>
      </c>
      <c r="G93" s="87">
        <f>VLOOKUP(A93,'Data shares'!$C$2:$CA$216,77,0)</f>
        <v>-1.2E-2</v>
      </c>
      <c r="H93" s="86">
        <f>VLOOKUP($A93,'Data shares'!$C:$FA,90)</f>
        <v>2232593100</v>
      </c>
      <c r="I93" s="86">
        <f>VLOOKUP($A93,'Data shares'!$C:$FA,92)</f>
        <v>99850575</v>
      </c>
      <c r="J93" s="87">
        <f>VLOOKUP($A93,'Data shares'!$C:$FA,93)</f>
        <v>4.6800000000000001E-2</v>
      </c>
      <c r="K93" s="86">
        <f>VLOOKUP($A93,'Data shares'!$C:$FA,94)</f>
        <v>1233729975</v>
      </c>
      <c r="L93" s="86">
        <f>VLOOKUP($A93,'Data shares'!$C:$FA,96)</f>
        <v>25373625</v>
      </c>
      <c r="M93" s="87">
        <f>VLOOKUP($A93,'Data shares'!$C:$FA,97)</f>
        <v>2.1000000000000001E-2</v>
      </c>
      <c r="N93" s="86">
        <f>VLOOKUP($A93,'Data shares'!$C:$FA,78)</f>
        <v>5799267075</v>
      </c>
      <c r="O93" s="87">
        <f>VLOOKUP($A93,'Data shares'!$C:$FA,81)</f>
        <v>-2.07E-2</v>
      </c>
    </row>
    <row r="94" spans="1:15" x14ac:dyDescent="0.25">
      <c r="A94" s="100" t="str">
        <f>'OI(Value)'!A94</f>
        <v>IDFCFIRSTB</v>
      </c>
      <c r="B94" s="82">
        <f>VLOOKUP(A94,'Data shares'!$C$2:$CV$216,98,0)</f>
        <v>635597200</v>
      </c>
      <c r="C94" s="82">
        <f>VLOOKUP(A94,'Data shares'!$C$2:$CX$216,100,0)</f>
        <v>16221975</v>
      </c>
      <c r="D94" s="141">
        <f>VLOOKUP(A94,'Data shares'!$C$2:$CY$539,101,0)</f>
        <v>2.6200000000000001E-2</v>
      </c>
      <c r="E94" s="86">
        <f>VLOOKUP($A94,'Data shares'!$C:$FA,74)</f>
        <v>404742450</v>
      </c>
      <c r="F94" s="86">
        <f>VLOOKUP($A94,'Data shares'!$C:$FA,76)</f>
        <v>2875250</v>
      </c>
      <c r="G94" s="87">
        <f>VLOOKUP(A94,'Data shares'!$C$2:$CA$216,77,0)</f>
        <v>7.1999999999999998E-3</v>
      </c>
      <c r="H94" s="86">
        <f>VLOOKUP($A94,'Data shares'!$C:$FA,90)</f>
        <v>136147725</v>
      </c>
      <c r="I94" s="86">
        <f>VLOOKUP($A94,'Data shares'!$C:$FA,92)</f>
        <v>13745550</v>
      </c>
      <c r="J94" s="87">
        <f>VLOOKUP($A94,'Data shares'!$C:$FA,93)</f>
        <v>0.1123</v>
      </c>
      <c r="K94" s="86">
        <f>VLOOKUP($A94,'Data shares'!$C:$FA,94)</f>
        <v>94707025</v>
      </c>
      <c r="L94" s="86">
        <f>VLOOKUP($A94,'Data shares'!$C:$FA,96)</f>
        <v>-398825</v>
      </c>
      <c r="M94" s="87">
        <f>VLOOKUP($A94,'Data shares'!$C:$FA,97)</f>
        <v>-4.1999999999999997E-3</v>
      </c>
      <c r="N94" s="86">
        <f>VLOOKUP($A94,'Data shares'!$C:$FA,78)</f>
        <v>379291850</v>
      </c>
      <c r="O94" s="87">
        <f>VLOOKUP($A94,'Data shares'!$C:$FA,81)</f>
        <v>3.2000000000000002E-3</v>
      </c>
    </row>
    <row r="95" spans="1:15" x14ac:dyDescent="0.25">
      <c r="A95" s="100" t="str">
        <f>'OI(Value)'!A95</f>
        <v>IEX</v>
      </c>
      <c r="B95" s="82">
        <f>VLOOKUP(A95,'Data shares'!$C$2:$CV$216,98,0)</f>
        <v>104797500</v>
      </c>
      <c r="C95" s="82">
        <f>VLOOKUP(A95,'Data shares'!$C$2:$CX$216,100,0)</f>
        <v>2913750</v>
      </c>
      <c r="D95" s="141">
        <f>VLOOKUP(A95,'Data shares'!$C$2:$CY$539,101,0)</f>
        <v>2.86E-2</v>
      </c>
      <c r="E95" s="86">
        <f>VLOOKUP($A95,'Data shares'!$C:$FA,74)</f>
        <v>56272500</v>
      </c>
      <c r="F95" s="86">
        <f>VLOOKUP($A95,'Data shares'!$C:$FA,76)</f>
        <v>855000</v>
      </c>
      <c r="G95" s="87">
        <f>VLOOKUP(A95,'Data shares'!$C$2:$CA$216,77,0)</f>
        <v>1.54E-2</v>
      </c>
      <c r="H95" s="86">
        <f>VLOOKUP($A95,'Data shares'!$C:$FA,90)</f>
        <v>28511250</v>
      </c>
      <c r="I95" s="86">
        <f>VLOOKUP($A95,'Data shares'!$C:$FA,92)</f>
        <v>1380000</v>
      </c>
      <c r="J95" s="87">
        <f>VLOOKUP($A95,'Data shares'!$C:$FA,93)</f>
        <v>5.0900000000000001E-2</v>
      </c>
      <c r="K95" s="86">
        <f>VLOOKUP($A95,'Data shares'!$C:$FA,94)</f>
        <v>20013750</v>
      </c>
      <c r="L95" s="86">
        <f>VLOOKUP($A95,'Data shares'!$C:$FA,96)</f>
        <v>678750</v>
      </c>
      <c r="M95" s="87">
        <f>VLOOKUP($A95,'Data shares'!$C:$FA,97)</f>
        <v>3.5099999999999999E-2</v>
      </c>
      <c r="N95" s="86">
        <f>VLOOKUP($A95,'Data shares'!$C:$FA,78)</f>
        <v>52571250</v>
      </c>
      <c r="O95" s="87">
        <f>VLOOKUP($A95,'Data shares'!$C:$FA,81)</f>
        <v>1.0200000000000001E-2</v>
      </c>
    </row>
    <row r="96" spans="1:15" x14ac:dyDescent="0.25">
      <c r="A96" s="100" t="str">
        <f>'OI(Value)'!A96</f>
        <v>IGL</v>
      </c>
      <c r="B96" s="82">
        <f>VLOOKUP(A96,'Data shares'!$C$2:$CV$216,98,0)</f>
        <v>46552000</v>
      </c>
      <c r="C96" s="82">
        <f>VLOOKUP(A96,'Data shares'!$C$2:$CX$216,100,0)</f>
        <v>-943250</v>
      </c>
      <c r="D96" s="141">
        <f>VLOOKUP(A96,'Data shares'!$C$2:$CY$539,101,0)</f>
        <v>-1.9900000000000001E-2</v>
      </c>
      <c r="E96" s="86">
        <f>VLOOKUP($A96,'Data shares'!$C:$FA,74)</f>
        <v>20647000</v>
      </c>
      <c r="F96" s="86">
        <f>VLOOKUP($A96,'Data shares'!$C:$FA,76)</f>
        <v>-198000</v>
      </c>
      <c r="G96" s="87">
        <f>VLOOKUP(A96,'Data shares'!$C$2:$CA$216,77,0)</f>
        <v>-9.4999999999999998E-3</v>
      </c>
      <c r="H96" s="86">
        <f>VLOOKUP($A96,'Data shares'!$C:$FA,90)</f>
        <v>16117750</v>
      </c>
      <c r="I96" s="86">
        <f>VLOOKUP($A96,'Data shares'!$C:$FA,92)</f>
        <v>-574750</v>
      </c>
      <c r="J96" s="87">
        <f>VLOOKUP($A96,'Data shares'!$C:$FA,93)</f>
        <v>-3.44E-2</v>
      </c>
      <c r="K96" s="86">
        <f>VLOOKUP($A96,'Data shares'!$C:$FA,94)</f>
        <v>9787250</v>
      </c>
      <c r="L96" s="86">
        <f>VLOOKUP($A96,'Data shares'!$C:$FA,96)</f>
        <v>-170500</v>
      </c>
      <c r="M96" s="87">
        <f>VLOOKUP($A96,'Data shares'!$C:$FA,97)</f>
        <v>-1.7100000000000001E-2</v>
      </c>
      <c r="N96" s="86">
        <f>VLOOKUP($A96,'Data shares'!$C:$FA,78)</f>
        <v>19318750</v>
      </c>
      <c r="O96" s="87">
        <f>VLOOKUP($A96,'Data shares'!$C:$FA,81)</f>
        <v>-1.3599999999999999E-2</v>
      </c>
    </row>
    <row r="97" spans="1:15" x14ac:dyDescent="0.25">
      <c r="A97" s="100" t="str">
        <f>'OI(Value)'!A97</f>
        <v>IIFL</v>
      </c>
      <c r="B97" s="82">
        <f>VLOOKUP(A97,'Data shares'!$C$2:$CV$216,98,0)</f>
        <v>22667700</v>
      </c>
      <c r="C97" s="82">
        <f>VLOOKUP(A97,'Data shares'!$C$2:$CX$216,100,0)</f>
        <v>-155100</v>
      </c>
      <c r="D97" s="141">
        <f>VLOOKUP(A97,'Data shares'!$C$2:$CY$539,101,0)</f>
        <v>-6.7999999999999996E-3</v>
      </c>
      <c r="E97" s="86">
        <f>VLOOKUP($A97,'Data shares'!$C:$FA,74)</f>
        <v>15988500</v>
      </c>
      <c r="F97" s="86">
        <f>VLOOKUP($A97,'Data shares'!$C:$FA,76)</f>
        <v>-234300</v>
      </c>
      <c r="G97" s="87">
        <f>VLOOKUP(A97,'Data shares'!$C$2:$CA$216,77,0)</f>
        <v>-1.44E-2</v>
      </c>
      <c r="H97" s="86">
        <f>VLOOKUP($A97,'Data shares'!$C:$FA,90)</f>
        <v>3956700</v>
      </c>
      <c r="I97" s="86">
        <f>VLOOKUP($A97,'Data shares'!$C:$FA,92)</f>
        <v>18150</v>
      </c>
      <c r="J97" s="87">
        <f>VLOOKUP($A97,'Data shares'!$C:$FA,93)</f>
        <v>4.5999999999999999E-3</v>
      </c>
      <c r="K97" s="86">
        <f>VLOOKUP($A97,'Data shares'!$C:$FA,94)</f>
        <v>2722500</v>
      </c>
      <c r="L97" s="86">
        <f>VLOOKUP($A97,'Data shares'!$C:$FA,96)</f>
        <v>61050</v>
      </c>
      <c r="M97" s="87">
        <f>VLOOKUP($A97,'Data shares'!$C:$FA,97)</f>
        <v>2.29E-2</v>
      </c>
      <c r="N97" s="86">
        <f>VLOOKUP($A97,'Data shares'!$C:$FA,78)</f>
        <v>15671700</v>
      </c>
      <c r="O97" s="87">
        <f>VLOOKUP($A97,'Data shares'!$C:$FA,81)</f>
        <v>-1.5599999999999999E-2</v>
      </c>
    </row>
    <row r="98" spans="1:15" x14ac:dyDescent="0.25">
      <c r="A98" s="100" t="str">
        <f>'OI(Value)'!A98</f>
        <v>INDHOTEL</v>
      </c>
      <c r="B98" s="82">
        <f>VLOOKUP(A98,'Data shares'!$C$2:$CV$216,98,0)</f>
        <v>47713000</v>
      </c>
      <c r="C98" s="82">
        <f>VLOOKUP(A98,'Data shares'!$C$2:$CX$216,100,0)</f>
        <v>-298000</v>
      </c>
      <c r="D98" s="141">
        <f>VLOOKUP(A98,'Data shares'!$C$2:$CY$539,101,0)</f>
        <v>-6.1999999999999998E-3</v>
      </c>
      <c r="E98" s="86">
        <f>VLOOKUP($A98,'Data shares'!$C:$FA,74)</f>
        <v>27933000</v>
      </c>
      <c r="F98" s="86">
        <f>VLOOKUP($A98,'Data shares'!$C:$FA,76)</f>
        <v>122000</v>
      </c>
      <c r="G98" s="87">
        <f>VLOOKUP(A98,'Data shares'!$C$2:$CA$216,77,0)</f>
        <v>4.4000000000000003E-3</v>
      </c>
      <c r="H98" s="86">
        <f>VLOOKUP($A98,'Data shares'!$C:$FA,90)</f>
        <v>12985000</v>
      </c>
      <c r="I98" s="86">
        <f>VLOOKUP($A98,'Data shares'!$C:$FA,92)</f>
        <v>-160000</v>
      </c>
      <c r="J98" s="87">
        <f>VLOOKUP($A98,'Data shares'!$C:$FA,93)</f>
        <v>-1.2200000000000001E-2</v>
      </c>
      <c r="K98" s="86">
        <f>VLOOKUP($A98,'Data shares'!$C:$FA,94)</f>
        <v>6795000</v>
      </c>
      <c r="L98" s="86">
        <f>VLOOKUP($A98,'Data shares'!$C:$FA,96)</f>
        <v>-260000</v>
      </c>
      <c r="M98" s="87">
        <f>VLOOKUP($A98,'Data shares'!$C:$FA,97)</f>
        <v>-3.6900000000000002E-2</v>
      </c>
      <c r="N98" s="86">
        <f>VLOOKUP($A98,'Data shares'!$C:$FA,78)</f>
        <v>26692000</v>
      </c>
      <c r="O98" s="87">
        <f>VLOOKUP($A98,'Data shares'!$C:$FA,81)</f>
        <v>-2.9999999999999997E-4</v>
      </c>
    </row>
    <row r="99" spans="1:15" x14ac:dyDescent="0.25">
      <c r="A99" s="100" t="str">
        <f>'OI(Value)'!A99</f>
        <v>INDIANB</v>
      </c>
      <c r="B99" s="82">
        <f>VLOOKUP(A99,'Data shares'!$C$2:$CV$216,98,0)</f>
        <v>13208000</v>
      </c>
      <c r="C99" s="82">
        <f>VLOOKUP(A99,'Data shares'!$C$2:$CX$216,100,0)</f>
        <v>340000</v>
      </c>
      <c r="D99" s="141">
        <f>VLOOKUP(A99,'Data shares'!$C$2:$CY$539,101,0)</f>
        <v>2.64E-2</v>
      </c>
      <c r="E99" s="86">
        <f>VLOOKUP($A99,'Data shares'!$C:$FA,74)</f>
        <v>7732000</v>
      </c>
      <c r="F99" s="86">
        <f>VLOOKUP($A99,'Data shares'!$C:$FA,76)</f>
        <v>282000</v>
      </c>
      <c r="G99" s="87">
        <f>VLOOKUP(A99,'Data shares'!$C$2:$CA$216,77,0)</f>
        <v>3.7900000000000003E-2</v>
      </c>
      <c r="H99" s="86">
        <f>VLOOKUP($A99,'Data shares'!$C:$FA,90)</f>
        <v>2778000</v>
      </c>
      <c r="I99" s="86">
        <f>VLOOKUP($A99,'Data shares'!$C:$FA,92)</f>
        <v>1000</v>
      </c>
      <c r="J99" s="87">
        <f>VLOOKUP($A99,'Data shares'!$C:$FA,93)</f>
        <v>4.0000000000000002E-4</v>
      </c>
      <c r="K99" s="86">
        <f>VLOOKUP($A99,'Data shares'!$C:$FA,94)</f>
        <v>2698000</v>
      </c>
      <c r="L99" s="86">
        <f>VLOOKUP($A99,'Data shares'!$C:$FA,96)</f>
        <v>57000</v>
      </c>
      <c r="M99" s="87">
        <f>VLOOKUP($A99,'Data shares'!$C:$FA,97)</f>
        <v>2.1600000000000001E-2</v>
      </c>
      <c r="N99" s="86">
        <f>VLOOKUP($A99,'Data shares'!$C:$FA,78)</f>
        <v>7524000</v>
      </c>
      <c r="O99" s="87">
        <f>VLOOKUP($A99,'Data shares'!$C:$FA,81)</f>
        <v>3.5499999999999997E-2</v>
      </c>
    </row>
    <row r="100" spans="1:15" x14ac:dyDescent="0.25">
      <c r="A100" s="100" t="str">
        <f>'OI(Value)'!A100</f>
        <v>INDIAVIX</v>
      </c>
      <c r="B100" s="82">
        <f>VLOOKUP(A100,'Data shares'!$C$2:$CV$216,98,0)</f>
        <v>0</v>
      </c>
      <c r="C100" s="82">
        <f>VLOOKUP(A100,'Data shares'!$C$2:$CX$216,100,0)</f>
        <v>0</v>
      </c>
      <c r="D100" s="141">
        <f>VLOOKUP(A100,'Data shares'!$C$2:$CY$539,101,0)</f>
        <v>0</v>
      </c>
      <c r="E100" s="86">
        <f>VLOOKUP($A100,'Data shares'!$C:$FA,74)</f>
        <v>0</v>
      </c>
      <c r="F100" s="86">
        <f>VLOOKUP($A100,'Data shares'!$C:$FA,76)</f>
        <v>0</v>
      </c>
      <c r="G100" s="87">
        <f>VLOOKUP(A100,'Data shares'!$C$2:$CA$216,77,0)</f>
        <v>0</v>
      </c>
      <c r="H100" s="86">
        <f>VLOOKUP($A100,'Data shares'!$C:$FA,90)</f>
        <v>0</v>
      </c>
      <c r="I100" s="86">
        <f>VLOOKUP($A100,'Data shares'!$C:$FA,92)</f>
        <v>0</v>
      </c>
      <c r="J100" s="87">
        <f>VLOOKUP($A100,'Data shares'!$C:$FA,93)</f>
        <v>0</v>
      </c>
      <c r="K100" s="86">
        <f>VLOOKUP($A100,'Data shares'!$C:$FA,94)</f>
        <v>0</v>
      </c>
      <c r="L100" s="86">
        <f>VLOOKUP($A100,'Data shares'!$C:$FA,96)</f>
        <v>0</v>
      </c>
      <c r="M100" s="87">
        <f>VLOOKUP($A100,'Data shares'!$C:$FA,97)</f>
        <v>0</v>
      </c>
      <c r="N100" s="86">
        <f>VLOOKUP($A100,'Data shares'!$C:$FA,78)</f>
        <v>0</v>
      </c>
      <c r="O100" s="87">
        <f>VLOOKUP($A100,'Data shares'!$C:$FA,81)</f>
        <v>0</v>
      </c>
    </row>
    <row r="101" spans="1:15" x14ac:dyDescent="0.25">
      <c r="A101" s="100" t="str">
        <f>'OI(Value)'!A101</f>
        <v>INDIGO</v>
      </c>
      <c r="B101" s="82">
        <f>VLOOKUP(A101,'Data shares'!$C$2:$CV$216,98,0)</f>
        <v>11289300</v>
      </c>
      <c r="C101" s="82">
        <f>VLOOKUP(A101,'Data shares'!$C$2:$CX$216,100,0)</f>
        <v>-16800</v>
      </c>
      <c r="D101" s="141">
        <f>VLOOKUP(A101,'Data shares'!$C$2:$CY$539,101,0)</f>
        <v>-1.5E-3</v>
      </c>
      <c r="E101" s="86">
        <f>VLOOKUP($A101,'Data shares'!$C:$FA,74)</f>
        <v>8090250</v>
      </c>
      <c r="F101" s="86">
        <f>VLOOKUP($A101,'Data shares'!$C:$FA,76)</f>
        <v>-126300</v>
      </c>
      <c r="G101" s="87">
        <f>VLOOKUP(A101,'Data shares'!$C$2:$CA$216,77,0)</f>
        <v>-1.54E-2</v>
      </c>
      <c r="H101" s="86">
        <f>VLOOKUP($A101,'Data shares'!$C:$FA,90)</f>
        <v>1858050</v>
      </c>
      <c r="I101" s="86">
        <f>VLOOKUP($A101,'Data shares'!$C:$FA,92)</f>
        <v>63600</v>
      </c>
      <c r="J101" s="87">
        <f>VLOOKUP($A101,'Data shares'!$C:$FA,93)</f>
        <v>3.5400000000000001E-2</v>
      </c>
      <c r="K101" s="86">
        <f>VLOOKUP($A101,'Data shares'!$C:$FA,94)</f>
        <v>1341000</v>
      </c>
      <c r="L101" s="86">
        <f>VLOOKUP($A101,'Data shares'!$C:$FA,96)</f>
        <v>45900</v>
      </c>
      <c r="M101" s="87">
        <f>VLOOKUP($A101,'Data shares'!$C:$FA,97)</f>
        <v>3.5400000000000001E-2</v>
      </c>
      <c r="N101" s="86">
        <f>VLOOKUP($A101,'Data shares'!$C:$FA,78)</f>
        <v>7844400</v>
      </c>
      <c r="O101" s="87">
        <f>VLOOKUP($A101,'Data shares'!$C:$FA,81)</f>
        <v>-1.7600000000000001E-2</v>
      </c>
    </row>
    <row r="102" spans="1:15" x14ac:dyDescent="0.25">
      <c r="A102" s="100" t="str">
        <f>'OI(Value)'!A102</f>
        <v>INDUSINDBK</v>
      </c>
      <c r="B102" s="82">
        <f>VLOOKUP(A102,'Data shares'!$C$2:$CV$216,98,0)</f>
        <v>76633900</v>
      </c>
      <c r="C102" s="82">
        <f>VLOOKUP(A102,'Data shares'!$C$2:$CX$216,100,0)</f>
        <v>161700</v>
      </c>
      <c r="D102" s="141">
        <f>VLOOKUP(A102,'Data shares'!$C$2:$CY$539,101,0)</f>
        <v>2.0999999999999999E-3</v>
      </c>
      <c r="E102" s="86">
        <f>VLOOKUP($A102,'Data shares'!$C:$FA,74)</f>
        <v>53741800</v>
      </c>
      <c r="F102" s="86">
        <f>VLOOKUP($A102,'Data shares'!$C:$FA,76)</f>
        <v>-219800</v>
      </c>
      <c r="G102" s="87">
        <f>VLOOKUP(A102,'Data shares'!$C$2:$CA$216,77,0)</f>
        <v>-4.1000000000000003E-3</v>
      </c>
      <c r="H102" s="86">
        <f>VLOOKUP($A102,'Data shares'!$C:$FA,90)</f>
        <v>11341400</v>
      </c>
      <c r="I102" s="86">
        <f>VLOOKUP($A102,'Data shares'!$C:$FA,92)</f>
        <v>247100</v>
      </c>
      <c r="J102" s="87">
        <f>VLOOKUP($A102,'Data shares'!$C:$FA,93)</f>
        <v>2.23E-2</v>
      </c>
      <c r="K102" s="86">
        <f>VLOOKUP($A102,'Data shares'!$C:$FA,94)</f>
        <v>11550700</v>
      </c>
      <c r="L102" s="86">
        <f>VLOOKUP($A102,'Data shares'!$C:$FA,96)</f>
        <v>134400</v>
      </c>
      <c r="M102" s="87">
        <f>VLOOKUP($A102,'Data shares'!$C:$FA,97)</f>
        <v>1.18E-2</v>
      </c>
      <c r="N102" s="86">
        <f>VLOOKUP($A102,'Data shares'!$C:$FA,78)</f>
        <v>51786700</v>
      </c>
      <c r="O102" s="87">
        <f>VLOOKUP($A102,'Data shares'!$C:$FA,81)</f>
        <v>-5.5999999999999999E-3</v>
      </c>
    </row>
    <row r="103" spans="1:15" x14ac:dyDescent="0.25">
      <c r="A103" s="100" t="str">
        <f>'OI(Value)'!A103</f>
        <v>INDUSTOWER</v>
      </c>
      <c r="B103" s="82">
        <f>VLOOKUP(A103,'Data shares'!$C$2:$CV$216,98,0)</f>
        <v>125271300</v>
      </c>
      <c r="C103" s="82">
        <f>VLOOKUP(A103,'Data shares'!$C$2:$CX$216,100,0)</f>
        <v>5802100</v>
      </c>
      <c r="D103" s="141">
        <f>VLOOKUP(A103,'Data shares'!$C$2:$CY$539,101,0)</f>
        <v>4.8599999999999997E-2</v>
      </c>
      <c r="E103" s="86">
        <f>VLOOKUP($A103,'Data shares'!$C:$FA,74)</f>
        <v>88774000</v>
      </c>
      <c r="F103" s="86">
        <f>VLOOKUP($A103,'Data shares'!$C:$FA,76)</f>
        <v>525300</v>
      </c>
      <c r="G103" s="87">
        <f>VLOOKUP(A103,'Data shares'!$C$2:$CA$216,77,0)</f>
        <v>6.0000000000000001E-3</v>
      </c>
      <c r="H103" s="86">
        <f>VLOOKUP($A103,'Data shares'!$C:$FA,90)</f>
        <v>23138700</v>
      </c>
      <c r="I103" s="86">
        <f>VLOOKUP($A103,'Data shares'!$C:$FA,92)</f>
        <v>4659700</v>
      </c>
      <c r="J103" s="87">
        <f>VLOOKUP($A103,'Data shares'!$C:$FA,93)</f>
        <v>0.25219999999999998</v>
      </c>
      <c r="K103" s="86">
        <f>VLOOKUP($A103,'Data shares'!$C:$FA,94)</f>
        <v>13358600</v>
      </c>
      <c r="L103" s="86">
        <f>VLOOKUP($A103,'Data shares'!$C:$FA,96)</f>
        <v>617100</v>
      </c>
      <c r="M103" s="87">
        <f>VLOOKUP($A103,'Data shares'!$C:$FA,97)</f>
        <v>4.8399999999999999E-2</v>
      </c>
      <c r="N103" s="86">
        <f>VLOOKUP($A103,'Data shares'!$C:$FA,78)</f>
        <v>86851300</v>
      </c>
      <c r="O103" s="87">
        <f>VLOOKUP($A103,'Data shares'!$C:$FA,81)</f>
        <v>5.0000000000000001E-3</v>
      </c>
    </row>
    <row r="104" spans="1:15" x14ac:dyDescent="0.25">
      <c r="A104" s="100" t="str">
        <f>'OI(Value)'!A104</f>
        <v>INFY</v>
      </c>
      <c r="B104" s="82">
        <f>VLOOKUP(A104,'Data shares'!$C$2:$CV$216,98,0)</f>
        <v>94552800</v>
      </c>
      <c r="C104" s="82">
        <f>VLOOKUP(A104,'Data shares'!$C$2:$CX$216,100,0)</f>
        <v>-1865200</v>
      </c>
      <c r="D104" s="141">
        <f>VLOOKUP(A104,'Data shares'!$C$2:$CY$539,101,0)</f>
        <v>-1.9300000000000001E-2</v>
      </c>
      <c r="E104" s="86">
        <f>VLOOKUP($A104,'Data shares'!$C:$FA,74)</f>
        <v>59457200</v>
      </c>
      <c r="F104" s="86">
        <f>VLOOKUP($A104,'Data shares'!$C:$FA,76)</f>
        <v>-1667600</v>
      </c>
      <c r="G104" s="87">
        <f>VLOOKUP(A104,'Data shares'!$C$2:$CA$216,77,0)</f>
        <v>-2.7300000000000001E-2</v>
      </c>
      <c r="H104" s="86">
        <f>VLOOKUP($A104,'Data shares'!$C:$FA,90)</f>
        <v>19015600</v>
      </c>
      <c r="I104" s="86">
        <f>VLOOKUP($A104,'Data shares'!$C:$FA,92)</f>
        <v>159200</v>
      </c>
      <c r="J104" s="87">
        <f>VLOOKUP($A104,'Data shares'!$C:$FA,93)</f>
        <v>8.3999999999999995E-3</v>
      </c>
      <c r="K104" s="86">
        <f>VLOOKUP($A104,'Data shares'!$C:$FA,94)</f>
        <v>16080000</v>
      </c>
      <c r="L104" s="86">
        <f>VLOOKUP($A104,'Data shares'!$C:$FA,96)</f>
        <v>-356800</v>
      </c>
      <c r="M104" s="87">
        <f>VLOOKUP($A104,'Data shares'!$C:$FA,97)</f>
        <v>-2.1700000000000001E-2</v>
      </c>
      <c r="N104" s="86">
        <f>VLOOKUP($A104,'Data shares'!$C:$FA,78)</f>
        <v>39406800</v>
      </c>
      <c r="O104" s="87">
        <f>VLOOKUP($A104,'Data shares'!$C:$FA,81)</f>
        <v>-3.8600000000000002E-2</v>
      </c>
    </row>
    <row r="105" spans="1:15" x14ac:dyDescent="0.25">
      <c r="A105" s="100" t="str">
        <f>'OI(Value)'!A105</f>
        <v>INOXWIND</v>
      </c>
      <c r="B105" s="82">
        <f>VLOOKUP(A105,'Data shares'!$C$2:$CV$216,98,0)</f>
        <v>70590128</v>
      </c>
      <c r="C105" s="82">
        <f>VLOOKUP(A105,'Data shares'!$C$2:$CX$216,100,0)</f>
        <v>631496</v>
      </c>
      <c r="D105" s="141">
        <f>VLOOKUP(A105,'Data shares'!$C$2:$CY$539,101,0)</f>
        <v>8.9999999999999993E-3</v>
      </c>
      <c r="E105" s="86">
        <f>VLOOKUP($A105,'Data shares'!$C:$FA,74)</f>
        <v>44898384</v>
      </c>
      <c r="F105" s="86">
        <f>VLOOKUP($A105,'Data shares'!$C:$FA,76)</f>
        <v>-1982832</v>
      </c>
      <c r="G105" s="87">
        <f>VLOOKUP(A105,'Data shares'!$C$2:$CA$216,77,0)</f>
        <v>-4.2299999999999997E-2</v>
      </c>
      <c r="H105" s="86">
        <f>VLOOKUP($A105,'Data shares'!$C:$FA,90)</f>
        <v>16180040</v>
      </c>
      <c r="I105" s="86">
        <f>VLOOKUP($A105,'Data shares'!$C:$FA,92)</f>
        <v>1658904</v>
      </c>
      <c r="J105" s="87">
        <f>VLOOKUP($A105,'Data shares'!$C:$FA,93)</f>
        <v>0.1142</v>
      </c>
      <c r="K105" s="86">
        <f>VLOOKUP($A105,'Data shares'!$C:$FA,94)</f>
        <v>9511704</v>
      </c>
      <c r="L105" s="86">
        <f>VLOOKUP($A105,'Data shares'!$C:$FA,96)</f>
        <v>955424</v>
      </c>
      <c r="M105" s="87">
        <f>VLOOKUP($A105,'Data shares'!$C:$FA,97)</f>
        <v>0.11169999999999999</v>
      </c>
      <c r="N105" s="86">
        <f>VLOOKUP($A105,'Data shares'!$C:$FA,78)</f>
        <v>43160952</v>
      </c>
      <c r="O105" s="87">
        <f>VLOOKUP($A105,'Data shares'!$C:$FA,81)</f>
        <v>-4.6100000000000002E-2</v>
      </c>
    </row>
    <row r="106" spans="1:15" x14ac:dyDescent="0.25">
      <c r="A106" s="100" t="str">
        <f>'OI(Value)'!A106</f>
        <v>IOC</v>
      </c>
      <c r="B106" s="82">
        <f>VLOOKUP(A106,'Data shares'!$C$2:$CV$216,98,0)</f>
        <v>167412375</v>
      </c>
      <c r="C106" s="82">
        <f>VLOOKUP(A106,'Data shares'!$C$2:$CX$216,100,0)</f>
        <v>3982875</v>
      </c>
      <c r="D106" s="141">
        <f>VLOOKUP(A106,'Data shares'!$C$2:$CY$539,101,0)</f>
        <v>2.4400000000000002E-2</v>
      </c>
      <c r="E106" s="86">
        <f>VLOOKUP($A106,'Data shares'!$C:$FA,74)</f>
        <v>95652375</v>
      </c>
      <c r="F106" s="86">
        <f>VLOOKUP($A106,'Data shares'!$C:$FA,76)</f>
        <v>960375</v>
      </c>
      <c r="G106" s="87">
        <f>VLOOKUP(A106,'Data shares'!$C$2:$CA$216,77,0)</f>
        <v>1.01E-2</v>
      </c>
      <c r="H106" s="86">
        <f>VLOOKUP($A106,'Data shares'!$C:$FA,90)</f>
        <v>42042000</v>
      </c>
      <c r="I106" s="86">
        <f>VLOOKUP($A106,'Data shares'!$C:$FA,92)</f>
        <v>2608125</v>
      </c>
      <c r="J106" s="87">
        <f>VLOOKUP($A106,'Data shares'!$C:$FA,93)</f>
        <v>6.6100000000000006E-2</v>
      </c>
      <c r="K106" s="86">
        <f>VLOOKUP($A106,'Data shares'!$C:$FA,94)</f>
        <v>29718000</v>
      </c>
      <c r="L106" s="86">
        <f>VLOOKUP($A106,'Data shares'!$C:$FA,96)</f>
        <v>414375</v>
      </c>
      <c r="M106" s="87">
        <f>VLOOKUP($A106,'Data shares'!$C:$FA,97)</f>
        <v>1.41E-2</v>
      </c>
      <c r="N106" s="86">
        <f>VLOOKUP($A106,'Data shares'!$C:$FA,78)</f>
        <v>91611000</v>
      </c>
      <c r="O106" s="87">
        <f>VLOOKUP($A106,'Data shares'!$C:$FA,81)</f>
        <v>5.4000000000000003E-3</v>
      </c>
    </row>
    <row r="107" spans="1:15" x14ac:dyDescent="0.25">
      <c r="A107" s="100" t="str">
        <f>'OI(Value)'!A107</f>
        <v>IRCTC</v>
      </c>
      <c r="B107" s="82">
        <f>VLOOKUP(A107,'Data shares'!$C$2:$CV$216,98,0)</f>
        <v>28510125</v>
      </c>
      <c r="C107" s="82">
        <f>VLOOKUP(A107,'Data shares'!$C$2:$CX$216,100,0)</f>
        <v>-272125</v>
      </c>
      <c r="D107" s="141">
        <f>VLOOKUP(A107,'Data shares'!$C$2:$CY$539,101,0)</f>
        <v>-9.4999999999999998E-3</v>
      </c>
      <c r="E107" s="86">
        <f>VLOOKUP($A107,'Data shares'!$C:$FA,74)</f>
        <v>15651125</v>
      </c>
      <c r="F107" s="86">
        <f>VLOOKUP($A107,'Data shares'!$C:$FA,76)</f>
        <v>-326375</v>
      </c>
      <c r="G107" s="87">
        <f>VLOOKUP(A107,'Data shares'!$C$2:$CA$216,77,0)</f>
        <v>-2.0400000000000001E-2</v>
      </c>
      <c r="H107" s="86">
        <f>VLOOKUP($A107,'Data shares'!$C:$FA,90)</f>
        <v>8211000</v>
      </c>
      <c r="I107" s="86">
        <f>VLOOKUP($A107,'Data shares'!$C:$FA,92)</f>
        <v>16625</v>
      </c>
      <c r="J107" s="87">
        <f>VLOOKUP($A107,'Data shares'!$C:$FA,93)</f>
        <v>2E-3</v>
      </c>
      <c r="K107" s="86">
        <f>VLOOKUP($A107,'Data shares'!$C:$FA,94)</f>
        <v>4648000</v>
      </c>
      <c r="L107" s="86">
        <f>VLOOKUP($A107,'Data shares'!$C:$FA,96)</f>
        <v>37625</v>
      </c>
      <c r="M107" s="87">
        <f>VLOOKUP($A107,'Data shares'!$C:$FA,97)</f>
        <v>8.2000000000000007E-3</v>
      </c>
      <c r="N107" s="86">
        <f>VLOOKUP($A107,'Data shares'!$C:$FA,78)</f>
        <v>13822375</v>
      </c>
      <c r="O107" s="87">
        <f>VLOOKUP($A107,'Data shares'!$C:$FA,81)</f>
        <v>-2.4199999999999999E-2</v>
      </c>
    </row>
    <row r="108" spans="1:15" x14ac:dyDescent="0.25">
      <c r="A108" s="100" t="str">
        <f>'OI(Value)'!A108</f>
        <v>IREDA</v>
      </c>
      <c r="B108" s="82">
        <f>VLOOKUP(A108,'Data shares'!$C$2:$CV$216,98,0)</f>
        <v>87012450</v>
      </c>
      <c r="C108" s="82">
        <f>VLOOKUP(A108,'Data shares'!$C$2:$CX$216,100,0)</f>
        <v>-1421400</v>
      </c>
      <c r="D108" s="141">
        <f>VLOOKUP(A108,'Data shares'!$C$2:$CY$539,101,0)</f>
        <v>-1.61E-2</v>
      </c>
      <c r="E108" s="86">
        <f>VLOOKUP($A108,'Data shares'!$C:$FA,74)</f>
        <v>42897300</v>
      </c>
      <c r="F108" s="86">
        <f>VLOOKUP($A108,'Data shares'!$C:$FA,76)</f>
        <v>-407100</v>
      </c>
      <c r="G108" s="87">
        <f>VLOOKUP(A108,'Data shares'!$C$2:$CA$216,77,0)</f>
        <v>-9.4000000000000004E-3</v>
      </c>
      <c r="H108" s="86">
        <f>VLOOKUP($A108,'Data shares'!$C:$FA,90)</f>
        <v>30256500</v>
      </c>
      <c r="I108" s="86">
        <f>VLOOKUP($A108,'Data shares'!$C:$FA,92)</f>
        <v>-952200</v>
      </c>
      <c r="J108" s="87">
        <f>VLOOKUP($A108,'Data shares'!$C:$FA,93)</f>
        <v>-3.0499999999999999E-2</v>
      </c>
      <c r="K108" s="86">
        <f>VLOOKUP($A108,'Data shares'!$C:$FA,94)</f>
        <v>13858650</v>
      </c>
      <c r="L108" s="86">
        <f>VLOOKUP($A108,'Data shares'!$C:$FA,96)</f>
        <v>-62100</v>
      </c>
      <c r="M108" s="87">
        <f>VLOOKUP($A108,'Data shares'!$C:$FA,97)</f>
        <v>-4.4999999999999997E-3</v>
      </c>
      <c r="N108" s="86">
        <f>VLOOKUP($A108,'Data shares'!$C:$FA,78)</f>
        <v>35959350</v>
      </c>
      <c r="O108" s="87">
        <f>VLOOKUP($A108,'Data shares'!$C:$FA,81)</f>
        <v>-1.9900000000000001E-2</v>
      </c>
    </row>
    <row r="109" spans="1:15" x14ac:dyDescent="0.25">
      <c r="A109" s="100" t="str">
        <f>'OI(Value)'!A109</f>
        <v>IRFC</v>
      </c>
      <c r="B109" s="82">
        <f>VLOOKUP(A109,'Data shares'!$C$2:$CV$216,98,0)</f>
        <v>85603500</v>
      </c>
      <c r="C109" s="82">
        <f>VLOOKUP(A109,'Data shares'!$C$2:$CX$216,100,0)</f>
        <v>816000</v>
      </c>
      <c r="D109" s="141">
        <f>VLOOKUP(A109,'Data shares'!$C$2:$CY$539,101,0)</f>
        <v>9.5999999999999992E-3</v>
      </c>
      <c r="E109" s="86">
        <f>VLOOKUP($A109,'Data shares'!$C:$FA,74)</f>
        <v>44497500</v>
      </c>
      <c r="F109" s="86">
        <f>VLOOKUP($A109,'Data shares'!$C:$FA,76)</f>
        <v>-323000</v>
      </c>
      <c r="G109" s="87">
        <f>VLOOKUP(A109,'Data shares'!$C$2:$CA$216,77,0)</f>
        <v>-7.1999999999999998E-3</v>
      </c>
      <c r="H109" s="86">
        <f>VLOOKUP($A109,'Data shares'!$C:$FA,90)</f>
        <v>25959000</v>
      </c>
      <c r="I109" s="86">
        <f>VLOOKUP($A109,'Data shares'!$C:$FA,92)</f>
        <v>-425000</v>
      </c>
      <c r="J109" s="87">
        <f>VLOOKUP($A109,'Data shares'!$C:$FA,93)</f>
        <v>-1.61E-2</v>
      </c>
      <c r="K109" s="86">
        <f>VLOOKUP($A109,'Data shares'!$C:$FA,94)</f>
        <v>15147000</v>
      </c>
      <c r="L109" s="86">
        <f>VLOOKUP($A109,'Data shares'!$C:$FA,96)</f>
        <v>1564000</v>
      </c>
      <c r="M109" s="87">
        <f>VLOOKUP($A109,'Data shares'!$C:$FA,97)</f>
        <v>0.11509999999999999</v>
      </c>
      <c r="N109" s="86">
        <f>VLOOKUP($A109,'Data shares'!$C:$FA,78)</f>
        <v>39516500</v>
      </c>
      <c r="O109" s="87">
        <f>VLOOKUP($A109,'Data shares'!$C:$FA,81)</f>
        <v>-5.3E-3</v>
      </c>
    </row>
    <row r="110" spans="1:15" x14ac:dyDescent="0.25">
      <c r="A110" s="100" t="str">
        <f>'OI(Value)'!A110</f>
        <v>ITC</v>
      </c>
      <c r="B110" s="82">
        <f>VLOOKUP(A110,'Data shares'!$C$2:$CV$216,98,0)</f>
        <v>205275200</v>
      </c>
      <c r="C110" s="82">
        <f>VLOOKUP(A110,'Data shares'!$C$2:$CX$216,100,0)</f>
        <v>2025600</v>
      </c>
      <c r="D110" s="141">
        <f>VLOOKUP(A110,'Data shares'!$C$2:$CY$539,101,0)</f>
        <v>0.01</v>
      </c>
      <c r="E110" s="86">
        <f>VLOOKUP($A110,'Data shares'!$C:$FA,74)</f>
        <v>129392000</v>
      </c>
      <c r="F110" s="86">
        <f>VLOOKUP($A110,'Data shares'!$C:$FA,76)</f>
        <v>4732800</v>
      </c>
      <c r="G110" s="87">
        <f>VLOOKUP(A110,'Data shares'!$C$2:$CA$216,77,0)</f>
        <v>3.7999999999999999E-2</v>
      </c>
      <c r="H110" s="86">
        <f>VLOOKUP($A110,'Data shares'!$C:$FA,90)</f>
        <v>45310400</v>
      </c>
      <c r="I110" s="86">
        <f>VLOOKUP($A110,'Data shares'!$C:$FA,92)</f>
        <v>-2059200</v>
      </c>
      <c r="J110" s="87">
        <f>VLOOKUP($A110,'Data shares'!$C:$FA,93)</f>
        <v>-4.3499999999999997E-2</v>
      </c>
      <c r="K110" s="86">
        <f>VLOOKUP($A110,'Data shares'!$C:$FA,94)</f>
        <v>30572800</v>
      </c>
      <c r="L110" s="86">
        <f>VLOOKUP($A110,'Data shares'!$C:$FA,96)</f>
        <v>-648000</v>
      </c>
      <c r="M110" s="87">
        <f>VLOOKUP($A110,'Data shares'!$C:$FA,97)</f>
        <v>-2.0799999999999999E-2</v>
      </c>
      <c r="N110" s="86">
        <f>VLOOKUP($A110,'Data shares'!$C:$FA,78)</f>
        <v>123148800</v>
      </c>
      <c r="O110" s="87">
        <f>VLOOKUP($A110,'Data shares'!$C:$FA,81)</f>
        <v>3.5400000000000001E-2</v>
      </c>
    </row>
    <row r="111" spans="1:15" x14ac:dyDescent="0.25">
      <c r="A111" s="100" t="str">
        <f>'OI(Value)'!A111</f>
        <v>JINDALSTEL</v>
      </c>
      <c r="B111" s="82">
        <f>VLOOKUP(A111,'Data shares'!$C$2:$CV$216,98,0)</f>
        <v>25828750</v>
      </c>
      <c r="C111" s="82">
        <f>VLOOKUP(A111,'Data shares'!$C$2:$CX$216,100,0)</f>
        <v>1634375</v>
      </c>
      <c r="D111" s="141">
        <f>VLOOKUP(A111,'Data shares'!$C$2:$CY$539,101,0)</f>
        <v>6.7599999999999993E-2</v>
      </c>
      <c r="E111" s="86">
        <f>VLOOKUP($A111,'Data shares'!$C:$FA,74)</f>
        <v>14206250</v>
      </c>
      <c r="F111" s="86">
        <f>VLOOKUP($A111,'Data shares'!$C:$FA,76)</f>
        <v>71875</v>
      </c>
      <c r="G111" s="87">
        <f>VLOOKUP(A111,'Data shares'!$C$2:$CA$216,77,0)</f>
        <v>5.1000000000000004E-3</v>
      </c>
      <c r="H111" s="86">
        <f>VLOOKUP($A111,'Data shares'!$C:$FA,90)</f>
        <v>7643750</v>
      </c>
      <c r="I111" s="86">
        <f>VLOOKUP($A111,'Data shares'!$C:$FA,92)</f>
        <v>1335000</v>
      </c>
      <c r="J111" s="87">
        <f>VLOOKUP($A111,'Data shares'!$C:$FA,93)</f>
        <v>0.21160000000000001</v>
      </c>
      <c r="K111" s="86">
        <f>VLOOKUP($A111,'Data shares'!$C:$FA,94)</f>
        <v>3978750</v>
      </c>
      <c r="L111" s="86">
        <f>VLOOKUP($A111,'Data shares'!$C:$FA,96)</f>
        <v>227500</v>
      </c>
      <c r="M111" s="87">
        <f>VLOOKUP($A111,'Data shares'!$C:$FA,97)</f>
        <v>6.0600000000000001E-2</v>
      </c>
      <c r="N111" s="86">
        <f>VLOOKUP($A111,'Data shares'!$C:$FA,78)</f>
        <v>14003750</v>
      </c>
      <c r="O111" s="87">
        <f>VLOOKUP($A111,'Data shares'!$C:$FA,81)</f>
        <v>2.7000000000000001E-3</v>
      </c>
    </row>
    <row r="112" spans="1:15" x14ac:dyDescent="0.25">
      <c r="A112" s="100" t="str">
        <f>'OI(Value)'!A112</f>
        <v>JIOFIN</v>
      </c>
      <c r="B112" s="82">
        <f>VLOOKUP(A112,'Data shares'!$C$2:$CV$216,98,0)</f>
        <v>228803050</v>
      </c>
      <c r="C112" s="82">
        <f>VLOOKUP(A112,'Data shares'!$C$2:$CX$216,100,0)</f>
        <v>3005650</v>
      </c>
      <c r="D112" s="141">
        <f>VLOOKUP(A112,'Data shares'!$C$2:$CY$539,101,0)</f>
        <v>1.3299999999999999E-2</v>
      </c>
      <c r="E112" s="86">
        <f>VLOOKUP($A112,'Data shares'!$C:$FA,74)</f>
        <v>135493950</v>
      </c>
      <c r="F112" s="86">
        <f>VLOOKUP($A112,'Data shares'!$C:$FA,76)</f>
        <v>723800</v>
      </c>
      <c r="G112" s="87">
        <f>VLOOKUP(A112,'Data shares'!$C$2:$CA$216,77,0)</f>
        <v>5.4000000000000003E-3</v>
      </c>
      <c r="H112" s="86">
        <f>VLOOKUP($A112,'Data shares'!$C:$FA,90)</f>
        <v>54555250</v>
      </c>
      <c r="I112" s="86">
        <f>VLOOKUP($A112,'Data shares'!$C:$FA,92)</f>
        <v>1092750</v>
      </c>
      <c r="J112" s="87">
        <f>VLOOKUP($A112,'Data shares'!$C:$FA,93)</f>
        <v>2.0400000000000001E-2</v>
      </c>
      <c r="K112" s="86">
        <f>VLOOKUP($A112,'Data shares'!$C:$FA,94)</f>
        <v>38753850</v>
      </c>
      <c r="L112" s="86">
        <f>VLOOKUP($A112,'Data shares'!$C:$FA,96)</f>
        <v>1189100</v>
      </c>
      <c r="M112" s="87">
        <f>VLOOKUP($A112,'Data shares'!$C:$FA,97)</f>
        <v>3.1699999999999999E-2</v>
      </c>
      <c r="N112" s="86">
        <f>VLOOKUP($A112,'Data shares'!$C:$FA,78)</f>
        <v>126505200</v>
      </c>
      <c r="O112" s="87">
        <f>VLOOKUP($A112,'Data shares'!$C:$FA,81)</f>
        <v>2.8E-3</v>
      </c>
    </row>
    <row r="113" spans="1:15" x14ac:dyDescent="0.25">
      <c r="A113" s="100" t="str">
        <f>'OI(Value)'!A113</f>
        <v>JSWENERGY</v>
      </c>
      <c r="B113" s="82">
        <f>VLOOKUP(A113,'Data shares'!$C$2:$CV$216,98,0)</f>
        <v>50061000</v>
      </c>
      <c r="C113" s="82">
        <f>VLOOKUP(A113,'Data shares'!$C$2:$CX$216,100,0)</f>
        <v>-565000</v>
      </c>
      <c r="D113" s="141">
        <f>VLOOKUP(A113,'Data shares'!$C$2:$CY$539,101,0)</f>
        <v>-1.12E-2</v>
      </c>
      <c r="E113" s="86">
        <f>VLOOKUP($A113,'Data shares'!$C:$FA,74)</f>
        <v>38363000</v>
      </c>
      <c r="F113" s="86">
        <f>VLOOKUP($A113,'Data shares'!$C:$FA,76)</f>
        <v>-158000</v>
      </c>
      <c r="G113" s="87">
        <f>VLOOKUP(A113,'Data shares'!$C$2:$CA$216,77,0)</f>
        <v>-4.1000000000000003E-3</v>
      </c>
      <c r="H113" s="86">
        <f>VLOOKUP($A113,'Data shares'!$C:$FA,90)</f>
        <v>7826000</v>
      </c>
      <c r="I113" s="86">
        <f>VLOOKUP($A113,'Data shares'!$C:$FA,92)</f>
        <v>-227000</v>
      </c>
      <c r="J113" s="87">
        <f>VLOOKUP($A113,'Data shares'!$C:$FA,93)</f>
        <v>-2.8199999999999999E-2</v>
      </c>
      <c r="K113" s="86">
        <f>VLOOKUP($A113,'Data shares'!$C:$FA,94)</f>
        <v>3872000</v>
      </c>
      <c r="L113" s="86">
        <f>VLOOKUP($A113,'Data shares'!$C:$FA,96)</f>
        <v>-180000</v>
      </c>
      <c r="M113" s="87">
        <f>VLOOKUP($A113,'Data shares'!$C:$FA,97)</f>
        <v>-4.4400000000000002E-2</v>
      </c>
      <c r="N113" s="86">
        <f>VLOOKUP($A113,'Data shares'!$C:$FA,78)</f>
        <v>37942000</v>
      </c>
      <c r="O113" s="87">
        <f>VLOOKUP($A113,'Data shares'!$C:$FA,81)</f>
        <v>-4.1999999999999997E-3</v>
      </c>
    </row>
    <row r="114" spans="1:15" x14ac:dyDescent="0.25">
      <c r="A114" s="100" t="str">
        <f>'OI(Value)'!A114</f>
        <v>JSWSTEEL</v>
      </c>
      <c r="B114" s="82">
        <f>VLOOKUP(A114,'Data shares'!$C$2:$CV$216,98,0)</f>
        <v>54898425</v>
      </c>
      <c r="C114" s="82">
        <f>VLOOKUP(A114,'Data shares'!$C$2:$CX$216,100,0)</f>
        <v>-216675</v>
      </c>
      <c r="D114" s="141">
        <f>VLOOKUP(A114,'Data shares'!$C$2:$CY$539,101,0)</f>
        <v>-3.8999999999999998E-3</v>
      </c>
      <c r="E114" s="86">
        <f>VLOOKUP($A114,'Data shares'!$C:$FA,74)</f>
        <v>44973900</v>
      </c>
      <c r="F114" s="86">
        <f>VLOOKUP($A114,'Data shares'!$C:$FA,76)</f>
        <v>1350</v>
      </c>
      <c r="G114" s="87">
        <f>VLOOKUP(A114,'Data shares'!$C$2:$CA$216,77,0)</f>
        <v>0</v>
      </c>
      <c r="H114" s="86">
        <f>VLOOKUP($A114,'Data shares'!$C:$FA,90)</f>
        <v>6008850</v>
      </c>
      <c r="I114" s="86">
        <f>VLOOKUP($A114,'Data shares'!$C:$FA,92)</f>
        <v>66150</v>
      </c>
      <c r="J114" s="87">
        <f>VLOOKUP($A114,'Data shares'!$C:$FA,93)</f>
        <v>1.11E-2</v>
      </c>
      <c r="K114" s="86">
        <f>VLOOKUP($A114,'Data shares'!$C:$FA,94)</f>
        <v>3915675</v>
      </c>
      <c r="L114" s="86">
        <f>VLOOKUP($A114,'Data shares'!$C:$FA,96)</f>
        <v>-284175</v>
      </c>
      <c r="M114" s="87">
        <f>VLOOKUP($A114,'Data shares'!$C:$FA,97)</f>
        <v>-6.7699999999999996E-2</v>
      </c>
      <c r="N114" s="86">
        <f>VLOOKUP($A114,'Data shares'!$C:$FA,78)</f>
        <v>44608050</v>
      </c>
      <c r="O114" s="87">
        <f>VLOOKUP($A114,'Data shares'!$C:$FA,81)</f>
        <v>-1.6000000000000001E-3</v>
      </c>
    </row>
    <row r="115" spans="1:15" x14ac:dyDescent="0.25">
      <c r="A115" s="100" t="str">
        <f>'OI(Value)'!A115</f>
        <v>JUBLFOOD</v>
      </c>
      <c r="B115" s="82">
        <f>VLOOKUP(A115,'Data shares'!$C$2:$CV$216,98,0)</f>
        <v>34743750</v>
      </c>
      <c r="C115" s="82">
        <f>VLOOKUP(A115,'Data shares'!$C$2:$CX$216,100,0)</f>
        <v>992500</v>
      </c>
      <c r="D115" s="141">
        <f>VLOOKUP(A115,'Data shares'!$C$2:$CY$539,101,0)</f>
        <v>2.9399999999999999E-2</v>
      </c>
      <c r="E115" s="86">
        <f>VLOOKUP($A115,'Data shares'!$C:$FA,74)</f>
        <v>21828750</v>
      </c>
      <c r="F115" s="86">
        <f>VLOOKUP($A115,'Data shares'!$C:$FA,76)</f>
        <v>93750</v>
      </c>
      <c r="G115" s="87">
        <f>VLOOKUP(A115,'Data shares'!$C$2:$CA$216,77,0)</f>
        <v>4.3E-3</v>
      </c>
      <c r="H115" s="86">
        <f>VLOOKUP($A115,'Data shares'!$C:$FA,90)</f>
        <v>8342500</v>
      </c>
      <c r="I115" s="86">
        <f>VLOOKUP($A115,'Data shares'!$C:$FA,92)</f>
        <v>645000</v>
      </c>
      <c r="J115" s="87">
        <f>VLOOKUP($A115,'Data shares'!$C:$FA,93)</f>
        <v>8.3799999999999999E-2</v>
      </c>
      <c r="K115" s="86">
        <f>VLOOKUP($A115,'Data shares'!$C:$FA,94)</f>
        <v>4572500</v>
      </c>
      <c r="L115" s="86">
        <f>VLOOKUP($A115,'Data shares'!$C:$FA,96)</f>
        <v>253750</v>
      </c>
      <c r="M115" s="87">
        <f>VLOOKUP($A115,'Data shares'!$C:$FA,97)</f>
        <v>5.8799999999999998E-2</v>
      </c>
      <c r="N115" s="86">
        <f>VLOOKUP($A115,'Data shares'!$C:$FA,78)</f>
        <v>21172500</v>
      </c>
      <c r="O115" s="87">
        <f>VLOOKUP($A115,'Data shares'!$C:$FA,81)</f>
        <v>4.0000000000000002E-4</v>
      </c>
    </row>
    <row r="116" spans="1:15" x14ac:dyDescent="0.25">
      <c r="A116" s="100" t="str">
        <f>'OI(Value)'!A116</f>
        <v>KALYANKJIL</v>
      </c>
      <c r="B116" s="82">
        <f>VLOOKUP(A116,'Data shares'!$C$2:$CV$216,98,0)</f>
        <v>53584700</v>
      </c>
      <c r="C116" s="82">
        <f>VLOOKUP(A116,'Data shares'!$C$2:$CX$216,100,0)</f>
        <v>345450</v>
      </c>
      <c r="D116" s="141">
        <f>VLOOKUP(A116,'Data shares'!$C$2:$CY$539,101,0)</f>
        <v>6.4999999999999997E-3</v>
      </c>
      <c r="E116" s="86">
        <f>VLOOKUP($A116,'Data shares'!$C:$FA,74)</f>
        <v>30989450</v>
      </c>
      <c r="F116" s="86">
        <f>VLOOKUP($A116,'Data shares'!$C:$FA,76)</f>
        <v>-111625</v>
      </c>
      <c r="G116" s="87">
        <f>VLOOKUP(A116,'Data shares'!$C$2:$CA$216,77,0)</f>
        <v>-3.5999999999999999E-3</v>
      </c>
      <c r="H116" s="86">
        <f>VLOOKUP($A116,'Data shares'!$C:$FA,90)</f>
        <v>14722750</v>
      </c>
      <c r="I116" s="86">
        <f>VLOOKUP($A116,'Data shares'!$C:$FA,92)</f>
        <v>316075</v>
      </c>
      <c r="J116" s="87">
        <f>VLOOKUP($A116,'Data shares'!$C:$FA,93)</f>
        <v>2.1899999999999999E-2</v>
      </c>
      <c r="K116" s="86">
        <f>VLOOKUP($A116,'Data shares'!$C:$FA,94)</f>
        <v>7872500</v>
      </c>
      <c r="L116" s="86">
        <f>VLOOKUP($A116,'Data shares'!$C:$FA,96)</f>
        <v>141000</v>
      </c>
      <c r="M116" s="87">
        <f>VLOOKUP($A116,'Data shares'!$C:$FA,97)</f>
        <v>1.8200000000000001E-2</v>
      </c>
      <c r="N116" s="86">
        <f>VLOOKUP($A116,'Data shares'!$C:$FA,78)</f>
        <v>29867325</v>
      </c>
      <c r="O116" s="87">
        <f>VLOOKUP($A116,'Data shares'!$C:$FA,81)</f>
        <v>-3.3E-3</v>
      </c>
    </row>
    <row r="117" spans="1:15" x14ac:dyDescent="0.25">
      <c r="A117" s="100" t="str">
        <f>'OI(Value)'!A117</f>
        <v>KAYNES</v>
      </c>
      <c r="B117" s="82">
        <f>VLOOKUP(A117,'Data shares'!$C$2:$CV$216,98,0)</f>
        <v>3731600</v>
      </c>
      <c r="C117" s="82">
        <f>VLOOKUP(A117,'Data shares'!$C$2:$CX$216,100,0)</f>
        <v>86700</v>
      </c>
      <c r="D117" s="141">
        <f>VLOOKUP(A117,'Data shares'!$C$2:$CY$539,101,0)</f>
        <v>2.3800000000000002E-2</v>
      </c>
      <c r="E117" s="86">
        <f>VLOOKUP($A117,'Data shares'!$C:$FA,74)</f>
        <v>1369700</v>
      </c>
      <c r="F117" s="86">
        <f>VLOOKUP($A117,'Data shares'!$C:$FA,76)</f>
        <v>16600</v>
      </c>
      <c r="G117" s="87">
        <f>VLOOKUP(A117,'Data shares'!$C$2:$CA$216,77,0)</f>
        <v>1.23E-2</v>
      </c>
      <c r="H117" s="86">
        <f>VLOOKUP($A117,'Data shares'!$C:$FA,90)</f>
        <v>1583100</v>
      </c>
      <c r="I117" s="86">
        <f>VLOOKUP($A117,'Data shares'!$C:$FA,92)</f>
        <v>34500</v>
      </c>
      <c r="J117" s="87">
        <f>VLOOKUP($A117,'Data shares'!$C:$FA,93)</f>
        <v>2.23E-2</v>
      </c>
      <c r="K117" s="86">
        <f>VLOOKUP($A117,'Data shares'!$C:$FA,94)</f>
        <v>778800</v>
      </c>
      <c r="L117" s="86">
        <f>VLOOKUP($A117,'Data shares'!$C:$FA,96)</f>
        <v>35600</v>
      </c>
      <c r="M117" s="87">
        <f>VLOOKUP($A117,'Data shares'!$C:$FA,97)</f>
        <v>4.7899999999999998E-2</v>
      </c>
      <c r="N117" s="86">
        <f>VLOOKUP($A117,'Data shares'!$C:$FA,78)</f>
        <v>1303800</v>
      </c>
      <c r="O117" s="87">
        <f>VLOOKUP($A117,'Data shares'!$C:$FA,81)</f>
        <v>9.2999999999999992E-3</v>
      </c>
    </row>
    <row r="118" spans="1:15" x14ac:dyDescent="0.25">
      <c r="A118" s="100" t="str">
        <f>'OI(Value)'!A118</f>
        <v>KEI</v>
      </c>
      <c r="B118" s="82">
        <f>VLOOKUP(A118,'Data shares'!$C$2:$CV$216,98,0)</f>
        <v>2115225</v>
      </c>
      <c r="C118" s="82">
        <f>VLOOKUP(A118,'Data shares'!$C$2:$CX$216,100,0)</f>
        <v>-16625</v>
      </c>
      <c r="D118" s="141">
        <f>VLOOKUP(A118,'Data shares'!$C$2:$CY$539,101,0)</f>
        <v>-7.7999999999999996E-3</v>
      </c>
      <c r="E118" s="86">
        <f>VLOOKUP($A118,'Data shares'!$C:$FA,74)</f>
        <v>1430450</v>
      </c>
      <c r="F118" s="86">
        <f>VLOOKUP($A118,'Data shares'!$C:$FA,76)</f>
        <v>-6825</v>
      </c>
      <c r="G118" s="87">
        <f>VLOOKUP(A118,'Data shares'!$C$2:$CA$216,77,0)</f>
        <v>-4.7000000000000002E-3</v>
      </c>
      <c r="H118" s="86">
        <f>VLOOKUP($A118,'Data shares'!$C:$FA,90)</f>
        <v>377650</v>
      </c>
      <c r="I118" s="86">
        <f>VLOOKUP($A118,'Data shares'!$C:$FA,92)</f>
        <v>-18375</v>
      </c>
      <c r="J118" s="87">
        <f>VLOOKUP($A118,'Data shares'!$C:$FA,93)</f>
        <v>-4.6399999999999997E-2</v>
      </c>
      <c r="K118" s="86">
        <f>VLOOKUP($A118,'Data shares'!$C:$FA,94)</f>
        <v>307125</v>
      </c>
      <c r="L118" s="86">
        <f>VLOOKUP($A118,'Data shares'!$C:$FA,96)</f>
        <v>8575</v>
      </c>
      <c r="M118" s="87">
        <f>VLOOKUP($A118,'Data shares'!$C:$FA,97)</f>
        <v>2.87E-2</v>
      </c>
      <c r="N118" s="86">
        <f>VLOOKUP($A118,'Data shares'!$C:$FA,78)</f>
        <v>1415050</v>
      </c>
      <c r="O118" s="87">
        <f>VLOOKUP($A118,'Data shares'!$C:$FA,81)</f>
        <v>-4.1000000000000003E-3</v>
      </c>
    </row>
    <row r="119" spans="1:15" x14ac:dyDescent="0.25">
      <c r="A119" s="100" t="str">
        <f>'OI(Value)'!A119</f>
        <v>KFINTECH</v>
      </c>
      <c r="B119" s="82">
        <f>VLOOKUP(A119,'Data shares'!$C$2:$CV$216,98,0)</f>
        <v>4368600</v>
      </c>
      <c r="C119" s="82">
        <f>VLOOKUP(A119,'Data shares'!$C$2:$CX$216,100,0)</f>
        <v>-108900</v>
      </c>
      <c r="D119" s="141">
        <f>VLOOKUP(A119,'Data shares'!$C$2:$CY$539,101,0)</f>
        <v>-2.4299999999999999E-2</v>
      </c>
      <c r="E119" s="86">
        <f>VLOOKUP($A119,'Data shares'!$C:$FA,74)</f>
        <v>2547450</v>
      </c>
      <c r="F119" s="86">
        <f>VLOOKUP($A119,'Data shares'!$C:$FA,76)</f>
        <v>-110700</v>
      </c>
      <c r="G119" s="87">
        <f>VLOOKUP(A119,'Data shares'!$C$2:$CA$216,77,0)</f>
        <v>-4.1599999999999998E-2</v>
      </c>
      <c r="H119" s="86">
        <f>VLOOKUP($A119,'Data shares'!$C:$FA,90)</f>
        <v>1042650</v>
      </c>
      <c r="I119" s="86">
        <f>VLOOKUP($A119,'Data shares'!$C:$FA,92)</f>
        <v>-147150</v>
      </c>
      <c r="J119" s="87">
        <f>VLOOKUP($A119,'Data shares'!$C:$FA,93)</f>
        <v>-0.1237</v>
      </c>
      <c r="K119" s="86">
        <f>VLOOKUP($A119,'Data shares'!$C:$FA,94)</f>
        <v>778500</v>
      </c>
      <c r="L119" s="86">
        <f>VLOOKUP($A119,'Data shares'!$C:$FA,96)</f>
        <v>148950</v>
      </c>
      <c r="M119" s="87">
        <f>VLOOKUP($A119,'Data shares'!$C:$FA,97)</f>
        <v>0.2366</v>
      </c>
      <c r="N119" s="86">
        <f>VLOOKUP($A119,'Data shares'!$C:$FA,78)</f>
        <v>2409750</v>
      </c>
      <c r="O119" s="87">
        <f>VLOOKUP($A119,'Data shares'!$C:$FA,81)</f>
        <v>-4.6300000000000001E-2</v>
      </c>
    </row>
    <row r="120" spans="1:15" x14ac:dyDescent="0.25">
      <c r="A120" s="100" t="str">
        <f>'OI(Value)'!A120</f>
        <v>KOTAKBANK</v>
      </c>
      <c r="B120" s="82">
        <f>VLOOKUP(A120,'Data shares'!$C$2:$CV$216,98,0)</f>
        <v>51139600</v>
      </c>
      <c r="C120" s="82">
        <f>VLOOKUP(A120,'Data shares'!$C$2:$CX$216,100,0)</f>
        <v>-51600</v>
      </c>
      <c r="D120" s="141">
        <f>VLOOKUP(A120,'Data shares'!$C$2:$CY$539,101,0)</f>
        <v>-1E-3</v>
      </c>
      <c r="E120" s="86">
        <f>VLOOKUP($A120,'Data shares'!$C:$FA,74)</f>
        <v>33767200</v>
      </c>
      <c r="F120" s="86">
        <f>VLOOKUP($A120,'Data shares'!$C:$FA,76)</f>
        <v>-295200</v>
      </c>
      <c r="G120" s="87">
        <f>VLOOKUP(A120,'Data shares'!$C$2:$CA$216,77,0)</f>
        <v>-8.6999999999999994E-3</v>
      </c>
      <c r="H120" s="86">
        <f>VLOOKUP($A120,'Data shares'!$C:$FA,90)</f>
        <v>8418800</v>
      </c>
      <c r="I120" s="86">
        <f>VLOOKUP($A120,'Data shares'!$C:$FA,92)</f>
        <v>82000</v>
      </c>
      <c r="J120" s="87">
        <f>VLOOKUP($A120,'Data shares'!$C:$FA,93)</f>
        <v>9.7999999999999997E-3</v>
      </c>
      <c r="K120" s="86">
        <f>VLOOKUP($A120,'Data shares'!$C:$FA,94)</f>
        <v>8953600</v>
      </c>
      <c r="L120" s="86">
        <f>VLOOKUP($A120,'Data shares'!$C:$FA,96)</f>
        <v>161600</v>
      </c>
      <c r="M120" s="87">
        <f>VLOOKUP($A120,'Data shares'!$C:$FA,97)</f>
        <v>1.84E-2</v>
      </c>
      <c r="N120" s="86">
        <f>VLOOKUP($A120,'Data shares'!$C:$FA,78)</f>
        <v>32368800</v>
      </c>
      <c r="O120" s="87">
        <f>VLOOKUP($A120,'Data shares'!$C:$FA,81)</f>
        <v>-1.15E-2</v>
      </c>
    </row>
    <row r="121" spans="1:15" x14ac:dyDescent="0.25">
      <c r="A121" s="100" t="str">
        <f>'OI(Value)'!A121</f>
        <v>KPITTECH</v>
      </c>
      <c r="B121" s="82">
        <f>VLOOKUP(A121,'Data shares'!$C$2:$CV$216,98,0)</f>
        <v>10459200</v>
      </c>
      <c r="C121" s="82">
        <f>VLOOKUP(A121,'Data shares'!$C$2:$CX$216,100,0)</f>
        <v>225600</v>
      </c>
      <c r="D121" s="141">
        <f>VLOOKUP(A121,'Data shares'!$C$2:$CY$539,101,0)</f>
        <v>2.1999999999999999E-2</v>
      </c>
      <c r="E121" s="86">
        <f>VLOOKUP($A121,'Data shares'!$C:$FA,74)</f>
        <v>4805200</v>
      </c>
      <c r="F121" s="86">
        <f>VLOOKUP($A121,'Data shares'!$C:$FA,76)</f>
        <v>-65200</v>
      </c>
      <c r="G121" s="87">
        <f>VLOOKUP(A121,'Data shares'!$C$2:$CA$216,77,0)</f>
        <v>-1.34E-2</v>
      </c>
      <c r="H121" s="86">
        <f>VLOOKUP($A121,'Data shares'!$C:$FA,90)</f>
        <v>3413200</v>
      </c>
      <c r="I121" s="86">
        <f>VLOOKUP($A121,'Data shares'!$C:$FA,92)</f>
        <v>147600</v>
      </c>
      <c r="J121" s="87">
        <f>VLOOKUP($A121,'Data shares'!$C:$FA,93)</f>
        <v>4.5199999999999997E-2</v>
      </c>
      <c r="K121" s="86">
        <f>VLOOKUP($A121,'Data shares'!$C:$FA,94)</f>
        <v>2240800</v>
      </c>
      <c r="L121" s="86">
        <f>VLOOKUP($A121,'Data shares'!$C:$FA,96)</f>
        <v>143200</v>
      </c>
      <c r="M121" s="87">
        <f>VLOOKUP($A121,'Data shares'!$C:$FA,97)</f>
        <v>6.83E-2</v>
      </c>
      <c r="N121" s="86">
        <f>VLOOKUP($A121,'Data shares'!$C:$FA,78)</f>
        <v>4470400</v>
      </c>
      <c r="O121" s="87">
        <f>VLOOKUP($A121,'Data shares'!$C:$FA,81)</f>
        <v>-2.1499999999999998E-2</v>
      </c>
    </row>
    <row r="122" spans="1:15" x14ac:dyDescent="0.25">
      <c r="A122" s="100" t="str">
        <f>'OI(Value)'!A122</f>
        <v>LAURUSLABS</v>
      </c>
      <c r="B122" s="82">
        <f>VLOOKUP(A122,'Data shares'!$C$2:$CV$216,98,0)</f>
        <v>42552700</v>
      </c>
      <c r="C122" s="82">
        <f>VLOOKUP(A122,'Data shares'!$C$2:$CX$216,100,0)</f>
        <v>2993700</v>
      </c>
      <c r="D122" s="141">
        <f>VLOOKUP(A122,'Data shares'!$C$2:$CY$539,101,0)</f>
        <v>7.5700000000000003E-2</v>
      </c>
      <c r="E122" s="86">
        <f>VLOOKUP($A122,'Data shares'!$C:$FA,74)</f>
        <v>21799100</v>
      </c>
      <c r="F122" s="86">
        <f>VLOOKUP($A122,'Data shares'!$C:$FA,76)</f>
        <v>742900</v>
      </c>
      <c r="G122" s="87">
        <f>VLOOKUP(A122,'Data shares'!$C$2:$CA$216,77,0)</f>
        <v>3.5299999999999998E-2</v>
      </c>
      <c r="H122" s="86">
        <f>VLOOKUP($A122,'Data shares'!$C:$FA,90)</f>
        <v>13302500</v>
      </c>
      <c r="I122" s="86">
        <f>VLOOKUP($A122,'Data shares'!$C:$FA,92)</f>
        <v>1343000</v>
      </c>
      <c r="J122" s="87">
        <f>VLOOKUP($A122,'Data shares'!$C:$FA,93)</f>
        <v>0.1123</v>
      </c>
      <c r="K122" s="86">
        <f>VLOOKUP($A122,'Data shares'!$C:$FA,94)</f>
        <v>7451100</v>
      </c>
      <c r="L122" s="86">
        <f>VLOOKUP($A122,'Data shares'!$C:$FA,96)</f>
        <v>907800</v>
      </c>
      <c r="M122" s="87">
        <f>VLOOKUP($A122,'Data shares'!$C:$FA,97)</f>
        <v>0.13869999999999999</v>
      </c>
      <c r="N122" s="86">
        <f>VLOOKUP($A122,'Data shares'!$C:$FA,78)</f>
        <v>20666900</v>
      </c>
      <c r="O122" s="87">
        <f>VLOOKUP($A122,'Data shares'!$C:$FA,81)</f>
        <v>1.7500000000000002E-2</v>
      </c>
    </row>
    <row r="123" spans="1:15" x14ac:dyDescent="0.25">
      <c r="A123" s="100" t="str">
        <f>'OI(Value)'!A123</f>
        <v>LICHSGFIN</v>
      </c>
      <c r="B123" s="82">
        <f>VLOOKUP(A123,'Data shares'!$C$2:$CV$216,98,0)</f>
        <v>48038000</v>
      </c>
      <c r="C123" s="82">
        <f>VLOOKUP(A123,'Data shares'!$C$2:$CX$216,100,0)</f>
        <v>117000</v>
      </c>
      <c r="D123" s="141">
        <f>VLOOKUP(A123,'Data shares'!$C$2:$CY$539,101,0)</f>
        <v>2.3999999999999998E-3</v>
      </c>
      <c r="E123" s="86">
        <f>VLOOKUP($A123,'Data shares'!$C:$FA,74)</f>
        <v>32325000</v>
      </c>
      <c r="F123" s="86">
        <f>VLOOKUP($A123,'Data shares'!$C:$FA,76)</f>
        <v>-17000</v>
      </c>
      <c r="G123" s="87">
        <f>VLOOKUP(A123,'Data shares'!$C$2:$CA$216,77,0)</f>
        <v>-5.0000000000000001E-4</v>
      </c>
      <c r="H123" s="86">
        <f>VLOOKUP($A123,'Data shares'!$C:$FA,90)</f>
        <v>9090000</v>
      </c>
      <c r="I123" s="86">
        <f>VLOOKUP($A123,'Data shares'!$C:$FA,92)</f>
        <v>97000</v>
      </c>
      <c r="J123" s="87">
        <f>VLOOKUP($A123,'Data shares'!$C:$FA,93)</f>
        <v>1.0800000000000001E-2</v>
      </c>
      <c r="K123" s="86">
        <f>VLOOKUP($A123,'Data shares'!$C:$FA,94)</f>
        <v>6623000</v>
      </c>
      <c r="L123" s="86">
        <f>VLOOKUP($A123,'Data shares'!$C:$FA,96)</f>
        <v>37000</v>
      </c>
      <c r="M123" s="87">
        <f>VLOOKUP($A123,'Data shares'!$C:$FA,97)</f>
        <v>5.5999999999999999E-3</v>
      </c>
      <c r="N123" s="86">
        <f>VLOOKUP($A123,'Data shares'!$C:$FA,78)</f>
        <v>31081000</v>
      </c>
      <c r="O123" s="87">
        <f>VLOOKUP($A123,'Data shares'!$C:$FA,81)</f>
        <v>-2.3999999999999998E-3</v>
      </c>
    </row>
    <row r="124" spans="1:15" x14ac:dyDescent="0.25">
      <c r="A124" s="100" t="str">
        <f>'OI(Value)'!A124</f>
        <v>LICI</v>
      </c>
      <c r="B124" s="82">
        <f>VLOOKUP(A124,'Data shares'!$C$2:$CV$216,98,0)</f>
        <v>14641900</v>
      </c>
      <c r="C124" s="82">
        <f>VLOOKUP(A124,'Data shares'!$C$2:$CX$216,100,0)</f>
        <v>189000</v>
      </c>
      <c r="D124" s="141">
        <f>VLOOKUP(A124,'Data shares'!$C$2:$CY$539,101,0)</f>
        <v>1.3100000000000001E-2</v>
      </c>
      <c r="E124" s="86">
        <f>VLOOKUP($A124,'Data shares'!$C:$FA,74)</f>
        <v>7978600</v>
      </c>
      <c r="F124" s="86">
        <f>VLOOKUP($A124,'Data shares'!$C:$FA,76)</f>
        <v>25900</v>
      </c>
      <c r="G124" s="87">
        <f>VLOOKUP(A124,'Data shares'!$C$2:$CA$216,77,0)</f>
        <v>3.3E-3</v>
      </c>
      <c r="H124" s="86">
        <f>VLOOKUP($A124,'Data shares'!$C:$FA,90)</f>
        <v>4687900</v>
      </c>
      <c r="I124" s="86">
        <f>VLOOKUP($A124,'Data shares'!$C:$FA,92)</f>
        <v>132300</v>
      </c>
      <c r="J124" s="87">
        <f>VLOOKUP($A124,'Data shares'!$C:$FA,93)</f>
        <v>2.9000000000000001E-2</v>
      </c>
      <c r="K124" s="86">
        <f>VLOOKUP($A124,'Data shares'!$C:$FA,94)</f>
        <v>1975400</v>
      </c>
      <c r="L124" s="86">
        <f>VLOOKUP($A124,'Data shares'!$C:$FA,96)</f>
        <v>30800</v>
      </c>
      <c r="M124" s="87">
        <f>VLOOKUP($A124,'Data shares'!$C:$FA,97)</f>
        <v>1.5800000000000002E-2</v>
      </c>
      <c r="N124" s="86">
        <f>VLOOKUP($A124,'Data shares'!$C:$FA,78)</f>
        <v>7407400</v>
      </c>
      <c r="O124" s="87">
        <f>VLOOKUP($A124,'Data shares'!$C:$FA,81)</f>
        <v>1.4E-3</v>
      </c>
    </row>
    <row r="125" spans="1:15" x14ac:dyDescent="0.25">
      <c r="A125" s="100" t="str">
        <f>'OI(Value)'!A125</f>
        <v>LODHA</v>
      </c>
      <c r="B125" s="82">
        <f>VLOOKUP(A125,'Data shares'!$C$2:$CV$216,98,0)</f>
        <v>18088650</v>
      </c>
      <c r="C125" s="82">
        <f>VLOOKUP(A125,'Data shares'!$C$2:$CX$216,100,0)</f>
        <v>-102600</v>
      </c>
      <c r="D125" s="141">
        <f>VLOOKUP(A125,'Data shares'!$C$2:$CY$539,101,0)</f>
        <v>-5.5999999999999999E-3</v>
      </c>
      <c r="E125" s="86">
        <f>VLOOKUP($A125,'Data shares'!$C:$FA,74)</f>
        <v>12470400</v>
      </c>
      <c r="F125" s="86">
        <f>VLOOKUP($A125,'Data shares'!$C:$FA,76)</f>
        <v>-60750</v>
      </c>
      <c r="G125" s="87">
        <f>VLOOKUP(A125,'Data shares'!$C$2:$CA$216,77,0)</f>
        <v>-4.7999999999999996E-3</v>
      </c>
      <c r="H125" s="86">
        <f>VLOOKUP($A125,'Data shares'!$C:$FA,90)</f>
        <v>3424500</v>
      </c>
      <c r="I125" s="86">
        <f>VLOOKUP($A125,'Data shares'!$C:$FA,92)</f>
        <v>-56250</v>
      </c>
      <c r="J125" s="87">
        <f>VLOOKUP($A125,'Data shares'!$C:$FA,93)</f>
        <v>-1.6199999999999999E-2</v>
      </c>
      <c r="K125" s="86">
        <f>VLOOKUP($A125,'Data shares'!$C:$FA,94)</f>
        <v>2193750</v>
      </c>
      <c r="L125" s="86">
        <f>VLOOKUP($A125,'Data shares'!$C:$FA,96)</f>
        <v>14400</v>
      </c>
      <c r="M125" s="87">
        <f>VLOOKUP($A125,'Data shares'!$C:$FA,97)</f>
        <v>6.6E-3</v>
      </c>
      <c r="N125" s="86">
        <f>VLOOKUP($A125,'Data shares'!$C:$FA,78)</f>
        <v>12034800</v>
      </c>
      <c r="O125" s="87">
        <f>VLOOKUP($A125,'Data shares'!$C:$FA,81)</f>
        <v>-1.8E-3</v>
      </c>
    </row>
    <row r="126" spans="1:15" x14ac:dyDescent="0.25">
      <c r="A126" s="100" t="str">
        <f>'OI(Value)'!A126</f>
        <v>LT</v>
      </c>
      <c r="B126" s="82">
        <f>VLOOKUP(A126,'Data shares'!$C$2:$CV$216,98,0)</f>
        <v>25457250</v>
      </c>
      <c r="C126" s="82">
        <f>VLOOKUP(A126,'Data shares'!$C$2:$CX$216,100,0)</f>
        <v>588350</v>
      </c>
      <c r="D126" s="141">
        <f>VLOOKUP(A126,'Data shares'!$C$2:$CY$539,101,0)</f>
        <v>2.3699999999999999E-2</v>
      </c>
      <c r="E126" s="86">
        <f>VLOOKUP($A126,'Data shares'!$C:$FA,74)</f>
        <v>16010050</v>
      </c>
      <c r="F126" s="86">
        <f>VLOOKUP($A126,'Data shares'!$C:$FA,76)</f>
        <v>-140350</v>
      </c>
      <c r="G126" s="87">
        <f>VLOOKUP(A126,'Data shares'!$C$2:$CA$216,77,0)</f>
        <v>-8.6999999999999994E-3</v>
      </c>
      <c r="H126" s="86">
        <f>VLOOKUP($A126,'Data shares'!$C:$FA,90)</f>
        <v>6306475</v>
      </c>
      <c r="I126" s="86">
        <f>VLOOKUP($A126,'Data shares'!$C:$FA,92)</f>
        <v>501025</v>
      </c>
      <c r="J126" s="87">
        <f>VLOOKUP($A126,'Data shares'!$C:$FA,93)</f>
        <v>8.6300000000000002E-2</v>
      </c>
      <c r="K126" s="86">
        <f>VLOOKUP($A126,'Data shares'!$C:$FA,94)</f>
        <v>3140725</v>
      </c>
      <c r="L126" s="86">
        <f>VLOOKUP($A126,'Data shares'!$C:$FA,96)</f>
        <v>227675</v>
      </c>
      <c r="M126" s="87">
        <f>VLOOKUP($A126,'Data shares'!$C:$FA,97)</f>
        <v>7.8200000000000006E-2</v>
      </c>
      <c r="N126" s="86">
        <f>VLOOKUP($A126,'Data shares'!$C:$FA,78)</f>
        <v>15516550</v>
      </c>
      <c r="O126" s="87">
        <f>VLOOKUP($A126,'Data shares'!$C:$FA,81)</f>
        <v>-1.4200000000000001E-2</v>
      </c>
    </row>
    <row r="127" spans="1:15" x14ac:dyDescent="0.25">
      <c r="A127" s="100" t="str">
        <f>'OI(Value)'!A127</f>
        <v>LTF</v>
      </c>
      <c r="B127" s="82">
        <f>VLOOKUP(A127,'Data shares'!$C$2:$CV$216,98,0)</f>
        <v>101608664</v>
      </c>
      <c r="C127" s="82">
        <f>VLOOKUP(A127,'Data shares'!$C$2:$CX$216,100,0)</f>
        <v>2744130</v>
      </c>
      <c r="D127" s="141">
        <f>VLOOKUP(A127,'Data shares'!$C$2:$CY$539,101,0)</f>
        <v>2.7799999999999998E-2</v>
      </c>
      <c r="E127" s="86">
        <f>VLOOKUP($A127,'Data shares'!$C:$FA,74)</f>
        <v>50099336</v>
      </c>
      <c r="F127" s="86">
        <f>VLOOKUP($A127,'Data shares'!$C:$FA,76)</f>
        <v>624680</v>
      </c>
      <c r="G127" s="87">
        <f>VLOOKUP(A127,'Data shares'!$C$2:$CA$216,77,0)</f>
        <v>1.26E-2</v>
      </c>
      <c r="H127" s="86">
        <f>VLOOKUP($A127,'Data shares'!$C:$FA,90)</f>
        <v>27392218</v>
      </c>
      <c r="I127" s="86">
        <f>VLOOKUP($A127,'Data shares'!$C:$FA,92)</f>
        <v>1552776</v>
      </c>
      <c r="J127" s="87">
        <f>VLOOKUP($A127,'Data shares'!$C:$FA,93)</f>
        <v>6.0100000000000001E-2</v>
      </c>
      <c r="K127" s="86">
        <f>VLOOKUP($A127,'Data shares'!$C:$FA,94)</f>
        <v>24117110</v>
      </c>
      <c r="L127" s="86">
        <f>VLOOKUP($A127,'Data shares'!$C:$FA,96)</f>
        <v>566674</v>
      </c>
      <c r="M127" s="87">
        <f>VLOOKUP($A127,'Data shares'!$C:$FA,97)</f>
        <v>2.41E-2</v>
      </c>
      <c r="N127" s="86">
        <f>VLOOKUP($A127,'Data shares'!$C:$FA,78)</f>
        <v>47895108</v>
      </c>
      <c r="O127" s="87">
        <f>VLOOKUP($A127,'Data shares'!$C:$FA,81)</f>
        <v>7.1999999999999998E-3</v>
      </c>
    </row>
    <row r="128" spans="1:15" x14ac:dyDescent="0.25">
      <c r="A128" s="100" t="str">
        <f>'OI(Value)'!A128</f>
        <v>LTIM</v>
      </c>
      <c r="B128" s="82">
        <f>VLOOKUP(A128,'Data shares'!$C$2:$CV$216,98,0)</f>
        <v>4181400</v>
      </c>
      <c r="C128" s="82">
        <f>VLOOKUP(A128,'Data shares'!$C$2:$CX$216,100,0)</f>
        <v>120750</v>
      </c>
      <c r="D128" s="141">
        <f>VLOOKUP(A128,'Data shares'!$C$2:$CY$539,101,0)</f>
        <v>2.9700000000000001E-2</v>
      </c>
      <c r="E128" s="86">
        <f>VLOOKUP($A128,'Data shares'!$C:$FA,74)</f>
        <v>2781600</v>
      </c>
      <c r="F128" s="86">
        <f>VLOOKUP($A128,'Data shares'!$C:$FA,76)</f>
        <v>90750</v>
      </c>
      <c r="G128" s="87">
        <f>VLOOKUP(A128,'Data shares'!$C$2:$CA$216,77,0)</f>
        <v>3.3700000000000001E-2</v>
      </c>
      <c r="H128" s="86">
        <f>VLOOKUP($A128,'Data shares'!$C:$FA,90)</f>
        <v>809400</v>
      </c>
      <c r="I128" s="86">
        <f>VLOOKUP($A128,'Data shares'!$C:$FA,92)</f>
        <v>13950</v>
      </c>
      <c r="J128" s="87">
        <f>VLOOKUP($A128,'Data shares'!$C:$FA,93)</f>
        <v>1.7500000000000002E-2</v>
      </c>
      <c r="K128" s="86">
        <f>VLOOKUP($A128,'Data shares'!$C:$FA,94)</f>
        <v>590400</v>
      </c>
      <c r="L128" s="86">
        <f>VLOOKUP($A128,'Data shares'!$C:$FA,96)</f>
        <v>16050</v>
      </c>
      <c r="M128" s="87">
        <f>VLOOKUP($A128,'Data shares'!$C:$FA,97)</f>
        <v>2.7900000000000001E-2</v>
      </c>
      <c r="N128" s="86">
        <f>VLOOKUP($A128,'Data shares'!$C:$FA,78)</f>
        <v>2646750</v>
      </c>
      <c r="O128" s="87">
        <f>VLOOKUP($A128,'Data shares'!$C:$FA,81)</f>
        <v>2.8500000000000001E-2</v>
      </c>
    </row>
    <row r="129" spans="1:15" x14ac:dyDescent="0.25">
      <c r="A129" s="100" t="str">
        <f>'OI(Value)'!A129</f>
        <v>LUPIN</v>
      </c>
      <c r="B129" s="82">
        <f>VLOOKUP(A129,'Data shares'!$C$2:$CV$216,98,0)</f>
        <v>16891200</v>
      </c>
      <c r="C129" s="82">
        <f>VLOOKUP(A129,'Data shares'!$C$2:$CX$216,100,0)</f>
        <v>-87125</v>
      </c>
      <c r="D129" s="141">
        <f>VLOOKUP(A129,'Data shares'!$C$2:$CY$539,101,0)</f>
        <v>-5.1000000000000004E-3</v>
      </c>
      <c r="E129" s="86">
        <f>VLOOKUP($A129,'Data shares'!$C:$FA,74)</f>
        <v>11430800</v>
      </c>
      <c r="F129" s="86">
        <f>VLOOKUP($A129,'Data shares'!$C:$FA,76)</f>
        <v>138125</v>
      </c>
      <c r="G129" s="87">
        <f>VLOOKUP(A129,'Data shares'!$C$2:$CA$216,77,0)</f>
        <v>1.2200000000000001E-2</v>
      </c>
      <c r="H129" s="86">
        <f>VLOOKUP($A129,'Data shares'!$C:$FA,90)</f>
        <v>3256775</v>
      </c>
      <c r="I129" s="86">
        <f>VLOOKUP($A129,'Data shares'!$C:$FA,92)</f>
        <v>-139825</v>
      </c>
      <c r="J129" s="87">
        <f>VLOOKUP($A129,'Data shares'!$C:$FA,93)</f>
        <v>-4.1200000000000001E-2</v>
      </c>
      <c r="K129" s="86">
        <f>VLOOKUP($A129,'Data shares'!$C:$FA,94)</f>
        <v>2203625</v>
      </c>
      <c r="L129" s="86">
        <f>VLOOKUP($A129,'Data shares'!$C:$FA,96)</f>
        <v>-85425</v>
      </c>
      <c r="M129" s="87">
        <f>VLOOKUP($A129,'Data shares'!$C:$FA,97)</f>
        <v>-3.73E-2</v>
      </c>
      <c r="N129" s="86">
        <f>VLOOKUP($A129,'Data shares'!$C:$FA,78)</f>
        <v>11255700</v>
      </c>
      <c r="O129" s="87">
        <f>VLOOKUP($A129,'Data shares'!$C:$FA,81)</f>
        <v>1.17E-2</v>
      </c>
    </row>
    <row r="130" spans="1:15" x14ac:dyDescent="0.25">
      <c r="A130" s="100" t="str">
        <f>'OI(Value)'!A130</f>
        <v>M&amp;M</v>
      </c>
      <c r="B130" s="82">
        <f>VLOOKUP(A130,'Data shares'!$C$2:$CV$216,98,0)</f>
        <v>29538800</v>
      </c>
      <c r="C130" s="82">
        <f>VLOOKUP(A130,'Data shares'!$C$2:$CX$216,100,0)</f>
        <v>284400</v>
      </c>
      <c r="D130" s="141">
        <f>VLOOKUP(A130,'Data shares'!$C$2:$CY$539,101,0)</f>
        <v>9.7000000000000003E-3</v>
      </c>
      <c r="E130" s="86">
        <f>VLOOKUP($A130,'Data shares'!$C:$FA,74)</f>
        <v>20408600</v>
      </c>
      <c r="F130" s="86">
        <f>VLOOKUP($A130,'Data shares'!$C:$FA,76)</f>
        <v>154600</v>
      </c>
      <c r="G130" s="87">
        <f>VLOOKUP(A130,'Data shares'!$C$2:$CA$216,77,0)</f>
        <v>7.6E-3</v>
      </c>
      <c r="H130" s="86">
        <f>VLOOKUP($A130,'Data shares'!$C:$FA,90)</f>
        <v>6057200</v>
      </c>
      <c r="I130" s="86">
        <f>VLOOKUP($A130,'Data shares'!$C:$FA,92)</f>
        <v>58200</v>
      </c>
      <c r="J130" s="87">
        <f>VLOOKUP($A130,'Data shares'!$C:$FA,93)</f>
        <v>9.7000000000000003E-3</v>
      </c>
      <c r="K130" s="86">
        <f>VLOOKUP($A130,'Data shares'!$C:$FA,94)</f>
        <v>3073000</v>
      </c>
      <c r="L130" s="86">
        <f>VLOOKUP($A130,'Data shares'!$C:$FA,96)</f>
        <v>71600</v>
      </c>
      <c r="M130" s="87">
        <f>VLOOKUP($A130,'Data shares'!$C:$FA,97)</f>
        <v>2.3900000000000001E-2</v>
      </c>
      <c r="N130" s="86">
        <f>VLOOKUP($A130,'Data shares'!$C:$FA,78)</f>
        <v>19932200</v>
      </c>
      <c r="O130" s="87">
        <f>VLOOKUP($A130,'Data shares'!$C:$FA,81)</f>
        <v>4.8999999999999998E-3</v>
      </c>
    </row>
    <row r="131" spans="1:15" x14ac:dyDescent="0.25">
      <c r="A131" s="100" t="str">
        <f>'OI(Value)'!A131</f>
        <v>MANAPPURAM</v>
      </c>
      <c r="B131" s="82">
        <f>VLOOKUP(A131,'Data shares'!$C$2:$CV$216,98,0)</f>
        <v>49566000</v>
      </c>
      <c r="C131" s="82">
        <f>VLOOKUP(A131,'Data shares'!$C$2:$CX$216,100,0)</f>
        <v>6186000</v>
      </c>
      <c r="D131" s="141">
        <f>VLOOKUP(A131,'Data shares'!$C$2:$CY$539,101,0)</f>
        <v>0.1426</v>
      </c>
      <c r="E131" s="86">
        <f>VLOOKUP($A131,'Data shares'!$C:$FA,74)</f>
        <v>29196000</v>
      </c>
      <c r="F131" s="86">
        <f>VLOOKUP($A131,'Data shares'!$C:$FA,76)</f>
        <v>2097000</v>
      </c>
      <c r="G131" s="87">
        <f>VLOOKUP(A131,'Data shares'!$C$2:$CA$216,77,0)</f>
        <v>7.7399999999999997E-2</v>
      </c>
      <c r="H131" s="86">
        <f>VLOOKUP($A131,'Data shares'!$C:$FA,90)</f>
        <v>12510000</v>
      </c>
      <c r="I131" s="86">
        <f>VLOOKUP($A131,'Data shares'!$C:$FA,92)</f>
        <v>2535000</v>
      </c>
      <c r="J131" s="87">
        <f>VLOOKUP($A131,'Data shares'!$C:$FA,93)</f>
        <v>0.25409999999999999</v>
      </c>
      <c r="K131" s="86">
        <f>VLOOKUP($A131,'Data shares'!$C:$FA,94)</f>
        <v>7860000</v>
      </c>
      <c r="L131" s="86">
        <f>VLOOKUP($A131,'Data shares'!$C:$FA,96)</f>
        <v>1554000</v>
      </c>
      <c r="M131" s="87">
        <f>VLOOKUP($A131,'Data shares'!$C:$FA,97)</f>
        <v>0.24640000000000001</v>
      </c>
      <c r="N131" s="86">
        <f>VLOOKUP($A131,'Data shares'!$C:$FA,78)</f>
        <v>28038000</v>
      </c>
      <c r="O131" s="87">
        <f>VLOOKUP($A131,'Data shares'!$C:$FA,81)</f>
        <v>6.3399999999999998E-2</v>
      </c>
    </row>
    <row r="132" spans="1:15" x14ac:dyDescent="0.25">
      <c r="A132" s="100" t="str">
        <f>'OI(Value)'!A132</f>
        <v>MANKIND</v>
      </c>
      <c r="B132" s="82">
        <f>VLOOKUP(A132,'Data shares'!$C$2:$CV$216,98,0)</f>
        <v>2727900</v>
      </c>
      <c r="C132" s="82">
        <f>VLOOKUP(A132,'Data shares'!$C$2:$CX$216,100,0)</f>
        <v>149625</v>
      </c>
      <c r="D132" s="141">
        <f>VLOOKUP(A132,'Data shares'!$C$2:$CY$539,101,0)</f>
        <v>5.8000000000000003E-2</v>
      </c>
      <c r="E132" s="86">
        <f>VLOOKUP($A132,'Data shares'!$C:$FA,74)</f>
        <v>1678725</v>
      </c>
      <c r="F132" s="86">
        <f>VLOOKUP($A132,'Data shares'!$C:$FA,76)</f>
        <v>47025</v>
      </c>
      <c r="G132" s="87">
        <f>VLOOKUP(A132,'Data shares'!$C$2:$CA$216,77,0)</f>
        <v>2.8799999999999999E-2</v>
      </c>
      <c r="H132" s="86">
        <f>VLOOKUP($A132,'Data shares'!$C:$FA,90)</f>
        <v>702675</v>
      </c>
      <c r="I132" s="86">
        <f>VLOOKUP($A132,'Data shares'!$C:$FA,92)</f>
        <v>96075</v>
      </c>
      <c r="J132" s="87">
        <f>VLOOKUP($A132,'Data shares'!$C:$FA,93)</f>
        <v>0.15840000000000001</v>
      </c>
      <c r="K132" s="86">
        <f>VLOOKUP($A132,'Data shares'!$C:$FA,94)</f>
        <v>346500</v>
      </c>
      <c r="L132" s="86">
        <f>VLOOKUP($A132,'Data shares'!$C:$FA,96)</f>
        <v>6525</v>
      </c>
      <c r="M132" s="87">
        <f>VLOOKUP($A132,'Data shares'!$C:$FA,97)</f>
        <v>1.9199999999999998E-2</v>
      </c>
      <c r="N132" s="86">
        <f>VLOOKUP($A132,'Data shares'!$C:$FA,78)</f>
        <v>1623375</v>
      </c>
      <c r="O132" s="87">
        <f>VLOOKUP($A132,'Data shares'!$C:$FA,81)</f>
        <v>2.46E-2</v>
      </c>
    </row>
    <row r="133" spans="1:15" x14ac:dyDescent="0.25">
      <c r="A133" s="100" t="str">
        <f>'OI(Value)'!A133</f>
        <v>MARICO</v>
      </c>
      <c r="B133" s="82">
        <f>VLOOKUP(A133,'Data shares'!$C$2:$CV$216,98,0)</f>
        <v>33824400</v>
      </c>
      <c r="C133" s="82">
        <f>VLOOKUP(A133,'Data shares'!$C$2:$CX$216,100,0)</f>
        <v>-339600</v>
      </c>
      <c r="D133" s="141">
        <f>VLOOKUP(A133,'Data shares'!$C$2:$CY$539,101,0)</f>
        <v>-9.9000000000000008E-3</v>
      </c>
      <c r="E133" s="86">
        <f>VLOOKUP($A133,'Data shares'!$C:$FA,74)</f>
        <v>28130400</v>
      </c>
      <c r="F133" s="86">
        <f>VLOOKUP($A133,'Data shares'!$C:$FA,76)</f>
        <v>-411600</v>
      </c>
      <c r="G133" s="87">
        <f>VLOOKUP(A133,'Data shares'!$C$2:$CA$216,77,0)</f>
        <v>-1.44E-2</v>
      </c>
      <c r="H133" s="86">
        <f>VLOOKUP($A133,'Data shares'!$C:$FA,90)</f>
        <v>3433200</v>
      </c>
      <c r="I133" s="86">
        <f>VLOOKUP($A133,'Data shares'!$C:$FA,92)</f>
        <v>84000</v>
      </c>
      <c r="J133" s="87">
        <f>VLOOKUP($A133,'Data shares'!$C:$FA,93)</f>
        <v>2.5100000000000001E-2</v>
      </c>
      <c r="K133" s="86">
        <f>VLOOKUP($A133,'Data shares'!$C:$FA,94)</f>
        <v>2260800</v>
      </c>
      <c r="L133" s="86">
        <f>VLOOKUP($A133,'Data shares'!$C:$FA,96)</f>
        <v>-12000</v>
      </c>
      <c r="M133" s="87">
        <f>VLOOKUP($A133,'Data shares'!$C:$FA,97)</f>
        <v>-5.3E-3</v>
      </c>
      <c r="N133" s="86">
        <f>VLOOKUP($A133,'Data shares'!$C:$FA,78)</f>
        <v>28003200</v>
      </c>
      <c r="O133" s="87">
        <f>VLOOKUP($A133,'Data shares'!$C:$FA,81)</f>
        <v>-1.47E-2</v>
      </c>
    </row>
    <row r="134" spans="1:15" x14ac:dyDescent="0.25">
      <c r="A134" s="100" t="str">
        <f>'OI(Value)'!A134</f>
        <v>MARUTI</v>
      </c>
      <c r="B134" s="82">
        <f>VLOOKUP(A134,'Data shares'!$C$2:$CV$216,98,0)</f>
        <v>7376300</v>
      </c>
      <c r="C134" s="82">
        <f>VLOOKUP(A134,'Data shares'!$C$2:$CX$216,100,0)</f>
        <v>344300</v>
      </c>
      <c r="D134" s="141">
        <f>VLOOKUP(A134,'Data shares'!$C$2:$CY$539,101,0)</f>
        <v>4.9000000000000002E-2</v>
      </c>
      <c r="E134" s="86">
        <f>VLOOKUP($A134,'Data shares'!$C:$FA,74)</f>
        <v>2860050</v>
      </c>
      <c r="F134" s="86">
        <f>VLOOKUP($A134,'Data shares'!$C:$FA,76)</f>
        <v>176550</v>
      </c>
      <c r="G134" s="87">
        <f>VLOOKUP(A134,'Data shares'!$C$2:$CA$216,77,0)</f>
        <v>6.5799999999999997E-2</v>
      </c>
      <c r="H134" s="86">
        <f>VLOOKUP($A134,'Data shares'!$C:$FA,90)</f>
        <v>2782900</v>
      </c>
      <c r="I134" s="86">
        <f>VLOOKUP($A134,'Data shares'!$C:$FA,92)</f>
        <v>-125300</v>
      </c>
      <c r="J134" s="87">
        <f>VLOOKUP($A134,'Data shares'!$C:$FA,93)</f>
        <v>-4.3099999999999999E-2</v>
      </c>
      <c r="K134" s="86">
        <f>VLOOKUP($A134,'Data shares'!$C:$FA,94)</f>
        <v>1733350</v>
      </c>
      <c r="L134" s="86">
        <f>VLOOKUP($A134,'Data shares'!$C:$FA,96)</f>
        <v>293050</v>
      </c>
      <c r="M134" s="87">
        <f>VLOOKUP($A134,'Data shares'!$C:$FA,97)</f>
        <v>0.20349999999999999</v>
      </c>
      <c r="N134" s="86">
        <f>VLOOKUP($A134,'Data shares'!$C:$FA,78)</f>
        <v>2754900</v>
      </c>
      <c r="O134" s="87">
        <f>VLOOKUP($A134,'Data shares'!$C:$FA,81)</f>
        <v>5.8400000000000001E-2</v>
      </c>
    </row>
    <row r="135" spans="1:15" x14ac:dyDescent="0.25">
      <c r="A135" s="100" t="str">
        <f>'OI(Value)'!A135</f>
        <v>MAXHEALTH</v>
      </c>
      <c r="B135" s="82">
        <f>VLOOKUP(A135,'Data shares'!$C$2:$CV$216,98,0)</f>
        <v>22640625</v>
      </c>
      <c r="C135" s="82">
        <f>VLOOKUP(A135,'Data shares'!$C$2:$CX$216,100,0)</f>
        <v>-120750</v>
      </c>
      <c r="D135" s="141">
        <f>VLOOKUP(A135,'Data shares'!$C$2:$CY$539,101,0)</f>
        <v>-5.3E-3</v>
      </c>
      <c r="E135" s="86">
        <f>VLOOKUP($A135,'Data shares'!$C:$FA,74)</f>
        <v>16662975</v>
      </c>
      <c r="F135" s="86">
        <f>VLOOKUP($A135,'Data shares'!$C:$FA,76)</f>
        <v>-163800</v>
      </c>
      <c r="G135" s="87">
        <f>VLOOKUP(A135,'Data shares'!$C$2:$CA$216,77,0)</f>
        <v>-9.7000000000000003E-3</v>
      </c>
      <c r="H135" s="86">
        <f>VLOOKUP($A135,'Data shares'!$C:$FA,90)</f>
        <v>3163125</v>
      </c>
      <c r="I135" s="86">
        <f>VLOOKUP($A135,'Data shares'!$C:$FA,92)</f>
        <v>37800</v>
      </c>
      <c r="J135" s="87">
        <f>VLOOKUP($A135,'Data shares'!$C:$FA,93)</f>
        <v>1.21E-2</v>
      </c>
      <c r="K135" s="86">
        <f>VLOOKUP($A135,'Data shares'!$C:$FA,94)</f>
        <v>2814525</v>
      </c>
      <c r="L135" s="86">
        <f>VLOOKUP($A135,'Data shares'!$C:$FA,96)</f>
        <v>5250</v>
      </c>
      <c r="M135" s="87">
        <f>VLOOKUP($A135,'Data shares'!$C:$FA,97)</f>
        <v>1.9E-3</v>
      </c>
      <c r="N135" s="86">
        <f>VLOOKUP($A135,'Data shares'!$C:$FA,78)</f>
        <v>16364775</v>
      </c>
      <c r="O135" s="87">
        <f>VLOOKUP($A135,'Data shares'!$C:$FA,81)</f>
        <v>-1.18E-2</v>
      </c>
    </row>
    <row r="136" spans="1:15" x14ac:dyDescent="0.25">
      <c r="A136" s="100" t="str">
        <f>'OI(Value)'!A136</f>
        <v>MAZDOCK</v>
      </c>
      <c r="B136" s="82">
        <f>VLOOKUP(A136,'Data shares'!$C$2:$CV$216,98,0)</f>
        <v>7524300</v>
      </c>
      <c r="C136" s="82">
        <f>VLOOKUP(A136,'Data shares'!$C$2:$CX$216,100,0)</f>
        <v>607250</v>
      </c>
      <c r="D136" s="141">
        <f>VLOOKUP(A136,'Data shares'!$C$2:$CY$539,101,0)</f>
        <v>8.7800000000000003E-2</v>
      </c>
      <c r="E136" s="86">
        <f>VLOOKUP($A136,'Data shares'!$C:$FA,74)</f>
        <v>3665025</v>
      </c>
      <c r="F136" s="86">
        <f>VLOOKUP($A136,'Data shares'!$C:$FA,76)</f>
        <v>146300</v>
      </c>
      <c r="G136" s="87">
        <f>VLOOKUP(A136,'Data shares'!$C$2:$CA$216,77,0)</f>
        <v>4.1599999999999998E-2</v>
      </c>
      <c r="H136" s="86">
        <f>VLOOKUP($A136,'Data shares'!$C:$FA,90)</f>
        <v>2480975</v>
      </c>
      <c r="I136" s="86">
        <f>VLOOKUP($A136,'Data shares'!$C:$FA,92)</f>
        <v>348075</v>
      </c>
      <c r="J136" s="87">
        <f>VLOOKUP($A136,'Data shares'!$C:$FA,93)</f>
        <v>0.16320000000000001</v>
      </c>
      <c r="K136" s="86">
        <f>VLOOKUP($A136,'Data shares'!$C:$FA,94)</f>
        <v>1378300</v>
      </c>
      <c r="L136" s="86">
        <f>VLOOKUP($A136,'Data shares'!$C:$FA,96)</f>
        <v>112875</v>
      </c>
      <c r="M136" s="87">
        <f>VLOOKUP($A136,'Data shares'!$C:$FA,97)</f>
        <v>8.9200000000000002E-2</v>
      </c>
      <c r="N136" s="86">
        <f>VLOOKUP($A136,'Data shares'!$C:$FA,78)</f>
        <v>3454850</v>
      </c>
      <c r="O136" s="87">
        <f>VLOOKUP($A136,'Data shares'!$C:$FA,81)</f>
        <v>2.9399999999999999E-2</v>
      </c>
    </row>
    <row r="137" spans="1:15" x14ac:dyDescent="0.25">
      <c r="A137" s="100" t="str">
        <f>'OI(Value)'!A137</f>
        <v>MCX</v>
      </c>
      <c r="B137" s="82">
        <f>VLOOKUP(A137,'Data shares'!$C$2:$CV$216,98,0)</f>
        <v>6399000</v>
      </c>
      <c r="C137" s="82">
        <f>VLOOKUP(A137,'Data shares'!$C$2:$CX$216,100,0)</f>
        <v>496625</v>
      </c>
      <c r="D137" s="141">
        <f>VLOOKUP(A137,'Data shares'!$C$2:$CY$539,101,0)</f>
        <v>8.4099999999999994E-2</v>
      </c>
      <c r="E137" s="86">
        <f>VLOOKUP($A137,'Data shares'!$C:$FA,74)</f>
        <v>2515375</v>
      </c>
      <c r="F137" s="86">
        <f>VLOOKUP($A137,'Data shares'!$C:$FA,76)</f>
        <v>-67625</v>
      </c>
      <c r="G137" s="87">
        <f>VLOOKUP(A137,'Data shares'!$C$2:$CA$216,77,0)</f>
        <v>-2.6200000000000001E-2</v>
      </c>
      <c r="H137" s="86">
        <f>VLOOKUP($A137,'Data shares'!$C:$FA,90)</f>
        <v>2135250</v>
      </c>
      <c r="I137" s="86">
        <f>VLOOKUP($A137,'Data shares'!$C:$FA,92)</f>
        <v>438500</v>
      </c>
      <c r="J137" s="87">
        <f>VLOOKUP($A137,'Data shares'!$C:$FA,93)</f>
        <v>0.25840000000000002</v>
      </c>
      <c r="K137" s="86">
        <f>VLOOKUP($A137,'Data shares'!$C:$FA,94)</f>
        <v>1748375</v>
      </c>
      <c r="L137" s="86">
        <f>VLOOKUP($A137,'Data shares'!$C:$FA,96)</f>
        <v>125750</v>
      </c>
      <c r="M137" s="87">
        <f>VLOOKUP($A137,'Data shares'!$C:$FA,97)</f>
        <v>7.7499999999999999E-2</v>
      </c>
      <c r="N137" s="86">
        <f>VLOOKUP($A137,'Data shares'!$C:$FA,78)</f>
        <v>2432375</v>
      </c>
      <c r="O137" s="87">
        <f>VLOOKUP($A137,'Data shares'!$C:$FA,81)</f>
        <v>-3.04E-2</v>
      </c>
    </row>
    <row r="138" spans="1:15" x14ac:dyDescent="0.25">
      <c r="A138" s="100" t="str">
        <f>'OI(Value)'!A138</f>
        <v>MFSL</v>
      </c>
      <c r="B138" s="82">
        <f>VLOOKUP(A138,'Data shares'!$C$2:$CV$216,98,0)</f>
        <v>7903200</v>
      </c>
      <c r="C138" s="82">
        <f>VLOOKUP(A138,'Data shares'!$C$2:$CX$216,100,0)</f>
        <v>160800</v>
      </c>
      <c r="D138" s="141">
        <f>VLOOKUP(A138,'Data shares'!$C$2:$CY$539,101,0)</f>
        <v>2.0799999999999999E-2</v>
      </c>
      <c r="E138" s="86">
        <f>VLOOKUP($A138,'Data shares'!$C:$FA,74)</f>
        <v>5937600</v>
      </c>
      <c r="F138" s="86">
        <f>VLOOKUP($A138,'Data shares'!$C:$FA,76)</f>
        <v>52000</v>
      </c>
      <c r="G138" s="87">
        <f>VLOOKUP(A138,'Data shares'!$C$2:$CA$216,77,0)</f>
        <v>8.8000000000000005E-3</v>
      </c>
      <c r="H138" s="86">
        <f>VLOOKUP($A138,'Data shares'!$C:$FA,90)</f>
        <v>1216000</v>
      </c>
      <c r="I138" s="86">
        <f>VLOOKUP($A138,'Data shares'!$C:$FA,92)</f>
        <v>93600</v>
      </c>
      <c r="J138" s="87">
        <f>VLOOKUP($A138,'Data shares'!$C:$FA,93)</f>
        <v>8.3400000000000002E-2</v>
      </c>
      <c r="K138" s="86">
        <f>VLOOKUP($A138,'Data shares'!$C:$FA,94)</f>
        <v>749600</v>
      </c>
      <c r="L138" s="86">
        <f>VLOOKUP($A138,'Data shares'!$C:$FA,96)</f>
        <v>15200</v>
      </c>
      <c r="M138" s="87">
        <f>VLOOKUP($A138,'Data shares'!$C:$FA,97)</f>
        <v>2.07E-2</v>
      </c>
      <c r="N138" s="86">
        <f>VLOOKUP($A138,'Data shares'!$C:$FA,78)</f>
        <v>5872800</v>
      </c>
      <c r="O138" s="87">
        <f>VLOOKUP($A138,'Data shares'!$C:$FA,81)</f>
        <v>9.1999999999999998E-3</v>
      </c>
    </row>
    <row r="139" spans="1:15" x14ac:dyDescent="0.25">
      <c r="A139" s="100" t="str">
        <f>'OI(Value)'!A139</f>
        <v>MIDCPNIFTY</v>
      </c>
      <c r="B139" s="82">
        <f>VLOOKUP(A139,'Data shares'!$C$2:$CV$216,98,0)</f>
        <v>16360540</v>
      </c>
      <c r="C139" s="82">
        <f>VLOOKUP(A139,'Data shares'!$C$2:$CX$216,100,0)</f>
        <v>419860</v>
      </c>
      <c r="D139" s="141">
        <f>VLOOKUP(A139,'Data shares'!$C$2:$CY$539,101,0)</f>
        <v>2.63E-2</v>
      </c>
      <c r="E139" s="86">
        <f>VLOOKUP($A139,'Data shares'!$C:$FA,74)</f>
        <v>2696960</v>
      </c>
      <c r="F139" s="86">
        <f>VLOOKUP($A139,'Data shares'!$C:$FA,76)</f>
        <v>-42420</v>
      </c>
      <c r="G139" s="87">
        <f>VLOOKUP(A139,'Data shares'!$C$2:$CA$216,77,0)</f>
        <v>-1.55E-2</v>
      </c>
      <c r="H139" s="86">
        <f>VLOOKUP($A139,'Data shares'!$C:$FA,90)</f>
        <v>5978000</v>
      </c>
      <c r="I139" s="86">
        <f>VLOOKUP($A139,'Data shares'!$C:$FA,92)</f>
        <v>118020</v>
      </c>
      <c r="J139" s="87">
        <f>VLOOKUP($A139,'Data shares'!$C:$FA,93)</f>
        <v>2.01E-2</v>
      </c>
      <c r="K139" s="86">
        <f>VLOOKUP($A139,'Data shares'!$C:$FA,94)</f>
        <v>7685580</v>
      </c>
      <c r="L139" s="86">
        <f>VLOOKUP($A139,'Data shares'!$C:$FA,96)</f>
        <v>344260</v>
      </c>
      <c r="M139" s="87">
        <f>VLOOKUP($A139,'Data shares'!$C:$FA,97)</f>
        <v>4.6899999999999997E-2</v>
      </c>
      <c r="N139" s="86">
        <f>VLOOKUP($A139,'Data shares'!$C:$FA,78)</f>
        <v>2602460</v>
      </c>
      <c r="O139" s="87">
        <f>VLOOKUP($A139,'Data shares'!$C:$FA,81)</f>
        <v>-1.5800000000000002E-2</v>
      </c>
    </row>
    <row r="140" spans="1:15" x14ac:dyDescent="0.25">
      <c r="A140" s="100" t="str">
        <f>'OI(Value)'!A140</f>
        <v>MOTHERSON</v>
      </c>
      <c r="B140" s="82">
        <f>VLOOKUP(A140,'Data shares'!$C$2:$CV$216,98,0)</f>
        <v>253872000</v>
      </c>
      <c r="C140" s="82">
        <f>VLOOKUP(A140,'Data shares'!$C$2:$CX$216,100,0)</f>
        <v>2693700</v>
      </c>
      <c r="D140" s="141">
        <f>VLOOKUP(A140,'Data shares'!$C$2:$CY$539,101,0)</f>
        <v>1.0699999999999999E-2</v>
      </c>
      <c r="E140" s="86">
        <f>VLOOKUP($A140,'Data shares'!$C:$FA,74)</f>
        <v>165637950</v>
      </c>
      <c r="F140" s="86">
        <f>VLOOKUP($A140,'Data shares'!$C:$FA,76)</f>
        <v>362850</v>
      </c>
      <c r="G140" s="87">
        <f>VLOOKUP(A140,'Data shares'!$C$2:$CA$216,77,0)</f>
        <v>2.2000000000000001E-3</v>
      </c>
      <c r="H140" s="86">
        <f>VLOOKUP($A140,'Data shares'!$C:$FA,90)</f>
        <v>58154400</v>
      </c>
      <c r="I140" s="86">
        <f>VLOOKUP($A140,'Data shares'!$C:$FA,92)</f>
        <v>1371450</v>
      </c>
      <c r="J140" s="87">
        <f>VLOOKUP($A140,'Data shares'!$C:$FA,93)</f>
        <v>2.4199999999999999E-2</v>
      </c>
      <c r="K140" s="86">
        <f>VLOOKUP($A140,'Data shares'!$C:$FA,94)</f>
        <v>30079650</v>
      </c>
      <c r="L140" s="86">
        <f>VLOOKUP($A140,'Data shares'!$C:$FA,96)</f>
        <v>959400</v>
      </c>
      <c r="M140" s="87">
        <f>VLOOKUP($A140,'Data shares'!$C:$FA,97)</f>
        <v>3.2899999999999999E-2</v>
      </c>
      <c r="N140" s="86">
        <f>VLOOKUP($A140,'Data shares'!$C:$FA,78)</f>
        <v>158811450</v>
      </c>
      <c r="O140" s="87">
        <f>VLOOKUP($A140,'Data shares'!$C:$FA,81)</f>
        <v>1.6000000000000001E-3</v>
      </c>
    </row>
    <row r="141" spans="1:15" x14ac:dyDescent="0.25">
      <c r="A141" s="100" t="str">
        <f>'OI(Value)'!A141</f>
        <v>MPHASIS</v>
      </c>
      <c r="B141" s="82">
        <f>VLOOKUP(A141,'Data shares'!$C$2:$CV$216,98,0)</f>
        <v>5995000</v>
      </c>
      <c r="C141" s="82">
        <f>VLOOKUP(A141,'Data shares'!$C$2:$CX$216,100,0)</f>
        <v>61600</v>
      </c>
      <c r="D141" s="141">
        <f>VLOOKUP(A141,'Data shares'!$C$2:$CY$539,101,0)</f>
        <v>1.04E-2</v>
      </c>
      <c r="E141" s="86">
        <f>VLOOKUP($A141,'Data shares'!$C:$FA,74)</f>
        <v>4284225</v>
      </c>
      <c r="F141" s="86">
        <f>VLOOKUP($A141,'Data shares'!$C:$FA,76)</f>
        <v>37125</v>
      </c>
      <c r="G141" s="87">
        <f>VLOOKUP(A141,'Data shares'!$C$2:$CA$216,77,0)</f>
        <v>8.6999999999999994E-3</v>
      </c>
      <c r="H141" s="86">
        <f>VLOOKUP($A141,'Data shares'!$C:$FA,90)</f>
        <v>1081575</v>
      </c>
      <c r="I141" s="86">
        <f>VLOOKUP($A141,'Data shares'!$C:$FA,92)</f>
        <v>29700</v>
      </c>
      <c r="J141" s="87">
        <f>VLOOKUP($A141,'Data shares'!$C:$FA,93)</f>
        <v>2.8199999999999999E-2</v>
      </c>
      <c r="K141" s="86">
        <f>VLOOKUP($A141,'Data shares'!$C:$FA,94)</f>
        <v>629200</v>
      </c>
      <c r="L141" s="86">
        <f>VLOOKUP($A141,'Data shares'!$C:$FA,96)</f>
        <v>-5225</v>
      </c>
      <c r="M141" s="87">
        <f>VLOOKUP($A141,'Data shares'!$C:$FA,97)</f>
        <v>-8.2000000000000007E-3</v>
      </c>
      <c r="N141" s="86">
        <f>VLOOKUP($A141,'Data shares'!$C:$FA,78)</f>
        <v>4221525</v>
      </c>
      <c r="O141" s="87">
        <f>VLOOKUP($A141,'Data shares'!$C:$FA,81)</f>
        <v>7.4999999999999997E-3</v>
      </c>
    </row>
    <row r="142" spans="1:15" x14ac:dyDescent="0.25">
      <c r="A142" s="100" t="str">
        <f>'OI(Value)'!A142</f>
        <v>MUTHOOTFIN</v>
      </c>
      <c r="B142" s="82">
        <f>VLOOKUP(A142,'Data shares'!$C$2:$CV$216,98,0)</f>
        <v>6306300</v>
      </c>
      <c r="C142" s="82">
        <f>VLOOKUP(A142,'Data shares'!$C$2:$CX$216,100,0)</f>
        <v>147675</v>
      </c>
      <c r="D142" s="141">
        <f>VLOOKUP(A142,'Data shares'!$C$2:$CY$539,101,0)</f>
        <v>2.4E-2</v>
      </c>
      <c r="E142" s="86">
        <f>VLOOKUP($A142,'Data shares'!$C:$FA,74)</f>
        <v>2720300</v>
      </c>
      <c r="F142" s="86">
        <f>VLOOKUP($A142,'Data shares'!$C:$FA,76)</f>
        <v>4400</v>
      </c>
      <c r="G142" s="87">
        <f>VLOOKUP(A142,'Data shares'!$C$2:$CA$216,77,0)</f>
        <v>1.6000000000000001E-3</v>
      </c>
      <c r="H142" s="86">
        <f>VLOOKUP($A142,'Data shares'!$C:$FA,90)</f>
        <v>2214025</v>
      </c>
      <c r="I142" s="86">
        <f>VLOOKUP($A142,'Data shares'!$C:$FA,92)</f>
        <v>198000</v>
      </c>
      <c r="J142" s="87">
        <f>VLOOKUP($A142,'Data shares'!$C:$FA,93)</f>
        <v>9.8199999999999996E-2</v>
      </c>
      <c r="K142" s="86">
        <f>VLOOKUP($A142,'Data shares'!$C:$FA,94)</f>
        <v>1371975</v>
      </c>
      <c r="L142" s="86">
        <f>VLOOKUP($A142,'Data shares'!$C:$FA,96)</f>
        <v>-54725</v>
      </c>
      <c r="M142" s="87">
        <f>VLOOKUP($A142,'Data shares'!$C:$FA,97)</f>
        <v>-3.8399999999999997E-2</v>
      </c>
      <c r="N142" s="86">
        <f>VLOOKUP($A142,'Data shares'!$C:$FA,78)</f>
        <v>2599300</v>
      </c>
      <c r="O142" s="87">
        <f>VLOOKUP($A142,'Data shares'!$C:$FA,81)</f>
        <v>5.3E-3</v>
      </c>
    </row>
    <row r="143" spans="1:15" x14ac:dyDescent="0.25">
      <c r="A143" s="100" t="str">
        <f>'OI(Value)'!A143</f>
        <v>NATIONALUM</v>
      </c>
      <c r="B143" s="82">
        <f>VLOOKUP(A143,'Data shares'!$C$2:$CV$216,98,0)</f>
        <v>137808750</v>
      </c>
      <c r="C143" s="82">
        <f>VLOOKUP(A143,'Data shares'!$C$2:$CX$216,100,0)</f>
        <v>3018750</v>
      </c>
      <c r="D143" s="141">
        <f>VLOOKUP(A143,'Data shares'!$C$2:$CY$539,101,0)</f>
        <v>2.24E-2</v>
      </c>
      <c r="E143" s="86">
        <f>VLOOKUP($A143,'Data shares'!$C:$FA,74)</f>
        <v>80801250</v>
      </c>
      <c r="F143" s="86">
        <f>VLOOKUP($A143,'Data shares'!$C:$FA,76)</f>
        <v>1293750</v>
      </c>
      <c r="G143" s="87">
        <f>VLOOKUP(A143,'Data shares'!$C$2:$CA$216,77,0)</f>
        <v>1.6299999999999999E-2</v>
      </c>
      <c r="H143" s="86">
        <f>VLOOKUP($A143,'Data shares'!$C:$FA,90)</f>
        <v>31818750</v>
      </c>
      <c r="I143" s="86">
        <f>VLOOKUP($A143,'Data shares'!$C:$FA,92)</f>
        <v>2625000</v>
      </c>
      <c r="J143" s="87">
        <f>VLOOKUP($A143,'Data shares'!$C:$FA,93)</f>
        <v>8.9899999999999994E-2</v>
      </c>
      <c r="K143" s="86">
        <f>VLOOKUP($A143,'Data shares'!$C:$FA,94)</f>
        <v>25188750</v>
      </c>
      <c r="L143" s="86">
        <f>VLOOKUP($A143,'Data shares'!$C:$FA,96)</f>
        <v>-900000</v>
      </c>
      <c r="M143" s="87">
        <f>VLOOKUP($A143,'Data shares'!$C:$FA,97)</f>
        <v>-3.4500000000000003E-2</v>
      </c>
      <c r="N143" s="86">
        <f>VLOOKUP($A143,'Data shares'!$C:$FA,78)</f>
        <v>77475000</v>
      </c>
      <c r="O143" s="87">
        <f>VLOOKUP($A143,'Data shares'!$C:$FA,81)</f>
        <v>1.03E-2</v>
      </c>
    </row>
    <row r="144" spans="1:15" x14ac:dyDescent="0.25">
      <c r="A144" s="100" t="str">
        <f>'OI(Value)'!A144</f>
        <v>NAUKRI</v>
      </c>
      <c r="B144" s="82">
        <f>VLOOKUP(A144,'Data shares'!$C$2:$CV$216,98,0)</f>
        <v>13566750</v>
      </c>
      <c r="C144" s="82">
        <f>VLOOKUP(A144,'Data shares'!$C$2:$CX$216,100,0)</f>
        <v>307500</v>
      </c>
      <c r="D144" s="141">
        <f>VLOOKUP(A144,'Data shares'!$C$2:$CY$539,101,0)</f>
        <v>2.3199999999999998E-2</v>
      </c>
      <c r="E144" s="86">
        <f>VLOOKUP($A144,'Data shares'!$C:$FA,74)</f>
        <v>10423500</v>
      </c>
      <c r="F144" s="86">
        <f>VLOOKUP($A144,'Data shares'!$C:$FA,76)</f>
        <v>155625</v>
      </c>
      <c r="G144" s="87">
        <f>VLOOKUP(A144,'Data shares'!$C$2:$CA$216,77,0)</f>
        <v>1.52E-2</v>
      </c>
      <c r="H144" s="86">
        <f>VLOOKUP($A144,'Data shares'!$C:$FA,90)</f>
        <v>2035125</v>
      </c>
      <c r="I144" s="86">
        <f>VLOOKUP($A144,'Data shares'!$C:$FA,92)</f>
        <v>132375</v>
      </c>
      <c r="J144" s="87">
        <f>VLOOKUP($A144,'Data shares'!$C:$FA,93)</f>
        <v>6.9599999999999995E-2</v>
      </c>
      <c r="K144" s="86">
        <f>VLOOKUP($A144,'Data shares'!$C:$FA,94)</f>
        <v>1108125</v>
      </c>
      <c r="L144" s="86">
        <f>VLOOKUP($A144,'Data shares'!$C:$FA,96)</f>
        <v>19500</v>
      </c>
      <c r="M144" s="87">
        <f>VLOOKUP($A144,'Data shares'!$C:$FA,97)</f>
        <v>1.7899999999999999E-2</v>
      </c>
      <c r="N144" s="86">
        <f>VLOOKUP($A144,'Data shares'!$C:$FA,78)</f>
        <v>10284000</v>
      </c>
      <c r="O144" s="87">
        <f>VLOOKUP($A144,'Data shares'!$C:$FA,81)</f>
        <v>1.23E-2</v>
      </c>
    </row>
    <row r="145" spans="1:15" x14ac:dyDescent="0.25">
      <c r="A145" s="100" t="str">
        <f>'OI(Value)'!A145</f>
        <v>NBCC</v>
      </c>
      <c r="B145" s="82">
        <f>VLOOKUP(A145,'Data shares'!$C$2:$CV$216,98,0)</f>
        <v>105807000</v>
      </c>
      <c r="C145" s="82">
        <f>VLOOKUP(A145,'Data shares'!$C$2:$CX$216,100,0)</f>
        <v>3763500</v>
      </c>
      <c r="D145" s="141">
        <f>VLOOKUP(A145,'Data shares'!$C$2:$CY$539,101,0)</f>
        <v>3.6900000000000002E-2</v>
      </c>
      <c r="E145" s="86">
        <f>VLOOKUP($A145,'Data shares'!$C:$FA,74)</f>
        <v>62042500</v>
      </c>
      <c r="F145" s="86">
        <f>VLOOKUP($A145,'Data shares'!$C:$FA,76)</f>
        <v>695500</v>
      </c>
      <c r="G145" s="87">
        <f>VLOOKUP(A145,'Data shares'!$C$2:$CA$216,77,0)</f>
        <v>1.1299999999999999E-2</v>
      </c>
      <c r="H145" s="86">
        <f>VLOOKUP($A145,'Data shares'!$C:$FA,90)</f>
        <v>29269500</v>
      </c>
      <c r="I145" s="86">
        <f>VLOOKUP($A145,'Data shares'!$C:$FA,92)</f>
        <v>1176500</v>
      </c>
      <c r="J145" s="87">
        <f>VLOOKUP($A145,'Data shares'!$C:$FA,93)</f>
        <v>4.19E-2</v>
      </c>
      <c r="K145" s="86">
        <f>VLOOKUP($A145,'Data shares'!$C:$FA,94)</f>
        <v>14495000</v>
      </c>
      <c r="L145" s="86">
        <f>VLOOKUP($A145,'Data shares'!$C:$FA,96)</f>
        <v>1891500</v>
      </c>
      <c r="M145" s="87">
        <f>VLOOKUP($A145,'Data shares'!$C:$FA,97)</f>
        <v>0.15010000000000001</v>
      </c>
      <c r="N145" s="86">
        <f>VLOOKUP($A145,'Data shares'!$C:$FA,78)</f>
        <v>59767500</v>
      </c>
      <c r="O145" s="87">
        <f>VLOOKUP($A145,'Data shares'!$C:$FA,81)</f>
        <v>6.1000000000000004E-3</v>
      </c>
    </row>
    <row r="146" spans="1:15" x14ac:dyDescent="0.25">
      <c r="A146" s="100" t="str">
        <f>'OI(Value)'!A146</f>
        <v>NCC</v>
      </c>
      <c r="B146" s="82">
        <f>VLOOKUP(A146,'Data shares'!$C$2:$CV$216,98,0)</f>
        <v>28247400</v>
      </c>
      <c r="C146" s="82">
        <f>VLOOKUP(A146,'Data shares'!$C$2:$CX$216,100,0)</f>
        <v>267300</v>
      </c>
      <c r="D146" s="141">
        <f>VLOOKUP(A146,'Data shares'!$C$2:$CY$539,101,0)</f>
        <v>9.5999999999999992E-3</v>
      </c>
      <c r="E146" s="86">
        <f>VLOOKUP($A146,'Data shares'!$C:$FA,74)</f>
        <v>18270900</v>
      </c>
      <c r="F146" s="86">
        <f>VLOOKUP($A146,'Data shares'!$C:$FA,76)</f>
        <v>-83700</v>
      </c>
      <c r="G146" s="87">
        <f>VLOOKUP(A146,'Data shares'!$C$2:$CA$216,77,0)</f>
        <v>-4.5999999999999999E-3</v>
      </c>
      <c r="H146" s="86">
        <f>VLOOKUP($A146,'Data shares'!$C:$FA,90)</f>
        <v>6277500</v>
      </c>
      <c r="I146" s="86">
        <f>VLOOKUP($A146,'Data shares'!$C:$FA,92)</f>
        <v>402300</v>
      </c>
      <c r="J146" s="87">
        <f>VLOOKUP($A146,'Data shares'!$C:$FA,93)</f>
        <v>6.8500000000000005E-2</v>
      </c>
      <c r="K146" s="86">
        <f>VLOOKUP($A146,'Data shares'!$C:$FA,94)</f>
        <v>3699000</v>
      </c>
      <c r="L146" s="86">
        <f>VLOOKUP($A146,'Data shares'!$C:$FA,96)</f>
        <v>-51300</v>
      </c>
      <c r="M146" s="87">
        <f>VLOOKUP($A146,'Data shares'!$C:$FA,97)</f>
        <v>-1.37E-2</v>
      </c>
      <c r="N146" s="86">
        <f>VLOOKUP($A146,'Data shares'!$C:$FA,78)</f>
        <v>17342100</v>
      </c>
      <c r="O146" s="87">
        <f>VLOOKUP($A146,'Data shares'!$C:$FA,81)</f>
        <v>-5.0000000000000001E-3</v>
      </c>
    </row>
    <row r="147" spans="1:15" x14ac:dyDescent="0.25">
      <c r="A147" s="100" t="str">
        <f>'OI(Value)'!A147</f>
        <v>NESTLEIND</v>
      </c>
      <c r="B147" s="82">
        <f>VLOOKUP(A147,'Data shares'!$C$2:$CV$216,98,0)</f>
        <v>24634000</v>
      </c>
      <c r="C147" s="82">
        <f>VLOOKUP(A147,'Data shares'!$C$2:$CX$216,100,0)</f>
        <v>1239500</v>
      </c>
      <c r="D147" s="141">
        <f>VLOOKUP(A147,'Data shares'!$C$2:$CY$539,101,0)</f>
        <v>5.2999999999999999E-2</v>
      </c>
      <c r="E147" s="86">
        <f>VLOOKUP($A147,'Data shares'!$C:$FA,74)</f>
        <v>18628500</v>
      </c>
      <c r="F147" s="86">
        <f>VLOOKUP($A147,'Data shares'!$C:$FA,76)</f>
        <v>617500</v>
      </c>
      <c r="G147" s="87">
        <f>VLOOKUP(A147,'Data shares'!$C$2:$CA$216,77,0)</f>
        <v>3.4299999999999997E-2</v>
      </c>
      <c r="H147" s="86">
        <f>VLOOKUP($A147,'Data shares'!$C:$FA,90)</f>
        <v>3283000</v>
      </c>
      <c r="I147" s="86">
        <f>VLOOKUP($A147,'Data shares'!$C:$FA,92)</f>
        <v>250500</v>
      </c>
      <c r="J147" s="87">
        <f>VLOOKUP($A147,'Data shares'!$C:$FA,93)</f>
        <v>8.2600000000000007E-2</v>
      </c>
      <c r="K147" s="86">
        <f>VLOOKUP($A147,'Data shares'!$C:$FA,94)</f>
        <v>2722500</v>
      </c>
      <c r="L147" s="86">
        <f>VLOOKUP($A147,'Data shares'!$C:$FA,96)</f>
        <v>371500</v>
      </c>
      <c r="M147" s="87">
        <f>VLOOKUP($A147,'Data shares'!$C:$FA,97)</f>
        <v>0.158</v>
      </c>
      <c r="N147" s="86">
        <f>VLOOKUP($A147,'Data shares'!$C:$FA,78)</f>
        <v>18243000</v>
      </c>
      <c r="O147" s="87">
        <f>VLOOKUP($A147,'Data shares'!$C:$FA,81)</f>
        <v>3.2599999999999997E-2</v>
      </c>
    </row>
    <row r="148" spans="1:15" x14ac:dyDescent="0.25">
      <c r="A148" s="100" t="str">
        <f>'OI(Value)'!A148</f>
        <v>NHPC</v>
      </c>
      <c r="B148" s="82">
        <f>VLOOKUP(A148,'Data shares'!$C$2:$CV$216,98,0)</f>
        <v>73881600</v>
      </c>
      <c r="C148" s="82">
        <f>VLOOKUP(A148,'Data shares'!$C$2:$CX$216,100,0)</f>
        <v>979200</v>
      </c>
      <c r="D148" s="141">
        <f>VLOOKUP(A148,'Data shares'!$C$2:$CY$539,101,0)</f>
        <v>1.34E-2</v>
      </c>
      <c r="E148" s="86">
        <f>VLOOKUP($A148,'Data shares'!$C:$FA,74)</f>
        <v>47622400</v>
      </c>
      <c r="F148" s="86">
        <f>VLOOKUP($A148,'Data shares'!$C:$FA,76)</f>
        <v>-428800</v>
      </c>
      <c r="G148" s="87">
        <f>VLOOKUP(A148,'Data shares'!$C$2:$CA$216,77,0)</f>
        <v>-8.8999999999999999E-3</v>
      </c>
      <c r="H148" s="86">
        <f>VLOOKUP($A148,'Data shares'!$C:$FA,90)</f>
        <v>16857600</v>
      </c>
      <c r="I148" s="86">
        <f>VLOOKUP($A148,'Data shares'!$C:$FA,92)</f>
        <v>396800</v>
      </c>
      <c r="J148" s="87">
        <f>VLOOKUP($A148,'Data shares'!$C:$FA,93)</f>
        <v>2.41E-2</v>
      </c>
      <c r="K148" s="86">
        <f>VLOOKUP($A148,'Data shares'!$C:$FA,94)</f>
        <v>9401600</v>
      </c>
      <c r="L148" s="86">
        <f>VLOOKUP($A148,'Data shares'!$C:$FA,96)</f>
        <v>1011200</v>
      </c>
      <c r="M148" s="87">
        <f>VLOOKUP($A148,'Data shares'!$C:$FA,97)</f>
        <v>0.1205</v>
      </c>
      <c r="N148" s="86">
        <f>VLOOKUP($A148,'Data shares'!$C:$FA,78)</f>
        <v>45849600</v>
      </c>
      <c r="O148" s="87">
        <f>VLOOKUP($A148,'Data shares'!$C:$FA,81)</f>
        <v>-1.0500000000000001E-2</v>
      </c>
    </row>
    <row r="149" spans="1:15" x14ac:dyDescent="0.25">
      <c r="A149" s="100" t="str">
        <f>'OI(Value)'!A149</f>
        <v>NIFTY</v>
      </c>
      <c r="B149" s="82">
        <f>VLOOKUP(A149,'Data shares'!$C$2:$CV$216,98,0)</f>
        <v>576558950</v>
      </c>
      <c r="C149" s="82">
        <f>VLOOKUP(A149,'Data shares'!$C$2:$CX$216,100,0)</f>
        <v>76554075</v>
      </c>
      <c r="D149" s="141">
        <f>VLOOKUP(A149,'Data shares'!$C$2:$CY$539,101,0)</f>
        <v>0.15310000000000001</v>
      </c>
      <c r="E149" s="86">
        <f>VLOOKUP($A149,'Data shares'!$C:$FA,74)</f>
        <v>18820050</v>
      </c>
      <c r="F149" s="86">
        <f>VLOOKUP($A149,'Data shares'!$C:$FA,76)</f>
        <v>-96450</v>
      </c>
      <c r="G149" s="87">
        <f>VLOOKUP(A149,'Data shares'!$C$2:$CA$216,77,0)</f>
        <v>-5.1000000000000004E-3</v>
      </c>
      <c r="H149" s="86">
        <f>VLOOKUP($A149,'Data shares'!$C:$FA,90)</f>
        <v>240430650</v>
      </c>
      <c r="I149" s="86">
        <f>VLOOKUP($A149,'Data shares'!$C:$FA,92)</f>
        <v>6730925</v>
      </c>
      <c r="J149" s="87">
        <f>VLOOKUP($A149,'Data shares'!$C:$FA,93)</f>
        <v>2.8799999999999999E-2</v>
      </c>
      <c r="K149" s="86">
        <f>VLOOKUP($A149,'Data shares'!$C:$FA,94)</f>
        <v>317308250</v>
      </c>
      <c r="L149" s="86">
        <f>VLOOKUP($A149,'Data shares'!$C:$FA,96)</f>
        <v>69919600</v>
      </c>
      <c r="M149" s="87">
        <f>VLOOKUP($A149,'Data shares'!$C:$FA,97)</f>
        <v>0.28260000000000002</v>
      </c>
      <c r="N149" s="86">
        <f>VLOOKUP($A149,'Data shares'!$C:$FA,78)</f>
        <v>17289075</v>
      </c>
      <c r="O149" s="87">
        <f>VLOOKUP($A149,'Data shares'!$C:$FA,81)</f>
        <v>-1.26E-2</v>
      </c>
    </row>
    <row r="150" spans="1:15" x14ac:dyDescent="0.25">
      <c r="A150" s="100" t="str">
        <f>'OI(Value)'!A150</f>
        <v>NIFTYNXT50</v>
      </c>
      <c r="B150" s="82">
        <f>VLOOKUP(A150,'Data shares'!$C$2:$CV$216,98,0)</f>
        <v>32350</v>
      </c>
      <c r="C150" s="82">
        <f>VLOOKUP(A150,'Data shares'!$C$2:$CX$216,100,0)</f>
        <v>700</v>
      </c>
      <c r="D150" s="141">
        <f>VLOOKUP(A150,'Data shares'!$C$2:$CY$539,101,0)</f>
        <v>2.2100000000000002E-2</v>
      </c>
      <c r="E150" s="86">
        <f>VLOOKUP($A150,'Data shares'!$C:$FA,74)</f>
        <v>23800</v>
      </c>
      <c r="F150" s="86">
        <f>VLOOKUP($A150,'Data shares'!$C:$FA,76)</f>
        <v>-1100</v>
      </c>
      <c r="G150" s="87">
        <f>VLOOKUP(A150,'Data shares'!$C$2:$CA$216,77,0)</f>
        <v>-4.4200000000000003E-2</v>
      </c>
      <c r="H150" s="86">
        <f>VLOOKUP($A150,'Data shares'!$C:$FA,90)</f>
        <v>6375</v>
      </c>
      <c r="I150" s="86">
        <f>VLOOKUP($A150,'Data shares'!$C:$FA,92)</f>
        <v>1675</v>
      </c>
      <c r="J150" s="87">
        <f>VLOOKUP($A150,'Data shares'!$C:$FA,93)</f>
        <v>0.35639999999999999</v>
      </c>
      <c r="K150" s="86">
        <f>VLOOKUP($A150,'Data shares'!$C:$FA,94)</f>
        <v>2175</v>
      </c>
      <c r="L150" s="86">
        <f>VLOOKUP($A150,'Data shares'!$C:$FA,96)</f>
        <v>125</v>
      </c>
      <c r="M150" s="87">
        <f>VLOOKUP($A150,'Data shares'!$C:$FA,97)</f>
        <v>6.0999999999999999E-2</v>
      </c>
      <c r="N150" s="86">
        <f>VLOOKUP($A150,'Data shares'!$C:$FA,78)</f>
        <v>20600</v>
      </c>
      <c r="O150" s="87">
        <f>VLOOKUP($A150,'Data shares'!$C:$FA,81)</f>
        <v>-6.0400000000000002E-2</v>
      </c>
    </row>
    <row r="151" spans="1:15" x14ac:dyDescent="0.25">
      <c r="A151" s="100" t="str">
        <f>'OI(Value)'!A151</f>
        <v>NMDC</v>
      </c>
      <c r="B151" s="82">
        <f>VLOOKUP(A151,'Data shares'!$C$2:$CV$216,98,0)</f>
        <v>495045000</v>
      </c>
      <c r="C151" s="82">
        <f>VLOOKUP(A151,'Data shares'!$C$2:$CX$216,100,0)</f>
        <v>24367500</v>
      </c>
      <c r="D151" s="141">
        <f>VLOOKUP(A151,'Data shares'!$C$2:$CY$539,101,0)</f>
        <v>5.1799999999999999E-2</v>
      </c>
      <c r="E151" s="86">
        <f>VLOOKUP($A151,'Data shares'!$C:$FA,74)</f>
        <v>287374500</v>
      </c>
      <c r="F151" s="86">
        <f>VLOOKUP($A151,'Data shares'!$C:$FA,76)</f>
        <v>6331500</v>
      </c>
      <c r="G151" s="87">
        <f>VLOOKUP(A151,'Data shares'!$C$2:$CA$216,77,0)</f>
        <v>2.2499999999999999E-2</v>
      </c>
      <c r="H151" s="86">
        <f>VLOOKUP($A151,'Data shares'!$C:$FA,90)</f>
        <v>131989500</v>
      </c>
      <c r="I151" s="86">
        <f>VLOOKUP($A151,'Data shares'!$C:$FA,92)</f>
        <v>19764000</v>
      </c>
      <c r="J151" s="87">
        <f>VLOOKUP($A151,'Data shares'!$C:$FA,93)</f>
        <v>0.17610000000000001</v>
      </c>
      <c r="K151" s="86">
        <f>VLOOKUP($A151,'Data shares'!$C:$FA,94)</f>
        <v>75681000</v>
      </c>
      <c r="L151" s="86">
        <f>VLOOKUP($A151,'Data shares'!$C:$FA,96)</f>
        <v>-1728000</v>
      </c>
      <c r="M151" s="87">
        <f>VLOOKUP($A151,'Data shares'!$C:$FA,97)</f>
        <v>-2.23E-2</v>
      </c>
      <c r="N151" s="86">
        <f>VLOOKUP($A151,'Data shares'!$C:$FA,78)</f>
        <v>273888000</v>
      </c>
      <c r="O151" s="87">
        <f>VLOOKUP($A151,'Data shares'!$C:$FA,81)</f>
        <v>6.4000000000000003E-3</v>
      </c>
    </row>
    <row r="152" spans="1:15" x14ac:dyDescent="0.25">
      <c r="A152" s="100" t="str">
        <f>'OI(Value)'!A152</f>
        <v>NTPC</v>
      </c>
      <c r="B152" s="82">
        <f>VLOOKUP(A152,'Data shares'!$C$2:$CV$216,98,0)</f>
        <v>153864000</v>
      </c>
      <c r="C152" s="82">
        <f>VLOOKUP(A152,'Data shares'!$C$2:$CX$216,100,0)</f>
        <v>1191000</v>
      </c>
      <c r="D152" s="141">
        <f>VLOOKUP(A152,'Data shares'!$C$2:$CY$539,101,0)</f>
        <v>7.7999999999999996E-3</v>
      </c>
      <c r="E152" s="86">
        <f>VLOOKUP($A152,'Data shares'!$C:$FA,74)</f>
        <v>99270000</v>
      </c>
      <c r="F152" s="86">
        <f>VLOOKUP($A152,'Data shares'!$C:$FA,76)</f>
        <v>-309000</v>
      </c>
      <c r="G152" s="87">
        <f>VLOOKUP(A152,'Data shares'!$C$2:$CA$216,77,0)</f>
        <v>-3.0999999999999999E-3</v>
      </c>
      <c r="H152" s="86">
        <f>VLOOKUP($A152,'Data shares'!$C:$FA,90)</f>
        <v>37315500</v>
      </c>
      <c r="I152" s="86">
        <f>VLOOKUP($A152,'Data shares'!$C:$FA,92)</f>
        <v>1812000</v>
      </c>
      <c r="J152" s="87">
        <f>VLOOKUP($A152,'Data shares'!$C:$FA,93)</f>
        <v>5.0999999999999997E-2</v>
      </c>
      <c r="K152" s="86">
        <f>VLOOKUP($A152,'Data shares'!$C:$FA,94)</f>
        <v>17278500</v>
      </c>
      <c r="L152" s="86">
        <f>VLOOKUP($A152,'Data shares'!$C:$FA,96)</f>
        <v>-312000</v>
      </c>
      <c r="M152" s="87">
        <f>VLOOKUP($A152,'Data shares'!$C:$FA,97)</f>
        <v>-1.77E-2</v>
      </c>
      <c r="N152" s="86">
        <f>VLOOKUP($A152,'Data shares'!$C:$FA,78)</f>
        <v>94357500</v>
      </c>
      <c r="O152" s="87">
        <f>VLOOKUP($A152,'Data shares'!$C:$FA,81)</f>
        <v>-4.1000000000000003E-3</v>
      </c>
    </row>
    <row r="153" spans="1:15" x14ac:dyDescent="0.25">
      <c r="A153" s="100" t="str">
        <f>'OI(Value)'!A153</f>
        <v>NUVAMA</v>
      </c>
      <c r="B153" s="82">
        <f>VLOOKUP(A153,'Data shares'!$C$2:$CV$216,98,0)</f>
        <v>846900</v>
      </c>
      <c r="C153" s="82">
        <f>VLOOKUP(A153,'Data shares'!$C$2:$CX$216,100,0)</f>
        <v>84225</v>
      </c>
      <c r="D153" s="141">
        <f>VLOOKUP(A153,'Data shares'!$C$2:$CY$539,101,0)</f>
        <v>0.1104</v>
      </c>
      <c r="E153" s="86">
        <f>VLOOKUP($A153,'Data shares'!$C:$FA,74)</f>
        <v>341400</v>
      </c>
      <c r="F153" s="86">
        <f>VLOOKUP($A153,'Data shares'!$C:$FA,76)</f>
        <v>4575</v>
      </c>
      <c r="G153" s="87">
        <f>VLOOKUP(A153,'Data shares'!$C$2:$CA$216,77,0)</f>
        <v>1.3599999999999999E-2</v>
      </c>
      <c r="H153" s="86">
        <f>VLOOKUP($A153,'Data shares'!$C:$FA,90)</f>
        <v>247425</v>
      </c>
      <c r="I153" s="86">
        <f>VLOOKUP($A153,'Data shares'!$C:$FA,92)</f>
        <v>30225</v>
      </c>
      <c r="J153" s="87">
        <f>VLOOKUP($A153,'Data shares'!$C:$FA,93)</f>
        <v>0.13919999999999999</v>
      </c>
      <c r="K153" s="86">
        <f>VLOOKUP($A153,'Data shares'!$C:$FA,94)</f>
        <v>258075</v>
      </c>
      <c r="L153" s="86">
        <f>VLOOKUP($A153,'Data shares'!$C:$FA,96)</f>
        <v>49425</v>
      </c>
      <c r="M153" s="87">
        <f>VLOOKUP($A153,'Data shares'!$C:$FA,97)</f>
        <v>0.2369</v>
      </c>
      <c r="N153" s="86">
        <f>VLOOKUP($A153,'Data shares'!$C:$FA,78)</f>
        <v>317400</v>
      </c>
      <c r="O153" s="87">
        <f>VLOOKUP($A153,'Data shares'!$C:$FA,81)</f>
        <v>1.5100000000000001E-2</v>
      </c>
    </row>
    <row r="154" spans="1:15" x14ac:dyDescent="0.25">
      <c r="A154" s="100" t="str">
        <f>'OI(Value)'!A154</f>
        <v>NYKAA</v>
      </c>
      <c r="B154" s="82">
        <f>VLOOKUP(A154,'Data shares'!$C$2:$CV$216,98,0)</f>
        <v>92218750</v>
      </c>
      <c r="C154" s="82">
        <f>VLOOKUP(A154,'Data shares'!$C$2:$CX$216,100,0)</f>
        <v>1243750</v>
      </c>
      <c r="D154" s="141">
        <f>VLOOKUP(A154,'Data shares'!$C$2:$CY$539,101,0)</f>
        <v>1.37E-2</v>
      </c>
      <c r="E154" s="86">
        <f>VLOOKUP($A154,'Data shares'!$C:$FA,74)</f>
        <v>67246875</v>
      </c>
      <c r="F154" s="86">
        <f>VLOOKUP($A154,'Data shares'!$C:$FA,76)</f>
        <v>421875</v>
      </c>
      <c r="G154" s="87">
        <f>VLOOKUP(A154,'Data shares'!$C$2:$CA$216,77,0)</f>
        <v>6.3E-3</v>
      </c>
      <c r="H154" s="86">
        <f>VLOOKUP($A154,'Data shares'!$C:$FA,90)</f>
        <v>14162500</v>
      </c>
      <c r="I154" s="86">
        <f>VLOOKUP($A154,'Data shares'!$C:$FA,92)</f>
        <v>40625</v>
      </c>
      <c r="J154" s="87">
        <f>VLOOKUP($A154,'Data shares'!$C:$FA,93)</f>
        <v>2.8999999999999998E-3</v>
      </c>
      <c r="K154" s="86">
        <f>VLOOKUP($A154,'Data shares'!$C:$FA,94)</f>
        <v>10809375</v>
      </c>
      <c r="L154" s="86">
        <f>VLOOKUP($A154,'Data shares'!$C:$FA,96)</f>
        <v>781250</v>
      </c>
      <c r="M154" s="87">
        <f>VLOOKUP($A154,'Data shares'!$C:$FA,97)</f>
        <v>7.7899999999999997E-2</v>
      </c>
      <c r="N154" s="86">
        <f>VLOOKUP($A154,'Data shares'!$C:$FA,78)</f>
        <v>65021875</v>
      </c>
      <c r="O154" s="87">
        <f>VLOOKUP($A154,'Data shares'!$C:$FA,81)</f>
        <v>1E-4</v>
      </c>
    </row>
    <row r="155" spans="1:15" x14ac:dyDescent="0.25">
      <c r="A155" s="100" t="str">
        <f>'OI(Value)'!A155</f>
        <v>OBEROIRLTY</v>
      </c>
      <c r="B155" s="82">
        <f>VLOOKUP(A155,'Data shares'!$C$2:$CV$216,98,0)</f>
        <v>6932100</v>
      </c>
      <c r="C155" s="82">
        <f>VLOOKUP(A155,'Data shares'!$C$2:$CX$216,100,0)</f>
        <v>-49000</v>
      </c>
      <c r="D155" s="141">
        <f>VLOOKUP(A155,'Data shares'!$C$2:$CY$539,101,0)</f>
        <v>-7.0000000000000001E-3</v>
      </c>
      <c r="E155" s="86">
        <f>VLOOKUP($A155,'Data shares'!$C:$FA,74)</f>
        <v>4911900</v>
      </c>
      <c r="F155" s="86">
        <f>VLOOKUP($A155,'Data shares'!$C:$FA,76)</f>
        <v>-18550</v>
      </c>
      <c r="G155" s="87">
        <f>VLOOKUP(A155,'Data shares'!$C$2:$CA$216,77,0)</f>
        <v>-3.8E-3</v>
      </c>
      <c r="H155" s="86">
        <f>VLOOKUP($A155,'Data shares'!$C:$FA,90)</f>
        <v>1123150</v>
      </c>
      <c r="I155" s="86">
        <f>VLOOKUP($A155,'Data shares'!$C:$FA,92)</f>
        <v>-42000</v>
      </c>
      <c r="J155" s="87">
        <f>VLOOKUP($A155,'Data shares'!$C:$FA,93)</f>
        <v>-3.5999999999999997E-2</v>
      </c>
      <c r="K155" s="86">
        <f>VLOOKUP($A155,'Data shares'!$C:$FA,94)</f>
        <v>897050</v>
      </c>
      <c r="L155" s="86">
        <f>VLOOKUP($A155,'Data shares'!$C:$FA,96)</f>
        <v>11550</v>
      </c>
      <c r="M155" s="87">
        <f>VLOOKUP($A155,'Data shares'!$C:$FA,97)</f>
        <v>1.2999999999999999E-2</v>
      </c>
      <c r="N155" s="86">
        <f>VLOOKUP($A155,'Data shares'!$C:$FA,78)</f>
        <v>4796400</v>
      </c>
      <c r="O155" s="87">
        <f>VLOOKUP($A155,'Data shares'!$C:$FA,81)</f>
        <v>-4.5999999999999999E-3</v>
      </c>
    </row>
    <row r="156" spans="1:15" x14ac:dyDescent="0.25">
      <c r="A156" s="100" t="str">
        <f>'OI(Value)'!A156</f>
        <v>OFSS</v>
      </c>
      <c r="B156" s="82">
        <f>VLOOKUP(A156,'Data shares'!$C$2:$CV$216,98,0)</f>
        <v>1942125</v>
      </c>
      <c r="C156" s="82">
        <f>VLOOKUP(A156,'Data shares'!$C$2:$CX$216,100,0)</f>
        <v>119100</v>
      </c>
      <c r="D156" s="141">
        <f>VLOOKUP(A156,'Data shares'!$C$2:$CY$539,101,0)</f>
        <v>6.5299999999999997E-2</v>
      </c>
      <c r="E156" s="86">
        <f>VLOOKUP($A156,'Data shares'!$C:$FA,74)</f>
        <v>1107675</v>
      </c>
      <c r="F156" s="86">
        <f>VLOOKUP($A156,'Data shares'!$C:$FA,76)</f>
        <v>37425</v>
      </c>
      <c r="G156" s="87">
        <f>VLOOKUP(A156,'Data shares'!$C$2:$CA$216,77,0)</f>
        <v>3.5000000000000003E-2</v>
      </c>
      <c r="H156" s="86">
        <f>VLOOKUP($A156,'Data shares'!$C:$FA,90)</f>
        <v>528825</v>
      </c>
      <c r="I156" s="86">
        <f>VLOOKUP($A156,'Data shares'!$C:$FA,92)</f>
        <v>75450</v>
      </c>
      <c r="J156" s="87">
        <f>VLOOKUP($A156,'Data shares'!$C:$FA,93)</f>
        <v>0.16639999999999999</v>
      </c>
      <c r="K156" s="86">
        <f>VLOOKUP($A156,'Data shares'!$C:$FA,94)</f>
        <v>305625</v>
      </c>
      <c r="L156" s="86">
        <f>VLOOKUP($A156,'Data shares'!$C:$FA,96)</f>
        <v>6225</v>
      </c>
      <c r="M156" s="87">
        <f>VLOOKUP($A156,'Data shares'!$C:$FA,97)</f>
        <v>2.0799999999999999E-2</v>
      </c>
      <c r="N156" s="86">
        <f>VLOOKUP($A156,'Data shares'!$C:$FA,78)</f>
        <v>1073925</v>
      </c>
      <c r="O156" s="87">
        <f>VLOOKUP($A156,'Data shares'!$C:$FA,81)</f>
        <v>3.1199999999999999E-2</v>
      </c>
    </row>
    <row r="157" spans="1:15" x14ac:dyDescent="0.25">
      <c r="A157" s="100" t="str">
        <f>'OI(Value)'!A157</f>
        <v>OIL</v>
      </c>
      <c r="B157" s="82">
        <f>VLOOKUP(A157,'Data shares'!$C$2:$CV$216,98,0)</f>
        <v>19237400</v>
      </c>
      <c r="C157" s="82">
        <f>VLOOKUP(A157,'Data shares'!$C$2:$CX$216,100,0)</f>
        <v>511000</v>
      </c>
      <c r="D157" s="141">
        <f>VLOOKUP(A157,'Data shares'!$C$2:$CY$539,101,0)</f>
        <v>2.7300000000000001E-2</v>
      </c>
      <c r="E157" s="86">
        <f>VLOOKUP($A157,'Data shares'!$C:$FA,74)</f>
        <v>10064600</v>
      </c>
      <c r="F157" s="86">
        <f>VLOOKUP($A157,'Data shares'!$C:$FA,76)</f>
        <v>89600</v>
      </c>
      <c r="G157" s="87">
        <f>VLOOKUP(A157,'Data shares'!$C$2:$CA$216,77,0)</f>
        <v>8.9999999999999993E-3</v>
      </c>
      <c r="H157" s="86">
        <f>VLOOKUP($A157,'Data shares'!$C:$FA,90)</f>
        <v>5745600</v>
      </c>
      <c r="I157" s="86">
        <f>VLOOKUP($A157,'Data shares'!$C:$FA,92)</f>
        <v>261800</v>
      </c>
      <c r="J157" s="87">
        <f>VLOOKUP($A157,'Data shares'!$C:$FA,93)</f>
        <v>4.7699999999999999E-2</v>
      </c>
      <c r="K157" s="86">
        <f>VLOOKUP($A157,'Data shares'!$C:$FA,94)</f>
        <v>3427200</v>
      </c>
      <c r="L157" s="86">
        <f>VLOOKUP($A157,'Data shares'!$C:$FA,96)</f>
        <v>159600</v>
      </c>
      <c r="M157" s="87">
        <f>VLOOKUP($A157,'Data shares'!$C:$FA,97)</f>
        <v>4.8800000000000003E-2</v>
      </c>
      <c r="N157" s="86">
        <f>VLOOKUP($A157,'Data shares'!$C:$FA,78)</f>
        <v>9555000</v>
      </c>
      <c r="O157" s="87">
        <f>VLOOKUP($A157,'Data shares'!$C:$FA,81)</f>
        <v>5.8999999999999999E-3</v>
      </c>
    </row>
    <row r="158" spans="1:15" x14ac:dyDescent="0.25">
      <c r="A158" s="100" t="str">
        <f>'OI(Value)'!A158</f>
        <v>ONGC</v>
      </c>
      <c r="B158" s="82">
        <f>VLOOKUP(A158,'Data shares'!$C$2:$CV$216,98,0)</f>
        <v>172152000</v>
      </c>
      <c r="C158" s="82">
        <f>VLOOKUP(A158,'Data shares'!$C$2:$CX$216,100,0)</f>
        <v>-1100250</v>
      </c>
      <c r="D158" s="141">
        <f>VLOOKUP(A158,'Data shares'!$C$2:$CY$539,101,0)</f>
        <v>-6.4000000000000003E-3</v>
      </c>
      <c r="E158" s="86">
        <f>VLOOKUP($A158,'Data shares'!$C:$FA,74)</f>
        <v>98878500</v>
      </c>
      <c r="F158" s="86">
        <f>VLOOKUP($A158,'Data shares'!$C:$FA,76)</f>
        <v>-666000</v>
      </c>
      <c r="G158" s="87">
        <f>VLOOKUP(A158,'Data shares'!$C$2:$CA$216,77,0)</f>
        <v>-6.7000000000000002E-3</v>
      </c>
      <c r="H158" s="86">
        <f>VLOOKUP($A158,'Data shares'!$C:$FA,90)</f>
        <v>54200250</v>
      </c>
      <c r="I158" s="86">
        <f>VLOOKUP($A158,'Data shares'!$C:$FA,92)</f>
        <v>-1077750</v>
      </c>
      <c r="J158" s="87">
        <f>VLOOKUP($A158,'Data shares'!$C:$FA,93)</f>
        <v>-1.95E-2</v>
      </c>
      <c r="K158" s="86">
        <f>VLOOKUP($A158,'Data shares'!$C:$FA,94)</f>
        <v>19073250</v>
      </c>
      <c r="L158" s="86">
        <f>VLOOKUP($A158,'Data shares'!$C:$FA,96)</f>
        <v>643500</v>
      </c>
      <c r="M158" s="87">
        <f>VLOOKUP($A158,'Data shares'!$C:$FA,97)</f>
        <v>3.49E-2</v>
      </c>
      <c r="N158" s="86">
        <f>VLOOKUP($A158,'Data shares'!$C:$FA,78)</f>
        <v>96718500</v>
      </c>
      <c r="O158" s="87">
        <f>VLOOKUP($A158,'Data shares'!$C:$FA,81)</f>
        <v>-8.3000000000000001E-3</v>
      </c>
    </row>
    <row r="159" spans="1:15" x14ac:dyDescent="0.25">
      <c r="A159" s="100" t="str">
        <f>'OI(Value)'!A159</f>
        <v>PAGEIND</v>
      </c>
      <c r="B159" s="82">
        <f>VLOOKUP(A159,'Data shares'!$C$2:$CV$216,98,0)</f>
        <v>340185</v>
      </c>
      <c r="C159" s="82">
        <f>VLOOKUP(A159,'Data shares'!$C$2:$CX$216,100,0)</f>
        <v>8190</v>
      </c>
      <c r="D159" s="141">
        <f>VLOOKUP(A159,'Data shares'!$C$2:$CY$539,101,0)</f>
        <v>2.47E-2</v>
      </c>
      <c r="E159" s="86">
        <f>VLOOKUP($A159,'Data shares'!$C:$FA,74)</f>
        <v>228285</v>
      </c>
      <c r="F159" s="86">
        <f>VLOOKUP($A159,'Data shares'!$C:$FA,76)</f>
        <v>2100</v>
      </c>
      <c r="G159" s="87">
        <f>VLOOKUP(A159,'Data shares'!$C$2:$CA$216,77,0)</f>
        <v>9.2999999999999992E-3</v>
      </c>
      <c r="H159" s="86">
        <f>VLOOKUP($A159,'Data shares'!$C:$FA,90)</f>
        <v>79590</v>
      </c>
      <c r="I159" s="86">
        <f>VLOOKUP($A159,'Data shares'!$C:$FA,92)</f>
        <v>5325</v>
      </c>
      <c r="J159" s="87">
        <f>VLOOKUP($A159,'Data shares'!$C:$FA,93)</f>
        <v>7.17E-2</v>
      </c>
      <c r="K159" s="86">
        <f>VLOOKUP($A159,'Data shares'!$C:$FA,94)</f>
        <v>32310</v>
      </c>
      <c r="L159" s="86">
        <f>VLOOKUP($A159,'Data shares'!$C:$FA,96)</f>
        <v>765</v>
      </c>
      <c r="M159" s="87">
        <f>VLOOKUP($A159,'Data shares'!$C:$FA,97)</f>
        <v>2.4299999999999999E-2</v>
      </c>
      <c r="N159" s="86">
        <f>VLOOKUP($A159,'Data shares'!$C:$FA,78)</f>
        <v>216855</v>
      </c>
      <c r="O159" s="87">
        <f>VLOOKUP($A159,'Data shares'!$C:$FA,81)</f>
        <v>2.3999999999999998E-3</v>
      </c>
    </row>
    <row r="160" spans="1:15" x14ac:dyDescent="0.25">
      <c r="A160" s="100" t="str">
        <f>'OI(Value)'!A160</f>
        <v>PATANJALI</v>
      </c>
      <c r="B160" s="82">
        <f>VLOOKUP(A160,'Data shares'!$C$2:$CV$216,98,0)</f>
        <v>41304600</v>
      </c>
      <c r="C160" s="82">
        <f>VLOOKUP(A160,'Data shares'!$C$2:$CX$216,100,0)</f>
        <v>568800</v>
      </c>
      <c r="D160" s="141">
        <f>VLOOKUP(A160,'Data shares'!$C$2:$CY$539,101,0)</f>
        <v>1.4E-2</v>
      </c>
      <c r="E160" s="86">
        <f>VLOOKUP($A160,'Data shares'!$C:$FA,74)</f>
        <v>32663700</v>
      </c>
      <c r="F160" s="86">
        <f>VLOOKUP($A160,'Data shares'!$C:$FA,76)</f>
        <v>-129600</v>
      </c>
      <c r="G160" s="87">
        <f>VLOOKUP(A160,'Data shares'!$C$2:$CA$216,77,0)</f>
        <v>-4.0000000000000001E-3</v>
      </c>
      <c r="H160" s="86">
        <f>VLOOKUP($A160,'Data shares'!$C:$FA,90)</f>
        <v>6031800</v>
      </c>
      <c r="I160" s="86">
        <f>VLOOKUP($A160,'Data shares'!$C:$FA,92)</f>
        <v>669600</v>
      </c>
      <c r="J160" s="87">
        <f>VLOOKUP($A160,'Data shares'!$C:$FA,93)</f>
        <v>0.1249</v>
      </c>
      <c r="K160" s="86">
        <f>VLOOKUP($A160,'Data shares'!$C:$FA,94)</f>
        <v>2609100</v>
      </c>
      <c r="L160" s="86">
        <f>VLOOKUP($A160,'Data shares'!$C:$FA,96)</f>
        <v>28800</v>
      </c>
      <c r="M160" s="87">
        <f>VLOOKUP($A160,'Data shares'!$C:$FA,97)</f>
        <v>1.12E-2</v>
      </c>
      <c r="N160" s="86">
        <f>VLOOKUP($A160,'Data shares'!$C:$FA,78)</f>
        <v>32402700</v>
      </c>
      <c r="O160" s="87">
        <f>VLOOKUP($A160,'Data shares'!$C:$FA,81)</f>
        <v>-4.1999999999999997E-3</v>
      </c>
    </row>
    <row r="161" spans="1:15" x14ac:dyDescent="0.25">
      <c r="A161" s="100" t="str">
        <f>'OI(Value)'!A161</f>
        <v>PAYTM</v>
      </c>
      <c r="B161" s="82">
        <f>VLOOKUP(A161,'Data shares'!$C$2:$CV$216,98,0)</f>
        <v>39254400</v>
      </c>
      <c r="C161" s="82">
        <f>VLOOKUP(A161,'Data shares'!$C$2:$CX$216,100,0)</f>
        <v>-293625</v>
      </c>
      <c r="D161" s="141">
        <f>VLOOKUP(A161,'Data shares'!$C$2:$CY$539,101,0)</f>
        <v>-7.4000000000000003E-3</v>
      </c>
      <c r="E161" s="86">
        <f>VLOOKUP($A161,'Data shares'!$C:$FA,74)</f>
        <v>26799625</v>
      </c>
      <c r="F161" s="86">
        <f>VLOOKUP($A161,'Data shares'!$C:$FA,76)</f>
        <v>-257375</v>
      </c>
      <c r="G161" s="87">
        <f>VLOOKUP(A161,'Data shares'!$C$2:$CA$216,77,0)</f>
        <v>-9.4999999999999998E-3</v>
      </c>
      <c r="H161" s="86">
        <f>VLOOKUP($A161,'Data shares'!$C:$FA,90)</f>
        <v>6654775</v>
      </c>
      <c r="I161" s="86">
        <f>VLOOKUP($A161,'Data shares'!$C:$FA,92)</f>
        <v>-5800</v>
      </c>
      <c r="J161" s="87">
        <f>VLOOKUP($A161,'Data shares'!$C:$FA,93)</f>
        <v>-8.9999999999999998E-4</v>
      </c>
      <c r="K161" s="86">
        <f>VLOOKUP($A161,'Data shares'!$C:$FA,94)</f>
        <v>5800000</v>
      </c>
      <c r="L161" s="86">
        <f>VLOOKUP($A161,'Data shares'!$C:$FA,96)</f>
        <v>-30450</v>
      </c>
      <c r="M161" s="87">
        <f>VLOOKUP($A161,'Data shares'!$C:$FA,97)</f>
        <v>-5.1999999999999998E-3</v>
      </c>
      <c r="N161" s="86">
        <f>VLOOKUP($A161,'Data shares'!$C:$FA,78)</f>
        <v>26453800</v>
      </c>
      <c r="O161" s="87">
        <f>VLOOKUP($A161,'Data shares'!$C:$FA,81)</f>
        <v>-9.7000000000000003E-3</v>
      </c>
    </row>
    <row r="162" spans="1:15" x14ac:dyDescent="0.25">
      <c r="A162" s="100" t="str">
        <f>'OI(Value)'!A162</f>
        <v>PERSISTENT</v>
      </c>
      <c r="B162" s="82">
        <f>VLOOKUP(A162,'Data shares'!$C$2:$CV$216,98,0)</f>
        <v>4646500</v>
      </c>
      <c r="C162" s="82">
        <f>VLOOKUP(A162,'Data shares'!$C$2:$CX$216,100,0)</f>
        <v>-21500</v>
      </c>
      <c r="D162" s="141">
        <f>VLOOKUP(A162,'Data shares'!$C$2:$CY$539,101,0)</f>
        <v>-4.5999999999999999E-3</v>
      </c>
      <c r="E162" s="86">
        <f>VLOOKUP($A162,'Data shares'!$C:$FA,74)</f>
        <v>3175300</v>
      </c>
      <c r="F162" s="86">
        <f>VLOOKUP($A162,'Data shares'!$C:$FA,76)</f>
        <v>-36300</v>
      </c>
      <c r="G162" s="87">
        <f>VLOOKUP(A162,'Data shares'!$C$2:$CA$216,77,0)</f>
        <v>-1.1299999999999999E-2</v>
      </c>
      <c r="H162" s="86">
        <f>VLOOKUP($A162,'Data shares'!$C:$FA,90)</f>
        <v>868700</v>
      </c>
      <c r="I162" s="86">
        <f>VLOOKUP($A162,'Data shares'!$C:$FA,92)</f>
        <v>10500</v>
      </c>
      <c r="J162" s="87">
        <f>VLOOKUP($A162,'Data shares'!$C:$FA,93)</f>
        <v>1.2200000000000001E-2</v>
      </c>
      <c r="K162" s="86">
        <f>VLOOKUP($A162,'Data shares'!$C:$FA,94)</f>
        <v>602500</v>
      </c>
      <c r="L162" s="86">
        <f>VLOOKUP($A162,'Data shares'!$C:$FA,96)</f>
        <v>4300</v>
      </c>
      <c r="M162" s="87">
        <f>VLOOKUP($A162,'Data shares'!$C:$FA,97)</f>
        <v>7.1999999999999998E-3</v>
      </c>
      <c r="N162" s="86">
        <f>VLOOKUP($A162,'Data shares'!$C:$FA,78)</f>
        <v>3116900</v>
      </c>
      <c r="O162" s="87">
        <f>VLOOKUP($A162,'Data shares'!$C:$FA,81)</f>
        <v>-1.15E-2</v>
      </c>
    </row>
    <row r="163" spans="1:15" x14ac:dyDescent="0.25">
      <c r="A163" s="100" t="str">
        <f>'OI(Value)'!A163</f>
        <v>PETRONET</v>
      </c>
      <c r="B163" s="82">
        <f>VLOOKUP(A163,'Data shares'!$C$2:$CV$216,98,0)</f>
        <v>73503000</v>
      </c>
      <c r="C163" s="82">
        <f>VLOOKUP(A163,'Data shares'!$C$2:$CX$216,100,0)</f>
        <v>745200</v>
      </c>
      <c r="D163" s="141">
        <f>VLOOKUP(A163,'Data shares'!$C$2:$CY$539,101,0)</f>
        <v>1.0200000000000001E-2</v>
      </c>
      <c r="E163" s="86">
        <f>VLOOKUP($A163,'Data shares'!$C:$FA,74)</f>
        <v>42858000</v>
      </c>
      <c r="F163" s="86">
        <f>VLOOKUP($A163,'Data shares'!$C:$FA,76)</f>
        <v>313200</v>
      </c>
      <c r="G163" s="87">
        <f>VLOOKUP(A163,'Data shares'!$C$2:$CA$216,77,0)</f>
        <v>7.4000000000000003E-3</v>
      </c>
      <c r="H163" s="86">
        <f>VLOOKUP($A163,'Data shares'!$C:$FA,90)</f>
        <v>15220800</v>
      </c>
      <c r="I163" s="86">
        <f>VLOOKUP($A163,'Data shares'!$C:$FA,92)</f>
        <v>360000</v>
      </c>
      <c r="J163" s="87">
        <f>VLOOKUP($A163,'Data shares'!$C:$FA,93)</f>
        <v>2.4199999999999999E-2</v>
      </c>
      <c r="K163" s="86">
        <f>VLOOKUP($A163,'Data shares'!$C:$FA,94)</f>
        <v>15424200</v>
      </c>
      <c r="L163" s="86">
        <f>VLOOKUP($A163,'Data shares'!$C:$FA,96)</f>
        <v>72000</v>
      </c>
      <c r="M163" s="87">
        <f>VLOOKUP($A163,'Data shares'!$C:$FA,97)</f>
        <v>4.7000000000000002E-3</v>
      </c>
      <c r="N163" s="86">
        <f>VLOOKUP($A163,'Data shares'!$C:$FA,78)</f>
        <v>41995800</v>
      </c>
      <c r="O163" s="87">
        <f>VLOOKUP($A163,'Data shares'!$C:$FA,81)</f>
        <v>4.8999999999999998E-3</v>
      </c>
    </row>
    <row r="164" spans="1:15" x14ac:dyDescent="0.25">
      <c r="A164" s="100" t="str">
        <f>'OI(Value)'!A164</f>
        <v>PFC</v>
      </c>
      <c r="B164" s="82">
        <f>VLOOKUP(A164,'Data shares'!$C$2:$CV$216,98,0)</f>
        <v>95495400</v>
      </c>
      <c r="C164" s="82">
        <f>VLOOKUP(A164,'Data shares'!$C$2:$CX$216,100,0)</f>
        <v>-1223300</v>
      </c>
      <c r="D164" s="141">
        <f>VLOOKUP(A164,'Data shares'!$C$2:$CY$539,101,0)</f>
        <v>-1.26E-2</v>
      </c>
      <c r="E164" s="86">
        <f>VLOOKUP($A164,'Data shares'!$C:$FA,74)</f>
        <v>54490800</v>
      </c>
      <c r="F164" s="86">
        <f>VLOOKUP($A164,'Data shares'!$C:$FA,76)</f>
        <v>-215800</v>
      </c>
      <c r="G164" s="87">
        <f>VLOOKUP(A164,'Data shares'!$C$2:$CA$216,77,0)</f>
        <v>-3.8999999999999998E-3</v>
      </c>
      <c r="H164" s="86">
        <f>VLOOKUP($A164,'Data shares'!$C:$FA,90)</f>
        <v>23280400</v>
      </c>
      <c r="I164" s="86">
        <f>VLOOKUP($A164,'Data shares'!$C:$FA,92)</f>
        <v>-705900</v>
      </c>
      <c r="J164" s="87">
        <f>VLOOKUP($A164,'Data shares'!$C:$FA,93)</f>
        <v>-2.9399999999999999E-2</v>
      </c>
      <c r="K164" s="86">
        <f>VLOOKUP($A164,'Data shares'!$C:$FA,94)</f>
        <v>17724200</v>
      </c>
      <c r="L164" s="86">
        <f>VLOOKUP($A164,'Data shares'!$C:$FA,96)</f>
        <v>-301600</v>
      </c>
      <c r="M164" s="87">
        <f>VLOOKUP($A164,'Data shares'!$C:$FA,97)</f>
        <v>-1.67E-2</v>
      </c>
      <c r="N164" s="86">
        <f>VLOOKUP($A164,'Data shares'!$C:$FA,78)</f>
        <v>50187800</v>
      </c>
      <c r="O164" s="87">
        <f>VLOOKUP($A164,'Data shares'!$C:$FA,81)</f>
        <v>-3.0000000000000001E-3</v>
      </c>
    </row>
    <row r="165" spans="1:15" x14ac:dyDescent="0.25">
      <c r="A165" s="100" t="str">
        <f>'OI(Value)'!A165</f>
        <v>PGEL</v>
      </c>
      <c r="B165" s="82">
        <f>VLOOKUP(A165,'Data shares'!$C$2:$CV$216,98,0)</f>
        <v>24203900</v>
      </c>
      <c r="C165" s="82">
        <f>VLOOKUP(A165,'Data shares'!$C$2:$CX$216,100,0)</f>
        <v>5149200</v>
      </c>
      <c r="D165" s="141">
        <f>VLOOKUP(A165,'Data shares'!$C$2:$CY$539,101,0)</f>
        <v>0.2702</v>
      </c>
      <c r="E165" s="86">
        <f>VLOOKUP($A165,'Data shares'!$C:$FA,74)</f>
        <v>11169200</v>
      </c>
      <c r="F165" s="86">
        <f>VLOOKUP($A165,'Data shares'!$C:$FA,76)</f>
        <v>1729000</v>
      </c>
      <c r="G165" s="87">
        <f>VLOOKUP(A165,'Data shares'!$C$2:$CA$216,77,0)</f>
        <v>0.1832</v>
      </c>
      <c r="H165" s="86">
        <f>VLOOKUP($A165,'Data shares'!$C:$FA,90)</f>
        <v>6788600</v>
      </c>
      <c r="I165" s="86">
        <f>VLOOKUP($A165,'Data shares'!$C:$FA,92)</f>
        <v>1019900</v>
      </c>
      <c r="J165" s="87">
        <f>VLOOKUP($A165,'Data shares'!$C:$FA,93)</f>
        <v>0.17680000000000001</v>
      </c>
      <c r="K165" s="86">
        <f>VLOOKUP($A165,'Data shares'!$C:$FA,94)</f>
        <v>6246100</v>
      </c>
      <c r="L165" s="86">
        <f>VLOOKUP($A165,'Data shares'!$C:$FA,96)</f>
        <v>2400300</v>
      </c>
      <c r="M165" s="87">
        <f>VLOOKUP($A165,'Data shares'!$C:$FA,97)</f>
        <v>0.62409999999999999</v>
      </c>
      <c r="N165" s="86">
        <f>VLOOKUP($A165,'Data shares'!$C:$FA,78)</f>
        <v>10821300</v>
      </c>
      <c r="O165" s="87">
        <f>VLOOKUP($A165,'Data shares'!$C:$FA,81)</f>
        <v>0.192</v>
      </c>
    </row>
    <row r="166" spans="1:15" x14ac:dyDescent="0.25">
      <c r="A166" s="100" t="str">
        <f>'OI(Value)'!A166</f>
        <v>PHOENIXLTD</v>
      </c>
      <c r="B166" s="82">
        <f>VLOOKUP(A166,'Data shares'!$C$2:$CV$216,98,0)</f>
        <v>5450550</v>
      </c>
      <c r="C166" s="82">
        <f>VLOOKUP(A166,'Data shares'!$C$2:$CX$216,100,0)</f>
        <v>16100</v>
      </c>
      <c r="D166" s="141">
        <f>VLOOKUP(A166,'Data shares'!$C$2:$CY$539,101,0)</f>
        <v>3.0000000000000001E-3</v>
      </c>
      <c r="E166" s="86">
        <f>VLOOKUP($A166,'Data shares'!$C:$FA,74)</f>
        <v>4120200</v>
      </c>
      <c r="F166" s="86">
        <f>VLOOKUP($A166,'Data shares'!$C:$FA,76)</f>
        <v>-39550</v>
      </c>
      <c r="G166" s="87">
        <f>VLOOKUP(A166,'Data shares'!$C$2:$CA$216,77,0)</f>
        <v>-9.4999999999999998E-3</v>
      </c>
      <c r="H166" s="86">
        <f>VLOOKUP($A166,'Data shares'!$C:$FA,90)</f>
        <v>816200</v>
      </c>
      <c r="I166" s="86">
        <f>VLOOKUP($A166,'Data shares'!$C:$FA,92)</f>
        <v>11200</v>
      </c>
      <c r="J166" s="87">
        <f>VLOOKUP($A166,'Data shares'!$C:$FA,93)</f>
        <v>1.3899999999999999E-2</v>
      </c>
      <c r="K166" s="86">
        <f>VLOOKUP($A166,'Data shares'!$C:$FA,94)</f>
        <v>514150</v>
      </c>
      <c r="L166" s="86">
        <f>VLOOKUP($A166,'Data shares'!$C:$FA,96)</f>
        <v>44450</v>
      </c>
      <c r="M166" s="87">
        <f>VLOOKUP($A166,'Data shares'!$C:$FA,97)</f>
        <v>9.4600000000000004E-2</v>
      </c>
      <c r="N166" s="86">
        <f>VLOOKUP($A166,'Data shares'!$C:$FA,78)</f>
        <v>4043550</v>
      </c>
      <c r="O166" s="87">
        <f>VLOOKUP($A166,'Data shares'!$C:$FA,81)</f>
        <v>-1.04E-2</v>
      </c>
    </row>
    <row r="167" spans="1:15" x14ac:dyDescent="0.25">
      <c r="A167" s="100" t="str">
        <f>'OI(Value)'!A167</f>
        <v>PIDILITIND</v>
      </c>
      <c r="B167" s="82">
        <f>VLOOKUP(A167,'Data shares'!$C$2:$CV$216,98,0)</f>
        <v>11901000</v>
      </c>
      <c r="C167" s="82">
        <f>VLOOKUP(A167,'Data shares'!$C$2:$CX$216,100,0)</f>
        <v>2000</v>
      </c>
      <c r="D167" s="141">
        <f>VLOOKUP(A167,'Data shares'!$C$2:$CY$539,101,0)</f>
        <v>2.0000000000000001E-4</v>
      </c>
      <c r="E167" s="86">
        <f>VLOOKUP($A167,'Data shares'!$C:$FA,74)</f>
        <v>9652000</v>
      </c>
      <c r="F167" s="86">
        <f>VLOOKUP($A167,'Data shares'!$C:$FA,76)</f>
        <v>68500</v>
      </c>
      <c r="G167" s="87">
        <f>VLOOKUP(A167,'Data shares'!$C$2:$CA$216,77,0)</f>
        <v>7.1000000000000004E-3</v>
      </c>
      <c r="H167" s="86">
        <f>VLOOKUP($A167,'Data shares'!$C:$FA,90)</f>
        <v>1357500</v>
      </c>
      <c r="I167" s="86">
        <f>VLOOKUP($A167,'Data shares'!$C:$FA,92)</f>
        <v>-47000</v>
      </c>
      <c r="J167" s="87">
        <f>VLOOKUP($A167,'Data shares'!$C:$FA,93)</f>
        <v>-3.3500000000000002E-2</v>
      </c>
      <c r="K167" s="86">
        <f>VLOOKUP($A167,'Data shares'!$C:$FA,94)</f>
        <v>891500</v>
      </c>
      <c r="L167" s="86">
        <f>VLOOKUP($A167,'Data shares'!$C:$FA,96)</f>
        <v>-19500</v>
      </c>
      <c r="M167" s="87">
        <f>VLOOKUP($A167,'Data shares'!$C:$FA,97)</f>
        <v>-2.1399999999999999E-2</v>
      </c>
      <c r="N167" s="86">
        <f>VLOOKUP($A167,'Data shares'!$C:$FA,78)</f>
        <v>9565500</v>
      </c>
      <c r="O167" s="87">
        <f>VLOOKUP($A167,'Data shares'!$C:$FA,81)</f>
        <v>6.7000000000000002E-3</v>
      </c>
    </row>
    <row r="168" spans="1:15" x14ac:dyDescent="0.25">
      <c r="A168" s="100" t="str">
        <f>'OI(Value)'!A168</f>
        <v>PIIND</v>
      </c>
      <c r="B168" s="82">
        <f>VLOOKUP(A168,'Data shares'!$C$2:$CV$216,98,0)</f>
        <v>2450525</v>
      </c>
      <c r="C168" s="82">
        <f>VLOOKUP(A168,'Data shares'!$C$2:$CX$216,100,0)</f>
        <v>-13300</v>
      </c>
      <c r="D168" s="141">
        <f>VLOOKUP(A168,'Data shares'!$C$2:$CY$539,101,0)</f>
        <v>-5.4000000000000003E-3</v>
      </c>
      <c r="E168" s="86">
        <f>VLOOKUP($A168,'Data shares'!$C:$FA,74)</f>
        <v>1796725</v>
      </c>
      <c r="F168" s="86">
        <f>VLOOKUP($A168,'Data shares'!$C:$FA,76)</f>
        <v>-25200</v>
      </c>
      <c r="G168" s="87">
        <f>VLOOKUP(A168,'Data shares'!$C$2:$CA$216,77,0)</f>
        <v>-1.38E-2</v>
      </c>
      <c r="H168" s="86">
        <f>VLOOKUP($A168,'Data shares'!$C:$FA,90)</f>
        <v>371175</v>
      </c>
      <c r="I168" s="86">
        <f>VLOOKUP($A168,'Data shares'!$C:$FA,92)</f>
        <v>0</v>
      </c>
      <c r="J168" s="87">
        <f>VLOOKUP($A168,'Data shares'!$C:$FA,93)</f>
        <v>0</v>
      </c>
      <c r="K168" s="86">
        <f>VLOOKUP($A168,'Data shares'!$C:$FA,94)</f>
        <v>282625</v>
      </c>
      <c r="L168" s="86">
        <f>VLOOKUP($A168,'Data shares'!$C:$FA,96)</f>
        <v>11900</v>
      </c>
      <c r="M168" s="87">
        <f>VLOOKUP($A168,'Data shares'!$C:$FA,97)</f>
        <v>4.3999999999999997E-2</v>
      </c>
      <c r="N168" s="86">
        <f>VLOOKUP($A168,'Data shares'!$C:$FA,78)</f>
        <v>1750350</v>
      </c>
      <c r="O168" s="87">
        <f>VLOOKUP($A168,'Data shares'!$C:$FA,81)</f>
        <v>-1.4500000000000001E-2</v>
      </c>
    </row>
    <row r="169" spans="1:15" x14ac:dyDescent="0.25">
      <c r="A169" s="100" t="str">
        <f>'OI(Value)'!A169</f>
        <v>PNB</v>
      </c>
      <c r="B169" s="82">
        <f>VLOOKUP(A169,'Data shares'!$C$2:$CV$216,98,0)</f>
        <v>463048000</v>
      </c>
      <c r="C169" s="82">
        <f>VLOOKUP(A169,'Data shares'!$C$2:$CX$216,100,0)</f>
        <v>2680000</v>
      </c>
      <c r="D169" s="141">
        <f>VLOOKUP(A169,'Data shares'!$C$2:$CY$539,101,0)</f>
        <v>5.7999999999999996E-3</v>
      </c>
      <c r="E169" s="86">
        <f>VLOOKUP($A169,'Data shares'!$C:$FA,74)</f>
        <v>256288000</v>
      </c>
      <c r="F169" s="86">
        <f>VLOOKUP($A169,'Data shares'!$C:$FA,76)</f>
        <v>-512000</v>
      </c>
      <c r="G169" s="87">
        <f>VLOOKUP(A169,'Data shares'!$C$2:$CA$216,77,0)</f>
        <v>-2E-3</v>
      </c>
      <c r="H169" s="86">
        <f>VLOOKUP($A169,'Data shares'!$C:$FA,90)</f>
        <v>112944000</v>
      </c>
      <c r="I169" s="86">
        <f>VLOOKUP($A169,'Data shares'!$C:$FA,92)</f>
        <v>-8120000</v>
      </c>
      <c r="J169" s="87">
        <f>VLOOKUP($A169,'Data shares'!$C:$FA,93)</f>
        <v>-6.7100000000000007E-2</v>
      </c>
      <c r="K169" s="86">
        <f>VLOOKUP($A169,'Data shares'!$C:$FA,94)</f>
        <v>93816000</v>
      </c>
      <c r="L169" s="86">
        <f>VLOOKUP($A169,'Data shares'!$C:$FA,96)</f>
        <v>11312000</v>
      </c>
      <c r="M169" s="87">
        <f>VLOOKUP($A169,'Data shares'!$C:$FA,97)</f>
        <v>0.1371</v>
      </c>
      <c r="N169" s="86">
        <f>VLOOKUP($A169,'Data shares'!$C:$FA,78)</f>
        <v>243096000</v>
      </c>
      <c r="O169" s="87">
        <f>VLOOKUP($A169,'Data shares'!$C:$FA,81)</f>
        <v>-6.1999999999999998E-3</v>
      </c>
    </row>
    <row r="170" spans="1:15" x14ac:dyDescent="0.25">
      <c r="A170" s="100" t="str">
        <f>'OI(Value)'!A170</f>
        <v>PNBHOUSING</v>
      </c>
      <c r="B170" s="82">
        <f>VLOOKUP(A170,'Data shares'!$C$2:$CV$216,98,0)</f>
        <v>22241050</v>
      </c>
      <c r="C170" s="82">
        <f>VLOOKUP(A170,'Data shares'!$C$2:$CX$216,100,0)</f>
        <v>1177800</v>
      </c>
      <c r="D170" s="141">
        <f>VLOOKUP(A170,'Data shares'!$C$2:$CY$539,101,0)</f>
        <v>5.5899999999999998E-2</v>
      </c>
      <c r="E170" s="86">
        <f>VLOOKUP($A170,'Data shares'!$C:$FA,74)</f>
        <v>15192450</v>
      </c>
      <c r="F170" s="86">
        <f>VLOOKUP($A170,'Data shares'!$C:$FA,76)</f>
        <v>219050</v>
      </c>
      <c r="G170" s="87">
        <f>VLOOKUP(A170,'Data shares'!$C$2:$CA$216,77,0)</f>
        <v>1.46E-2</v>
      </c>
      <c r="H170" s="86">
        <f>VLOOKUP($A170,'Data shares'!$C:$FA,90)</f>
        <v>4069650</v>
      </c>
      <c r="I170" s="86">
        <f>VLOOKUP($A170,'Data shares'!$C:$FA,92)</f>
        <v>442000</v>
      </c>
      <c r="J170" s="87">
        <f>VLOOKUP($A170,'Data shares'!$C:$FA,93)</f>
        <v>0.12180000000000001</v>
      </c>
      <c r="K170" s="86">
        <f>VLOOKUP($A170,'Data shares'!$C:$FA,94)</f>
        <v>2978950</v>
      </c>
      <c r="L170" s="86">
        <f>VLOOKUP($A170,'Data shares'!$C:$FA,96)</f>
        <v>516750</v>
      </c>
      <c r="M170" s="87">
        <f>VLOOKUP($A170,'Data shares'!$C:$FA,97)</f>
        <v>0.2099</v>
      </c>
      <c r="N170" s="86">
        <f>VLOOKUP($A170,'Data shares'!$C:$FA,78)</f>
        <v>14764750</v>
      </c>
      <c r="O170" s="87">
        <f>VLOOKUP($A170,'Data shares'!$C:$FA,81)</f>
        <v>8.8000000000000005E-3</v>
      </c>
    </row>
    <row r="171" spans="1:15" x14ac:dyDescent="0.25">
      <c r="A171" s="100" t="str">
        <f>'OI(Value)'!A171</f>
        <v>POLICYBZR</v>
      </c>
      <c r="B171" s="82">
        <f>VLOOKUP(A171,'Data shares'!$C$2:$CV$216,98,0)</f>
        <v>8978550</v>
      </c>
      <c r="C171" s="82">
        <f>VLOOKUP(A171,'Data shares'!$C$2:$CX$216,100,0)</f>
        <v>-208600</v>
      </c>
      <c r="D171" s="141">
        <f>VLOOKUP(A171,'Data shares'!$C$2:$CY$539,101,0)</f>
        <v>-2.2700000000000001E-2</v>
      </c>
      <c r="E171" s="86">
        <f>VLOOKUP($A171,'Data shares'!$C:$FA,74)</f>
        <v>6879600</v>
      </c>
      <c r="F171" s="86">
        <f>VLOOKUP($A171,'Data shares'!$C:$FA,76)</f>
        <v>-187950</v>
      </c>
      <c r="G171" s="87">
        <f>VLOOKUP(A171,'Data shares'!$C$2:$CA$216,77,0)</f>
        <v>-2.6599999999999999E-2</v>
      </c>
      <c r="H171" s="86">
        <f>VLOOKUP($A171,'Data shares'!$C:$FA,90)</f>
        <v>1189650</v>
      </c>
      <c r="I171" s="86">
        <f>VLOOKUP($A171,'Data shares'!$C:$FA,92)</f>
        <v>-25550</v>
      </c>
      <c r="J171" s="87">
        <f>VLOOKUP($A171,'Data shares'!$C:$FA,93)</f>
        <v>-2.1000000000000001E-2</v>
      </c>
      <c r="K171" s="86">
        <f>VLOOKUP($A171,'Data shares'!$C:$FA,94)</f>
        <v>909300</v>
      </c>
      <c r="L171" s="86">
        <f>VLOOKUP($A171,'Data shares'!$C:$FA,96)</f>
        <v>4900</v>
      </c>
      <c r="M171" s="87">
        <f>VLOOKUP($A171,'Data shares'!$C:$FA,97)</f>
        <v>5.4000000000000003E-3</v>
      </c>
      <c r="N171" s="86">
        <f>VLOOKUP($A171,'Data shares'!$C:$FA,78)</f>
        <v>6822550</v>
      </c>
      <c r="O171" s="87">
        <f>VLOOKUP($A171,'Data shares'!$C:$FA,81)</f>
        <v>-2.7099999999999999E-2</v>
      </c>
    </row>
    <row r="172" spans="1:15" x14ac:dyDescent="0.25">
      <c r="A172" s="100" t="str">
        <f>'OI(Value)'!A172</f>
        <v>POLYCAB</v>
      </c>
      <c r="B172" s="82">
        <f>VLOOKUP(A172,'Data shares'!$C$2:$CV$216,98,0)</f>
        <v>3049125</v>
      </c>
      <c r="C172" s="82">
        <f>VLOOKUP(A172,'Data shares'!$C$2:$CX$216,100,0)</f>
        <v>288375</v>
      </c>
      <c r="D172" s="141">
        <f>VLOOKUP(A172,'Data shares'!$C$2:$CY$539,101,0)</f>
        <v>0.1045</v>
      </c>
      <c r="E172" s="86">
        <f>VLOOKUP($A172,'Data shares'!$C:$FA,74)</f>
        <v>1751750</v>
      </c>
      <c r="F172" s="86">
        <f>VLOOKUP($A172,'Data shares'!$C:$FA,76)</f>
        <v>27125</v>
      </c>
      <c r="G172" s="87">
        <f>VLOOKUP(A172,'Data shares'!$C$2:$CA$216,77,0)</f>
        <v>1.5699999999999999E-2</v>
      </c>
      <c r="H172" s="86">
        <f>VLOOKUP($A172,'Data shares'!$C:$FA,90)</f>
        <v>875750</v>
      </c>
      <c r="I172" s="86">
        <f>VLOOKUP($A172,'Data shares'!$C:$FA,92)</f>
        <v>219250</v>
      </c>
      <c r="J172" s="87">
        <f>VLOOKUP($A172,'Data shares'!$C:$FA,93)</f>
        <v>0.33400000000000002</v>
      </c>
      <c r="K172" s="86">
        <f>VLOOKUP($A172,'Data shares'!$C:$FA,94)</f>
        <v>421625</v>
      </c>
      <c r="L172" s="86">
        <f>VLOOKUP($A172,'Data shares'!$C:$FA,96)</f>
        <v>42000</v>
      </c>
      <c r="M172" s="87">
        <f>VLOOKUP($A172,'Data shares'!$C:$FA,97)</f>
        <v>0.1106</v>
      </c>
      <c r="N172" s="86">
        <f>VLOOKUP($A172,'Data shares'!$C:$FA,78)</f>
        <v>1703375</v>
      </c>
      <c r="O172" s="87">
        <f>VLOOKUP($A172,'Data shares'!$C:$FA,81)</f>
        <v>9.5999999999999992E-3</v>
      </c>
    </row>
    <row r="173" spans="1:15" x14ac:dyDescent="0.25">
      <c r="A173" s="100" t="str">
        <f>'OI(Value)'!A173</f>
        <v>POWERGRID</v>
      </c>
      <c r="B173" s="82">
        <f>VLOOKUP(A173,'Data shares'!$C$2:$CV$216,98,0)</f>
        <v>120233900</v>
      </c>
      <c r="C173" s="82">
        <f>VLOOKUP(A173,'Data shares'!$C$2:$CX$216,100,0)</f>
        <v>-20900</v>
      </c>
      <c r="D173" s="141">
        <f>VLOOKUP(A173,'Data shares'!$C$2:$CY$539,101,0)</f>
        <v>-2.0000000000000001E-4</v>
      </c>
      <c r="E173" s="86">
        <f>VLOOKUP($A173,'Data shares'!$C:$FA,74)</f>
        <v>73381800</v>
      </c>
      <c r="F173" s="86">
        <f>VLOOKUP($A173,'Data shares'!$C:$FA,76)</f>
        <v>256500</v>
      </c>
      <c r="G173" s="87">
        <f>VLOOKUP(A173,'Data shares'!$C$2:$CA$216,77,0)</f>
        <v>3.5000000000000001E-3</v>
      </c>
      <c r="H173" s="86">
        <f>VLOOKUP($A173,'Data shares'!$C:$FA,90)</f>
        <v>31044100</v>
      </c>
      <c r="I173" s="86">
        <f>VLOOKUP($A173,'Data shares'!$C:$FA,92)</f>
        <v>-157700</v>
      </c>
      <c r="J173" s="87">
        <f>VLOOKUP($A173,'Data shares'!$C:$FA,93)</f>
        <v>-5.1000000000000004E-3</v>
      </c>
      <c r="K173" s="86">
        <f>VLOOKUP($A173,'Data shares'!$C:$FA,94)</f>
        <v>15808000</v>
      </c>
      <c r="L173" s="86">
        <f>VLOOKUP($A173,'Data shares'!$C:$FA,96)</f>
        <v>-119700</v>
      </c>
      <c r="M173" s="87">
        <f>VLOOKUP($A173,'Data shares'!$C:$FA,97)</f>
        <v>-7.4999999999999997E-3</v>
      </c>
      <c r="N173" s="86">
        <f>VLOOKUP($A173,'Data shares'!$C:$FA,78)</f>
        <v>70775000</v>
      </c>
      <c r="O173" s="87">
        <f>VLOOKUP($A173,'Data shares'!$C:$FA,81)</f>
        <v>2.7000000000000001E-3</v>
      </c>
    </row>
    <row r="174" spans="1:15" x14ac:dyDescent="0.25">
      <c r="A174" s="100" t="str">
        <f>'OI(Value)'!A174</f>
        <v>POWERINDIA</v>
      </c>
      <c r="B174" s="82">
        <f>VLOOKUP(A174,'Data shares'!$C$2:$CV$216,98,0)</f>
        <v>115650</v>
      </c>
      <c r="C174" s="82">
        <f>VLOOKUP(A174,'Data shares'!$C$2:$CX$216,100,0)</f>
        <v>5650</v>
      </c>
      <c r="D174" s="141">
        <f>VLOOKUP(A174,'Data shares'!$C$2:$CY$539,101,0)</f>
        <v>5.1400000000000001E-2</v>
      </c>
      <c r="E174" s="86">
        <f>VLOOKUP($A174,'Data shares'!$C:$FA,74)</f>
        <v>61150</v>
      </c>
      <c r="F174" s="86">
        <f>VLOOKUP($A174,'Data shares'!$C:$FA,76)</f>
        <v>3150</v>
      </c>
      <c r="G174" s="87">
        <f>VLOOKUP(A174,'Data shares'!$C$2:$CA$216,77,0)</f>
        <v>5.4300000000000001E-2</v>
      </c>
      <c r="H174" s="86">
        <f>VLOOKUP($A174,'Data shares'!$C:$FA,90)</f>
        <v>42600</v>
      </c>
      <c r="I174" s="86">
        <f>VLOOKUP($A174,'Data shares'!$C:$FA,92)</f>
        <v>2650</v>
      </c>
      <c r="J174" s="87">
        <f>VLOOKUP($A174,'Data shares'!$C:$FA,93)</f>
        <v>6.6299999999999998E-2</v>
      </c>
      <c r="K174" s="86">
        <f>VLOOKUP($A174,'Data shares'!$C:$FA,94)</f>
        <v>11900</v>
      </c>
      <c r="L174" s="86">
        <f>VLOOKUP($A174,'Data shares'!$C:$FA,96)</f>
        <v>-150</v>
      </c>
      <c r="M174" s="87">
        <f>VLOOKUP($A174,'Data shares'!$C:$FA,97)</f>
        <v>-1.24E-2</v>
      </c>
      <c r="N174" s="86">
        <f>VLOOKUP($A174,'Data shares'!$C:$FA,78)</f>
        <v>60200</v>
      </c>
      <c r="O174" s="87">
        <f>VLOOKUP($A174,'Data shares'!$C:$FA,81)</f>
        <v>5.2400000000000002E-2</v>
      </c>
    </row>
    <row r="175" spans="1:15" x14ac:dyDescent="0.25">
      <c r="A175" s="100" t="str">
        <f>'OI(Value)'!A175</f>
        <v>PPLPHARMA</v>
      </c>
      <c r="B175" s="82">
        <f>VLOOKUP(A175,'Data shares'!$C$2:$CV$216,98,0)</f>
        <v>38597500</v>
      </c>
      <c r="C175" s="82">
        <f>VLOOKUP(A175,'Data shares'!$C$2:$CX$216,100,0)</f>
        <v>4307500</v>
      </c>
      <c r="D175" s="141">
        <f>VLOOKUP(A175,'Data shares'!$C$2:$CY$539,101,0)</f>
        <v>0.12559999999999999</v>
      </c>
      <c r="E175" s="86">
        <f>VLOOKUP($A175,'Data shares'!$C:$FA,74)</f>
        <v>19482500</v>
      </c>
      <c r="F175" s="86">
        <f>VLOOKUP($A175,'Data shares'!$C:$FA,76)</f>
        <v>1370000</v>
      </c>
      <c r="G175" s="87">
        <f>VLOOKUP(A175,'Data shares'!$C$2:$CA$216,77,0)</f>
        <v>7.5600000000000001E-2</v>
      </c>
      <c r="H175" s="86">
        <f>VLOOKUP($A175,'Data shares'!$C:$FA,90)</f>
        <v>11510000</v>
      </c>
      <c r="I175" s="86">
        <f>VLOOKUP($A175,'Data shares'!$C:$FA,92)</f>
        <v>562500</v>
      </c>
      <c r="J175" s="87">
        <f>VLOOKUP($A175,'Data shares'!$C:$FA,93)</f>
        <v>5.1400000000000001E-2</v>
      </c>
      <c r="K175" s="86">
        <f>VLOOKUP($A175,'Data shares'!$C:$FA,94)</f>
        <v>7605000</v>
      </c>
      <c r="L175" s="86">
        <f>VLOOKUP($A175,'Data shares'!$C:$FA,96)</f>
        <v>2375000</v>
      </c>
      <c r="M175" s="87">
        <f>VLOOKUP($A175,'Data shares'!$C:$FA,97)</f>
        <v>0.4541</v>
      </c>
      <c r="N175" s="86">
        <f>VLOOKUP($A175,'Data shares'!$C:$FA,78)</f>
        <v>18497500</v>
      </c>
      <c r="O175" s="87">
        <f>VLOOKUP($A175,'Data shares'!$C:$FA,81)</f>
        <v>7.7299999999999994E-2</v>
      </c>
    </row>
    <row r="176" spans="1:15" x14ac:dyDescent="0.25">
      <c r="A176" s="100" t="str">
        <f>'OI(Value)'!A176</f>
        <v>PRESTIGE</v>
      </c>
      <c r="B176" s="82">
        <f>VLOOKUP(A176,'Data shares'!$C$2:$CV$216,98,0)</f>
        <v>7848450</v>
      </c>
      <c r="C176" s="82">
        <f>VLOOKUP(A176,'Data shares'!$C$2:$CX$216,100,0)</f>
        <v>371700</v>
      </c>
      <c r="D176" s="141">
        <f>VLOOKUP(A176,'Data shares'!$C$2:$CY$539,101,0)</f>
        <v>4.9700000000000001E-2</v>
      </c>
      <c r="E176" s="86">
        <f>VLOOKUP($A176,'Data shares'!$C:$FA,74)</f>
        <v>4528800</v>
      </c>
      <c r="F176" s="86">
        <f>VLOOKUP($A176,'Data shares'!$C:$FA,76)</f>
        <v>-82350</v>
      </c>
      <c r="G176" s="87">
        <f>VLOOKUP(A176,'Data shares'!$C$2:$CA$216,77,0)</f>
        <v>-1.7899999999999999E-2</v>
      </c>
      <c r="H176" s="86">
        <f>VLOOKUP($A176,'Data shares'!$C:$FA,90)</f>
        <v>1984500</v>
      </c>
      <c r="I176" s="86">
        <f>VLOOKUP($A176,'Data shares'!$C:$FA,92)</f>
        <v>289800</v>
      </c>
      <c r="J176" s="87">
        <f>VLOOKUP($A176,'Data shares'!$C:$FA,93)</f>
        <v>0.17100000000000001</v>
      </c>
      <c r="K176" s="86">
        <f>VLOOKUP($A176,'Data shares'!$C:$FA,94)</f>
        <v>1335150</v>
      </c>
      <c r="L176" s="86">
        <f>VLOOKUP($A176,'Data shares'!$C:$FA,96)</f>
        <v>164250</v>
      </c>
      <c r="M176" s="87">
        <f>VLOOKUP($A176,'Data shares'!$C:$FA,97)</f>
        <v>0.14030000000000001</v>
      </c>
      <c r="N176" s="86">
        <f>VLOOKUP($A176,'Data shares'!$C:$FA,78)</f>
        <v>4464450</v>
      </c>
      <c r="O176" s="87">
        <f>VLOOKUP($A176,'Data shares'!$C:$FA,81)</f>
        <v>-1.7899999999999999E-2</v>
      </c>
    </row>
    <row r="177" spans="1:15" x14ac:dyDescent="0.25">
      <c r="A177" s="100" t="str">
        <f>'OI(Value)'!A177</f>
        <v>RBLBANK</v>
      </c>
      <c r="B177" s="82">
        <f>VLOOKUP(A177,'Data shares'!$C$2:$CV$216,98,0)</f>
        <v>110293150</v>
      </c>
      <c r="C177" s="82">
        <f>VLOOKUP(A177,'Data shares'!$C$2:$CX$216,100,0)</f>
        <v>-2152650</v>
      </c>
      <c r="D177" s="141">
        <f>VLOOKUP(A177,'Data shares'!$C$2:$CY$539,101,0)</f>
        <v>-1.9099999999999999E-2</v>
      </c>
      <c r="E177" s="86">
        <f>VLOOKUP($A177,'Data shares'!$C:$FA,74)</f>
        <v>79508350</v>
      </c>
      <c r="F177" s="86">
        <f>VLOOKUP($A177,'Data shares'!$C:$FA,76)</f>
        <v>-1203325</v>
      </c>
      <c r="G177" s="87">
        <f>VLOOKUP(A177,'Data shares'!$C$2:$CA$216,77,0)</f>
        <v>-1.49E-2</v>
      </c>
      <c r="H177" s="86">
        <f>VLOOKUP($A177,'Data shares'!$C:$FA,90)</f>
        <v>21478875</v>
      </c>
      <c r="I177" s="86">
        <f>VLOOKUP($A177,'Data shares'!$C:$FA,92)</f>
        <v>-669925</v>
      </c>
      <c r="J177" s="87">
        <f>VLOOKUP($A177,'Data shares'!$C:$FA,93)</f>
        <v>-3.0200000000000001E-2</v>
      </c>
      <c r="K177" s="86">
        <f>VLOOKUP($A177,'Data shares'!$C:$FA,94)</f>
        <v>9305925</v>
      </c>
      <c r="L177" s="86">
        <f>VLOOKUP($A177,'Data shares'!$C:$FA,96)</f>
        <v>-279400</v>
      </c>
      <c r="M177" s="87">
        <f>VLOOKUP($A177,'Data shares'!$C:$FA,97)</f>
        <v>-2.9100000000000001E-2</v>
      </c>
      <c r="N177" s="86">
        <f>VLOOKUP($A177,'Data shares'!$C:$FA,78)</f>
        <v>76019025</v>
      </c>
      <c r="O177" s="87">
        <f>VLOOKUP($A177,'Data shares'!$C:$FA,81)</f>
        <v>-1.5100000000000001E-2</v>
      </c>
    </row>
    <row r="178" spans="1:15" x14ac:dyDescent="0.25">
      <c r="A178" s="100" t="str">
        <f>'OI(Value)'!A178</f>
        <v>RECLTD</v>
      </c>
      <c r="B178" s="82">
        <f>VLOOKUP(A178,'Data shares'!$C$2:$CV$216,98,0)</f>
        <v>134229450</v>
      </c>
      <c r="C178" s="82">
        <f>VLOOKUP(A178,'Data shares'!$C$2:$CX$216,100,0)</f>
        <v>3860700</v>
      </c>
      <c r="D178" s="141">
        <f>VLOOKUP(A178,'Data shares'!$C$2:$CY$539,101,0)</f>
        <v>2.9600000000000001E-2</v>
      </c>
      <c r="E178" s="86">
        <f>VLOOKUP($A178,'Data shares'!$C:$FA,74)</f>
        <v>84188250</v>
      </c>
      <c r="F178" s="86">
        <f>VLOOKUP($A178,'Data shares'!$C:$FA,76)</f>
        <v>2802450</v>
      </c>
      <c r="G178" s="87">
        <f>VLOOKUP(A178,'Data shares'!$C$2:$CA$216,77,0)</f>
        <v>3.44E-2</v>
      </c>
      <c r="H178" s="86">
        <f>VLOOKUP($A178,'Data shares'!$C:$FA,90)</f>
        <v>26505975</v>
      </c>
      <c r="I178" s="86">
        <f>VLOOKUP($A178,'Data shares'!$C:$FA,92)</f>
        <v>863175</v>
      </c>
      <c r="J178" s="87">
        <f>VLOOKUP($A178,'Data shares'!$C:$FA,93)</f>
        <v>3.3700000000000001E-2</v>
      </c>
      <c r="K178" s="86">
        <f>VLOOKUP($A178,'Data shares'!$C:$FA,94)</f>
        <v>23535225</v>
      </c>
      <c r="L178" s="86">
        <f>VLOOKUP($A178,'Data shares'!$C:$FA,96)</f>
        <v>195075</v>
      </c>
      <c r="M178" s="87">
        <f>VLOOKUP($A178,'Data shares'!$C:$FA,97)</f>
        <v>8.3999999999999995E-3</v>
      </c>
      <c r="N178" s="86">
        <f>VLOOKUP($A178,'Data shares'!$C:$FA,78)</f>
        <v>69974550</v>
      </c>
      <c r="O178" s="87">
        <f>VLOOKUP($A178,'Data shares'!$C:$FA,81)</f>
        <v>6.7999999999999996E-3</v>
      </c>
    </row>
    <row r="179" spans="1:15" x14ac:dyDescent="0.25">
      <c r="A179" s="100" t="str">
        <f>'OI(Value)'!A179</f>
        <v>RELIANCE</v>
      </c>
      <c r="B179" s="82">
        <f>VLOOKUP(A179,'Data shares'!$C$2:$CV$216,98,0)</f>
        <v>224181500</v>
      </c>
      <c r="C179" s="82">
        <f>VLOOKUP(A179,'Data shares'!$C$2:$CX$216,100,0)</f>
        <v>724500</v>
      </c>
      <c r="D179" s="141">
        <f>VLOOKUP(A179,'Data shares'!$C$2:$CY$539,101,0)</f>
        <v>3.2000000000000002E-3</v>
      </c>
      <c r="E179" s="86">
        <f>VLOOKUP($A179,'Data shares'!$C:$FA,74)</f>
        <v>136848000</v>
      </c>
      <c r="F179" s="86">
        <f>VLOOKUP($A179,'Data shares'!$C:$FA,76)</f>
        <v>455000</v>
      </c>
      <c r="G179" s="87">
        <f>VLOOKUP(A179,'Data shares'!$C$2:$CA$216,77,0)</f>
        <v>3.3E-3</v>
      </c>
      <c r="H179" s="86">
        <f>VLOOKUP($A179,'Data shares'!$C:$FA,90)</f>
        <v>50490000</v>
      </c>
      <c r="I179" s="86">
        <f>VLOOKUP($A179,'Data shares'!$C:$FA,92)</f>
        <v>48000</v>
      </c>
      <c r="J179" s="87">
        <f>VLOOKUP($A179,'Data shares'!$C:$FA,93)</f>
        <v>1E-3</v>
      </c>
      <c r="K179" s="86">
        <f>VLOOKUP($A179,'Data shares'!$C:$FA,94)</f>
        <v>36843500</v>
      </c>
      <c r="L179" s="86">
        <f>VLOOKUP($A179,'Data shares'!$C:$FA,96)</f>
        <v>221500</v>
      </c>
      <c r="M179" s="87">
        <f>VLOOKUP($A179,'Data shares'!$C:$FA,97)</f>
        <v>6.0000000000000001E-3</v>
      </c>
      <c r="N179" s="86">
        <f>VLOOKUP($A179,'Data shares'!$C:$FA,78)</f>
        <v>127481000</v>
      </c>
      <c r="O179" s="87">
        <f>VLOOKUP($A179,'Data shares'!$C:$FA,81)</f>
        <v>-6.4000000000000003E-3</v>
      </c>
    </row>
    <row r="180" spans="1:15" x14ac:dyDescent="0.25">
      <c r="A180" s="100" t="str">
        <f>'OI(Value)'!A180</f>
        <v>RVNL</v>
      </c>
      <c r="B180" s="82">
        <f>VLOOKUP(A180,'Data shares'!$C$2:$CV$216,98,0)</f>
        <v>67199000</v>
      </c>
      <c r="C180" s="82">
        <f>VLOOKUP(A180,'Data shares'!$C$2:$CX$216,100,0)</f>
        <v>1405250</v>
      </c>
      <c r="D180" s="141">
        <f>VLOOKUP(A180,'Data shares'!$C$2:$CY$539,101,0)</f>
        <v>2.1399999999999999E-2</v>
      </c>
      <c r="E180" s="86">
        <f>VLOOKUP($A180,'Data shares'!$C:$FA,74)</f>
        <v>38588000</v>
      </c>
      <c r="F180" s="86">
        <f>VLOOKUP($A180,'Data shares'!$C:$FA,76)</f>
        <v>533500</v>
      </c>
      <c r="G180" s="87">
        <f>VLOOKUP(A180,'Data shares'!$C$2:$CA$216,77,0)</f>
        <v>1.4E-2</v>
      </c>
      <c r="H180" s="86">
        <f>VLOOKUP($A180,'Data shares'!$C:$FA,90)</f>
        <v>20369250</v>
      </c>
      <c r="I180" s="86">
        <f>VLOOKUP($A180,'Data shares'!$C:$FA,92)</f>
        <v>529375</v>
      </c>
      <c r="J180" s="87">
        <f>VLOOKUP($A180,'Data shares'!$C:$FA,93)</f>
        <v>2.6700000000000002E-2</v>
      </c>
      <c r="K180" s="86">
        <f>VLOOKUP($A180,'Data shares'!$C:$FA,94)</f>
        <v>8241750</v>
      </c>
      <c r="L180" s="86">
        <f>VLOOKUP($A180,'Data shares'!$C:$FA,96)</f>
        <v>342375</v>
      </c>
      <c r="M180" s="87">
        <f>VLOOKUP($A180,'Data shares'!$C:$FA,97)</f>
        <v>4.3299999999999998E-2</v>
      </c>
      <c r="N180" s="86">
        <f>VLOOKUP($A180,'Data shares'!$C:$FA,78)</f>
        <v>32899625</v>
      </c>
      <c r="O180" s="87">
        <f>VLOOKUP($A180,'Data shares'!$C:$FA,81)</f>
        <v>2.9999999999999997E-4</v>
      </c>
    </row>
    <row r="181" spans="1:15" x14ac:dyDescent="0.25">
      <c r="A181" s="100" t="str">
        <f>'OI(Value)'!A181</f>
        <v>SAIL</v>
      </c>
      <c r="B181" s="82">
        <f>VLOOKUP(A181,'Data shares'!$C$2:$CV$216,98,0)</f>
        <v>285952700</v>
      </c>
      <c r="C181" s="82">
        <f>VLOOKUP(A181,'Data shares'!$C$2:$CX$216,100,0)</f>
        <v>19575500</v>
      </c>
      <c r="D181" s="141">
        <f>VLOOKUP(A181,'Data shares'!$C$2:$CY$539,101,0)</f>
        <v>7.3499999999999996E-2</v>
      </c>
      <c r="E181" s="86">
        <f>VLOOKUP($A181,'Data shares'!$C:$FA,74)</f>
        <v>201601800</v>
      </c>
      <c r="F181" s="86">
        <f>VLOOKUP($A181,'Data shares'!$C:$FA,76)</f>
        <v>3666000</v>
      </c>
      <c r="G181" s="87">
        <f>VLOOKUP(A181,'Data shares'!$C$2:$CA$216,77,0)</f>
        <v>1.8499999999999999E-2</v>
      </c>
      <c r="H181" s="86">
        <f>VLOOKUP($A181,'Data shares'!$C:$FA,90)</f>
        <v>55760800</v>
      </c>
      <c r="I181" s="86">
        <f>VLOOKUP($A181,'Data shares'!$C:$FA,92)</f>
        <v>12431500</v>
      </c>
      <c r="J181" s="87">
        <f>VLOOKUP($A181,'Data shares'!$C:$FA,93)</f>
        <v>0.28689999999999999</v>
      </c>
      <c r="K181" s="86">
        <f>VLOOKUP($A181,'Data shares'!$C:$FA,94)</f>
        <v>28590100</v>
      </c>
      <c r="L181" s="86">
        <f>VLOOKUP($A181,'Data shares'!$C:$FA,96)</f>
        <v>3478000</v>
      </c>
      <c r="M181" s="87">
        <f>VLOOKUP($A181,'Data shares'!$C:$FA,97)</f>
        <v>0.13850000000000001</v>
      </c>
      <c r="N181" s="86">
        <f>VLOOKUP($A181,'Data shares'!$C:$FA,78)</f>
        <v>192032600</v>
      </c>
      <c r="O181" s="87">
        <f>VLOOKUP($A181,'Data shares'!$C:$FA,81)</f>
        <v>8.8999999999999999E-3</v>
      </c>
    </row>
    <row r="182" spans="1:15" x14ac:dyDescent="0.25">
      <c r="A182" s="100" t="str">
        <f>'OI(Value)'!A182</f>
        <v>SAMMAANCAP</v>
      </c>
      <c r="B182" s="82">
        <f>VLOOKUP(A182,'Data shares'!$C$2:$CV$216,98,0)</f>
        <v>175977500</v>
      </c>
      <c r="C182" s="82">
        <f>VLOOKUP(A182,'Data shares'!$C$2:$CX$216,100,0)</f>
        <v>7847500</v>
      </c>
      <c r="D182" s="141">
        <f>VLOOKUP(A182,'Data shares'!$C$2:$CY$539,101,0)</f>
        <v>4.6699999999999998E-2</v>
      </c>
      <c r="E182" s="86">
        <f>VLOOKUP($A182,'Data shares'!$C:$FA,74)</f>
        <v>114160700</v>
      </c>
      <c r="F182" s="86">
        <f>VLOOKUP($A182,'Data shares'!$C:$FA,76)</f>
        <v>3229300</v>
      </c>
      <c r="G182" s="87">
        <f>VLOOKUP(A182,'Data shares'!$C$2:$CA$216,77,0)</f>
        <v>2.9100000000000001E-2</v>
      </c>
      <c r="H182" s="86">
        <f>VLOOKUP($A182,'Data shares'!$C:$FA,90)</f>
        <v>30800900</v>
      </c>
      <c r="I182" s="86">
        <f>VLOOKUP($A182,'Data shares'!$C:$FA,92)</f>
        <v>2623000</v>
      </c>
      <c r="J182" s="87">
        <f>VLOOKUP($A182,'Data shares'!$C:$FA,93)</f>
        <v>9.3100000000000002E-2</v>
      </c>
      <c r="K182" s="86">
        <f>VLOOKUP($A182,'Data shares'!$C:$FA,94)</f>
        <v>31015900</v>
      </c>
      <c r="L182" s="86">
        <f>VLOOKUP($A182,'Data shares'!$C:$FA,96)</f>
        <v>1995200</v>
      </c>
      <c r="M182" s="87">
        <f>VLOOKUP($A182,'Data shares'!$C:$FA,97)</f>
        <v>6.88E-2</v>
      </c>
      <c r="N182" s="86">
        <f>VLOOKUP($A182,'Data shares'!$C:$FA,78)</f>
        <v>109611300</v>
      </c>
      <c r="O182" s="87">
        <f>VLOOKUP($A182,'Data shares'!$C:$FA,81)</f>
        <v>2.47E-2</v>
      </c>
    </row>
    <row r="183" spans="1:15" x14ac:dyDescent="0.25">
      <c r="A183" s="100" t="str">
        <f>'OI(Value)'!A183</f>
        <v>SBICARD</v>
      </c>
      <c r="B183" s="82">
        <f>VLOOKUP(A183,'Data shares'!$C$2:$CV$216,98,0)</f>
        <v>30353600</v>
      </c>
      <c r="C183" s="82">
        <f>VLOOKUP(A183,'Data shares'!$C$2:$CX$216,100,0)</f>
        <v>549600</v>
      </c>
      <c r="D183" s="141">
        <f>VLOOKUP(A183,'Data shares'!$C$2:$CY$539,101,0)</f>
        <v>1.84E-2</v>
      </c>
      <c r="E183" s="86">
        <f>VLOOKUP($A183,'Data shares'!$C:$FA,74)</f>
        <v>20193600</v>
      </c>
      <c r="F183" s="86">
        <f>VLOOKUP($A183,'Data shares'!$C:$FA,76)</f>
        <v>383200</v>
      </c>
      <c r="G183" s="87">
        <f>VLOOKUP(A183,'Data shares'!$C$2:$CA$216,77,0)</f>
        <v>1.9300000000000001E-2</v>
      </c>
      <c r="H183" s="86">
        <f>VLOOKUP($A183,'Data shares'!$C:$FA,90)</f>
        <v>6336800</v>
      </c>
      <c r="I183" s="86">
        <f>VLOOKUP($A183,'Data shares'!$C:$FA,92)</f>
        <v>203200</v>
      </c>
      <c r="J183" s="87">
        <f>VLOOKUP($A183,'Data shares'!$C:$FA,93)</f>
        <v>3.3099999999999997E-2</v>
      </c>
      <c r="K183" s="86">
        <f>VLOOKUP($A183,'Data shares'!$C:$FA,94)</f>
        <v>3823200</v>
      </c>
      <c r="L183" s="86">
        <f>VLOOKUP($A183,'Data shares'!$C:$FA,96)</f>
        <v>-36800</v>
      </c>
      <c r="M183" s="87">
        <f>VLOOKUP($A183,'Data shares'!$C:$FA,97)</f>
        <v>-9.4999999999999998E-3</v>
      </c>
      <c r="N183" s="86">
        <f>VLOOKUP($A183,'Data shares'!$C:$FA,78)</f>
        <v>18229600</v>
      </c>
      <c r="O183" s="87">
        <f>VLOOKUP($A183,'Data shares'!$C:$FA,81)</f>
        <v>8.9999999999999993E-3</v>
      </c>
    </row>
    <row r="184" spans="1:15" x14ac:dyDescent="0.25">
      <c r="A184" s="100" t="str">
        <f>'OI(Value)'!A184</f>
        <v>SBILIFE</v>
      </c>
      <c r="B184" s="82">
        <f>VLOOKUP(A184,'Data shares'!$C$2:$CV$216,98,0)</f>
        <v>10534500</v>
      </c>
      <c r="C184" s="82">
        <f>VLOOKUP(A184,'Data shares'!$C$2:$CX$216,100,0)</f>
        <v>1167750</v>
      </c>
      <c r="D184" s="141">
        <f>VLOOKUP(A184,'Data shares'!$C$2:$CY$539,101,0)</f>
        <v>0.12470000000000001</v>
      </c>
      <c r="E184" s="86">
        <f>VLOOKUP($A184,'Data shares'!$C:$FA,74)</f>
        <v>6808875</v>
      </c>
      <c r="F184" s="86">
        <f>VLOOKUP($A184,'Data shares'!$C:$FA,76)</f>
        <v>296625</v>
      </c>
      <c r="G184" s="87">
        <f>VLOOKUP(A184,'Data shares'!$C$2:$CA$216,77,0)</f>
        <v>4.5499999999999999E-2</v>
      </c>
      <c r="H184" s="86">
        <f>VLOOKUP($A184,'Data shares'!$C:$FA,90)</f>
        <v>2504625</v>
      </c>
      <c r="I184" s="86">
        <f>VLOOKUP($A184,'Data shares'!$C:$FA,92)</f>
        <v>691500</v>
      </c>
      <c r="J184" s="87">
        <f>VLOOKUP($A184,'Data shares'!$C:$FA,93)</f>
        <v>0.38140000000000002</v>
      </c>
      <c r="K184" s="86">
        <f>VLOOKUP($A184,'Data shares'!$C:$FA,94)</f>
        <v>1221000</v>
      </c>
      <c r="L184" s="86">
        <f>VLOOKUP($A184,'Data shares'!$C:$FA,96)</f>
        <v>179625</v>
      </c>
      <c r="M184" s="87">
        <f>VLOOKUP($A184,'Data shares'!$C:$FA,97)</f>
        <v>0.17249999999999999</v>
      </c>
      <c r="N184" s="86">
        <f>VLOOKUP($A184,'Data shares'!$C:$FA,78)</f>
        <v>6663375</v>
      </c>
      <c r="O184" s="87">
        <f>VLOOKUP($A184,'Data shares'!$C:$FA,81)</f>
        <v>4.0500000000000001E-2</v>
      </c>
    </row>
    <row r="185" spans="1:15" x14ac:dyDescent="0.25">
      <c r="A185" s="100" t="str">
        <f>'OI(Value)'!A185</f>
        <v>SBIN</v>
      </c>
      <c r="B185" s="82">
        <f>VLOOKUP(A185,'Data shares'!$C$2:$CV$216,98,0)</f>
        <v>172230750</v>
      </c>
      <c r="C185" s="82">
        <f>VLOOKUP(A185,'Data shares'!$C$2:$CX$216,100,0)</f>
        <v>-1511250</v>
      </c>
      <c r="D185" s="141">
        <f>VLOOKUP(A185,'Data shares'!$C$2:$CY$539,101,0)</f>
        <v>-8.6999999999999994E-3</v>
      </c>
      <c r="E185" s="86">
        <f>VLOOKUP($A185,'Data shares'!$C:$FA,74)</f>
        <v>95029500</v>
      </c>
      <c r="F185" s="86">
        <f>VLOOKUP($A185,'Data shares'!$C:$FA,76)</f>
        <v>-1729500</v>
      </c>
      <c r="G185" s="87">
        <f>VLOOKUP(A185,'Data shares'!$C$2:$CA$216,77,0)</f>
        <v>-1.7899999999999999E-2</v>
      </c>
      <c r="H185" s="86">
        <f>VLOOKUP($A185,'Data shares'!$C:$FA,90)</f>
        <v>46028250</v>
      </c>
      <c r="I185" s="86">
        <f>VLOOKUP($A185,'Data shares'!$C:$FA,92)</f>
        <v>-2913000</v>
      </c>
      <c r="J185" s="87">
        <f>VLOOKUP($A185,'Data shares'!$C:$FA,93)</f>
        <v>-5.9499999999999997E-2</v>
      </c>
      <c r="K185" s="86">
        <f>VLOOKUP($A185,'Data shares'!$C:$FA,94)</f>
        <v>31173000</v>
      </c>
      <c r="L185" s="86">
        <f>VLOOKUP($A185,'Data shares'!$C:$FA,96)</f>
        <v>3131250</v>
      </c>
      <c r="M185" s="87">
        <f>VLOOKUP($A185,'Data shares'!$C:$FA,97)</f>
        <v>0.11169999999999999</v>
      </c>
      <c r="N185" s="86">
        <f>VLOOKUP($A185,'Data shares'!$C:$FA,78)</f>
        <v>91833750</v>
      </c>
      <c r="O185" s="87">
        <f>VLOOKUP($A185,'Data shares'!$C:$FA,81)</f>
        <v>-2.1399999999999999E-2</v>
      </c>
    </row>
    <row r="186" spans="1:15" x14ac:dyDescent="0.25">
      <c r="A186" s="100" t="str">
        <f>'OI(Value)'!A186</f>
        <v>SHREECEM</v>
      </c>
      <c r="B186" s="82">
        <f>VLOOKUP(A186,'Data shares'!$C$2:$CV$216,98,0)</f>
        <v>273000</v>
      </c>
      <c r="C186" s="82">
        <f>VLOOKUP(A186,'Data shares'!$C$2:$CX$216,100,0)</f>
        <v>-75</v>
      </c>
      <c r="D186" s="141">
        <f>VLOOKUP(A186,'Data shares'!$C$2:$CY$539,101,0)</f>
        <v>-2.9999999999999997E-4</v>
      </c>
      <c r="E186" s="86">
        <f>VLOOKUP($A186,'Data shares'!$C:$FA,74)</f>
        <v>225650</v>
      </c>
      <c r="F186" s="86">
        <f>VLOOKUP($A186,'Data shares'!$C:$FA,76)</f>
        <v>-350</v>
      </c>
      <c r="G186" s="87">
        <f>VLOOKUP(A186,'Data shares'!$C$2:$CA$216,77,0)</f>
        <v>-1.5E-3</v>
      </c>
      <c r="H186" s="86">
        <f>VLOOKUP($A186,'Data shares'!$C:$FA,90)</f>
        <v>26925</v>
      </c>
      <c r="I186" s="86">
        <f>VLOOKUP($A186,'Data shares'!$C:$FA,92)</f>
        <v>400</v>
      </c>
      <c r="J186" s="87">
        <f>VLOOKUP($A186,'Data shares'!$C:$FA,93)</f>
        <v>1.5100000000000001E-2</v>
      </c>
      <c r="K186" s="86">
        <f>VLOOKUP($A186,'Data shares'!$C:$FA,94)</f>
        <v>20425</v>
      </c>
      <c r="L186" s="86">
        <f>VLOOKUP($A186,'Data shares'!$C:$FA,96)</f>
        <v>-125</v>
      </c>
      <c r="M186" s="87">
        <f>VLOOKUP($A186,'Data shares'!$C:$FA,97)</f>
        <v>-6.1000000000000004E-3</v>
      </c>
      <c r="N186" s="86">
        <f>VLOOKUP($A186,'Data shares'!$C:$FA,78)</f>
        <v>223950</v>
      </c>
      <c r="O186" s="87">
        <f>VLOOKUP($A186,'Data shares'!$C:$FA,81)</f>
        <v>-1.8E-3</v>
      </c>
    </row>
    <row r="187" spans="1:15" x14ac:dyDescent="0.25">
      <c r="A187" s="100" t="str">
        <f>'OI(Value)'!A187</f>
        <v>SHRIRAMFIN</v>
      </c>
      <c r="B187" s="82">
        <f>VLOOKUP(A187,'Data shares'!$C$2:$CV$216,98,0)</f>
        <v>62994525</v>
      </c>
      <c r="C187" s="82">
        <f>VLOOKUP(A187,'Data shares'!$C$2:$CX$216,100,0)</f>
        <v>-627000</v>
      </c>
      <c r="D187" s="141">
        <f>VLOOKUP(A187,'Data shares'!$C$2:$CY$539,101,0)</f>
        <v>-9.9000000000000008E-3</v>
      </c>
      <c r="E187" s="86">
        <f>VLOOKUP($A187,'Data shares'!$C:$FA,74)</f>
        <v>49500000</v>
      </c>
      <c r="F187" s="86">
        <f>VLOOKUP($A187,'Data shares'!$C:$FA,76)</f>
        <v>-303600</v>
      </c>
      <c r="G187" s="87">
        <f>VLOOKUP(A187,'Data shares'!$C$2:$CA$216,77,0)</f>
        <v>-6.1000000000000004E-3</v>
      </c>
      <c r="H187" s="86">
        <f>VLOOKUP($A187,'Data shares'!$C:$FA,90)</f>
        <v>7000950</v>
      </c>
      <c r="I187" s="86">
        <f>VLOOKUP($A187,'Data shares'!$C:$FA,92)</f>
        <v>-113025</v>
      </c>
      <c r="J187" s="87">
        <f>VLOOKUP($A187,'Data shares'!$C:$FA,93)</f>
        <v>-1.5900000000000001E-2</v>
      </c>
      <c r="K187" s="86">
        <f>VLOOKUP($A187,'Data shares'!$C:$FA,94)</f>
        <v>6493575</v>
      </c>
      <c r="L187" s="86">
        <f>VLOOKUP($A187,'Data shares'!$C:$FA,96)</f>
        <v>-210375</v>
      </c>
      <c r="M187" s="87">
        <f>VLOOKUP($A187,'Data shares'!$C:$FA,97)</f>
        <v>-3.1399999999999997E-2</v>
      </c>
      <c r="N187" s="86">
        <f>VLOOKUP($A187,'Data shares'!$C:$FA,78)</f>
        <v>48184125</v>
      </c>
      <c r="O187" s="87">
        <f>VLOOKUP($A187,'Data shares'!$C:$FA,81)</f>
        <v>-8.6999999999999994E-3</v>
      </c>
    </row>
    <row r="188" spans="1:15" x14ac:dyDescent="0.25">
      <c r="A188" s="100" t="str">
        <f>'OI(Value)'!A188</f>
        <v>SIEMENS</v>
      </c>
      <c r="B188" s="82">
        <f>VLOOKUP(A188,'Data shares'!$C$2:$CV$216,98,0)</f>
        <v>3628250</v>
      </c>
      <c r="C188" s="82">
        <f>VLOOKUP(A188,'Data shares'!$C$2:$CX$216,100,0)</f>
        <v>152500</v>
      </c>
      <c r="D188" s="141">
        <f>VLOOKUP(A188,'Data shares'!$C$2:$CY$539,101,0)</f>
        <v>4.3900000000000002E-2</v>
      </c>
      <c r="E188" s="86">
        <f>VLOOKUP($A188,'Data shares'!$C:$FA,74)</f>
        <v>2155500</v>
      </c>
      <c r="F188" s="86">
        <f>VLOOKUP($A188,'Data shares'!$C:$FA,76)</f>
        <v>-9750</v>
      </c>
      <c r="G188" s="87">
        <f>VLOOKUP(A188,'Data shares'!$C$2:$CA$216,77,0)</f>
        <v>-4.4999999999999997E-3</v>
      </c>
      <c r="H188" s="86">
        <f>VLOOKUP($A188,'Data shares'!$C:$FA,90)</f>
        <v>1046250</v>
      </c>
      <c r="I188" s="86">
        <f>VLOOKUP($A188,'Data shares'!$C:$FA,92)</f>
        <v>139375</v>
      </c>
      <c r="J188" s="87">
        <f>VLOOKUP($A188,'Data shares'!$C:$FA,93)</f>
        <v>0.1537</v>
      </c>
      <c r="K188" s="86">
        <f>VLOOKUP($A188,'Data shares'!$C:$FA,94)</f>
        <v>426500</v>
      </c>
      <c r="L188" s="86">
        <f>VLOOKUP($A188,'Data shares'!$C:$FA,96)</f>
        <v>22875</v>
      </c>
      <c r="M188" s="87">
        <f>VLOOKUP($A188,'Data shares'!$C:$FA,97)</f>
        <v>5.67E-2</v>
      </c>
      <c r="N188" s="86">
        <f>VLOOKUP($A188,'Data shares'!$C:$FA,78)</f>
        <v>2082625</v>
      </c>
      <c r="O188" s="87">
        <f>VLOOKUP($A188,'Data shares'!$C:$FA,81)</f>
        <v>-1.38E-2</v>
      </c>
    </row>
    <row r="189" spans="1:15" x14ac:dyDescent="0.25">
      <c r="A189" s="100" t="str">
        <f>'OI(Value)'!A189</f>
        <v>ZYDUSLIFE</v>
      </c>
      <c r="B189" s="82">
        <f>VLOOKUP(A189,'Data shares'!$C$2:$CV$216,98,0)</f>
        <v>14105700</v>
      </c>
      <c r="C189" s="82">
        <f>VLOOKUP(A189,'Data shares'!$C$2:$CX$216,100,0)</f>
        <v>551700</v>
      </c>
      <c r="D189" s="141">
        <f>VLOOKUP(A189,'Data shares'!$C$2:$CY$539,101,0)</f>
        <v>4.07E-2</v>
      </c>
      <c r="E189" s="86">
        <f>VLOOKUP($A189,'Data shares'!$C:$FA,74)</f>
        <v>8843400</v>
      </c>
      <c r="F189" s="86">
        <f>VLOOKUP($A189,'Data shares'!$C:$FA,76)</f>
        <v>462600</v>
      </c>
      <c r="G189" s="87">
        <f>VLOOKUP(A189,'Data shares'!$C$2:$CA$216,77,0)</f>
        <v>5.5199999999999999E-2</v>
      </c>
      <c r="H189" s="86">
        <f>VLOOKUP($A189,'Data shares'!$C:$FA,90)</f>
        <v>3254400</v>
      </c>
      <c r="I189" s="86">
        <f>VLOOKUP($A189,'Data shares'!$C:$FA,92)</f>
        <v>24300</v>
      </c>
      <c r="J189" s="87">
        <f>VLOOKUP($A189,'Data shares'!$C:$FA,93)</f>
        <v>7.4999999999999997E-3</v>
      </c>
      <c r="K189" s="86">
        <f>VLOOKUP($A189,'Data shares'!$C:$FA,94)</f>
        <v>2007900</v>
      </c>
      <c r="L189" s="86">
        <f>VLOOKUP($A189,'Data shares'!$C:$FA,96)</f>
        <v>64800</v>
      </c>
      <c r="M189" s="87">
        <f>VLOOKUP($A189,'Data shares'!$C:$FA,97)</f>
        <v>3.3300000000000003E-2</v>
      </c>
      <c r="N189" s="86">
        <f>VLOOKUP($A189,'Data shares'!$C:$FA,78)</f>
        <v>8042400</v>
      </c>
      <c r="O189" s="87">
        <f>VLOOKUP($A189,'Data shares'!$C:$FA,81)</f>
        <v>-1.9300000000000001E-2</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22209836292</v>
      </c>
      <c r="C216" s="119">
        <f>SUM(C7:C215)</f>
        <v>308532781</v>
      </c>
      <c r="D216" s="120">
        <f>C216*100/(B216-C216)</f>
        <v>1.4087416342366947</v>
      </c>
      <c r="E216" s="119">
        <f>SUM(E7:E215)</f>
        <v>13716366560</v>
      </c>
      <c r="F216" s="119">
        <f>SUM(F7:F215)</f>
        <v>-43958897</v>
      </c>
      <c r="G216" s="120">
        <f>F216*100/(E216-F216)</f>
        <v>-0.31946117217480285</v>
      </c>
      <c r="H216" s="119">
        <f>SUM(H7:H215)</f>
        <v>5168146108</v>
      </c>
      <c r="I216" s="119">
        <f>SUM(I7:I215)</f>
        <v>198250220</v>
      </c>
      <c r="J216" s="120">
        <f>I216*100/(H216-I216)</f>
        <v>3.9890215905464457</v>
      </c>
      <c r="K216" s="119">
        <f>SUM(K7:K215)</f>
        <v>3325323624</v>
      </c>
      <c r="L216" s="119">
        <f>SUM(L7:L215)</f>
        <v>154241458</v>
      </c>
      <c r="M216" s="120">
        <f>L216*100/(K216-L216)</f>
        <v>4.8640006762915267</v>
      </c>
      <c r="N216" s="119">
        <f>SUM(N7:N215)</f>
        <v>12879076025</v>
      </c>
      <c r="O216" s="120">
        <f>(N216-FII!V3)/N216*100</f>
        <v>-15.87333480314633</v>
      </c>
    </row>
    <row r="217" spans="1:15" s="89" customFormat="1" ht="16.5" customHeight="1" x14ac:dyDescent="0.25">
      <c r="A217" s="118" t="s">
        <v>409</v>
      </c>
      <c r="B217" s="121">
        <f>B216/10000000</f>
        <v>2220.9836292</v>
      </c>
      <c r="C217" s="121">
        <f>C216/10000000</f>
        <v>30.853278100000001</v>
      </c>
      <c r="D217" s="120">
        <f>D216</f>
        <v>1.4087416342366947</v>
      </c>
      <c r="E217" s="121">
        <f>E216/10000000</f>
        <v>1371.6366559999999</v>
      </c>
      <c r="F217" s="121">
        <f>F216/10000000</f>
        <v>-4.3958896999999997</v>
      </c>
      <c r="G217" s="120">
        <f>G216</f>
        <v>-0.31946117217480285</v>
      </c>
      <c r="H217" s="121">
        <f>H216/10000000</f>
        <v>516.81461079999997</v>
      </c>
      <c r="I217" s="121">
        <f>I216/10000000</f>
        <v>19.825022000000001</v>
      </c>
      <c r="J217" s="120">
        <f>J216</f>
        <v>3.9890215905464457</v>
      </c>
      <c r="K217" s="121">
        <f>K216/10000000</f>
        <v>332.53236240000001</v>
      </c>
      <c r="L217" s="121">
        <f>L216/10000000</f>
        <v>15.4241458</v>
      </c>
      <c r="M217" s="120">
        <f>M216</f>
        <v>4.8640006762915267</v>
      </c>
      <c r="N217" s="121">
        <f>N216/10000000</f>
        <v>1287.9076024999999</v>
      </c>
      <c r="O217" s="120">
        <f>O216</f>
        <v>-15.87333480314633</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1371.6366559999999</v>
      </c>
      <c r="C227" s="37">
        <f>F217</f>
        <v>-4.3958896999999997</v>
      </c>
      <c r="D227" s="39">
        <f>C227/B227</f>
        <v>-3.2048499730383409E-3</v>
      </c>
    </row>
    <row r="228" spans="1:4" x14ac:dyDescent="0.25">
      <c r="A228" s="36" t="s">
        <v>404</v>
      </c>
      <c r="B228" s="37">
        <f>H217</f>
        <v>516.81461079999997</v>
      </c>
      <c r="C228" s="37">
        <f>I217</f>
        <v>19.825022000000001</v>
      </c>
      <c r="D228" s="39">
        <f>C228/B228</f>
        <v>3.8360026179043161E-2</v>
      </c>
    </row>
    <row r="229" spans="1:4" x14ac:dyDescent="0.25">
      <c r="A229" s="36" t="s">
        <v>405</v>
      </c>
      <c r="B229" s="37">
        <f>K217</f>
        <v>332.53236240000001</v>
      </c>
      <c r="C229" s="37">
        <f>L217</f>
        <v>15.4241458</v>
      </c>
      <c r="D229" s="39">
        <f>C229/B229</f>
        <v>4.6383893852251411E-2</v>
      </c>
    </row>
    <row r="230" spans="1:4" x14ac:dyDescent="0.25">
      <c r="A230" s="36" t="s">
        <v>406</v>
      </c>
      <c r="B230" s="40">
        <f>SUM(B227:B229)</f>
        <v>2220.9836292</v>
      </c>
      <c r="C230" s="40">
        <f>SUM(C227:C229)</f>
        <v>30.853278100000001</v>
      </c>
      <c r="D230" s="41">
        <f>C230/B230</f>
        <v>1.3891717928201647E-2</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45940</v>
      </c>
      <c r="C6" s="76" t="s">
        <v>333</v>
      </c>
      <c r="D6" s="76" t="s">
        <v>328</v>
      </c>
      <c r="E6" s="3">
        <f>B6</f>
        <v>45940</v>
      </c>
      <c r="F6" s="76" t="s">
        <v>333</v>
      </c>
      <c r="G6" s="76" t="s">
        <v>328</v>
      </c>
      <c r="H6" s="3">
        <f>E6</f>
        <v>45940</v>
      </c>
      <c r="I6" s="76" t="s">
        <v>333</v>
      </c>
      <c r="J6" s="76" t="s">
        <v>328</v>
      </c>
      <c r="K6" s="3">
        <f>E6</f>
        <v>45940</v>
      </c>
      <c r="L6" s="76" t="s">
        <v>333</v>
      </c>
      <c r="M6" s="76" t="s">
        <v>328</v>
      </c>
      <c r="N6" s="76" t="s">
        <v>339</v>
      </c>
      <c r="O6" s="76" t="s">
        <v>328</v>
      </c>
    </row>
    <row r="7" spans="1:15" x14ac:dyDescent="0.25">
      <c r="A7" s="97" t="str">
        <f>'Data Vlaue (Cr)'!C2</f>
        <v>360ONE</v>
      </c>
      <c r="B7" s="142">
        <f>VLOOKUP(A7,'Data Vlaue (Cr)'!C2:CW216,99,0)</f>
        <v>444</v>
      </c>
      <c r="C7" s="90">
        <f>VLOOKUP(A7,'Data Vlaue (Cr)'!C2:CY216,101,0)</f>
        <v>2</v>
      </c>
      <c r="D7" s="139">
        <f>VLOOKUP(A7,'Data Vlaue (Cr)'!C2:CZ216,102,0)</f>
        <v>3.7000000000000002E-3</v>
      </c>
      <c r="E7" s="91">
        <f>VLOOKUP($A7,'Data Vlaue (Cr)'!$C:$FB,75)</f>
        <v>272</v>
      </c>
      <c r="F7" s="91">
        <f>VLOOKUP($A7,'Data Vlaue (Cr)'!$C:$FB,77)</f>
        <v>2</v>
      </c>
      <c r="G7" s="92">
        <f>VLOOKUP(A7,'Data Vlaue (Cr)'!C2:CB216,78,0)</f>
        <v>8.6999999999999994E-3</v>
      </c>
      <c r="H7" s="91">
        <f>VLOOKUP($A7,'Data Vlaue (Cr)'!$C:$FB,91)</f>
        <v>100</v>
      </c>
      <c r="I7" s="91">
        <f>VLOOKUP($A7,'Data Vlaue (Cr)'!$C:$FB,93)</f>
        <v>-1</v>
      </c>
      <c r="J7" s="92">
        <f>VLOOKUP($A7,'Data Vlaue (Cr)'!$C:$FB,94)</f>
        <v>-6.0000000000000001E-3</v>
      </c>
      <c r="K7" s="91">
        <f>VLOOKUP($A7,'Data Vlaue (Cr)'!$C:$FB,95)</f>
        <v>72</v>
      </c>
      <c r="L7" s="91">
        <f>VLOOKUP($A7,'Data Vlaue (Cr)'!$C:$FB,97)</f>
        <v>0</v>
      </c>
      <c r="M7" s="92">
        <f>VLOOKUP($A7,'Data Vlaue (Cr)'!$C:$FB,98)</f>
        <v>-1.5E-3</v>
      </c>
      <c r="N7" s="91">
        <f>VLOOKUP($A7,'Data Vlaue (Cr)'!$C:$FB,79)</f>
        <v>266</v>
      </c>
      <c r="O7" s="92">
        <f>VLOOKUP($A7,'Data Vlaue (Cr)'!$C:$FB,82)</f>
        <v>7.7000000000000002E-3</v>
      </c>
    </row>
    <row r="8" spans="1:15" x14ac:dyDescent="0.25">
      <c r="A8" s="97" t="str">
        <f>'Data Vlaue (Cr)'!C3</f>
        <v>ABB</v>
      </c>
      <c r="B8" s="142">
        <f>VLOOKUP(A8,'Data Vlaue (Cr)'!C3:CW217,99,0)</f>
        <v>2372</v>
      </c>
      <c r="C8" s="90">
        <f>VLOOKUP(A8,'Data Vlaue (Cr)'!C3:CY217,101,0)</f>
        <v>-23</v>
      </c>
      <c r="D8" s="139">
        <f>VLOOKUP(A8,'Data Vlaue (Cr)'!C3:CZ217,102,0)</f>
        <v>-9.4999999999999998E-3</v>
      </c>
      <c r="E8" s="91">
        <f>VLOOKUP($A8,'Data Vlaue (Cr)'!$C:$FB,75)</f>
        <v>1293</v>
      </c>
      <c r="F8" s="91">
        <f>VLOOKUP($A8,'Data Vlaue (Cr)'!$C:$FB,77)</f>
        <v>-11</v>
      </c>
      <c r="G8" s="92">
        <f>VLOOKUP(A8,'Data Vlaue (Cr)'!C3:CB217,78,0)</f>
        <v>-8.3999999999999995E-3</v>
      </c>
      <c r="H8" s="91">
        <f>VLOOKUP($A8,'Data Vlaue (Cr)'!$C:$FB,91)</f>
        <v>656</v>
      </c>
      <c r="I8" s="91">
        <f>VLOOKUP($A8,'Data Vlaue (Cr)'!$C:$FB,93)</f>
        <v>-16</v>
      </c>
      <c r="J8" s="92">
        <f>VLOOKUP($A8,'Data Vlaue (Cr)'!$C:$FB,94)</f>
        <v>-2.3099999999999999E-2</v>
      </c>
      <c r="K8" s="91">
        <f>VLOOKUP($A8,'Data Vlaue (Cr)'!$C:$FB,95)</f>
        <v>424</v>
      </c>
      <c r="L8" s="91">
        <f>VLOOKUP($A8,'Data Vlaue (Cr)'!$C:$FB,97)</f>
        <v>4</v>
      </c>
      <c r="M8" s="92">
        <f>VLOOKUP($A8,'Data Vlaue (Cr)'!$C:$FB,98)</f>
        <v>8.9999999999999993E-3</v>
      </c>
      <c r="N8" s="91">
        <f>VLOOKUP($A8,'Data Vlaue (Cr)'!$C:$FB,79)</f>
        <v>1236</v>
      </c>
      <c r="O8" s="92">
        <f>VLOOKUP($A8,'Data Vlaue (Cr)'!$C:$FB,82)</f>
        <v>-1.01E-2</v>
      </c>
    </row>
    <row r="9" spans="1:15" x14ac:dyDescent="0.25">
      <c r="A9" s="97" t="str">
        <f>'Data Vlaue (Cr)'!C4</f>
        <v>ABCAPITAL</v>
      </c>
      <c r="B9" s="142">
        <f>VLOOKUP(A9,'Data Vlaue (Cr)'!C4:CW218,99,0)</f>
        <v>3171</v>
      </c>
      <c r="C9" s="90">
        <f>VLOOKUP(A9,'Data Vlaue (Cr)'!C4:CY218,101,0)</f>
        <v>136</v>
      </c>
      <c r="D9" s="139">
        <f>VLOOKUP(A9,'Data Vlaue (Cr)'!C4:CZ218,102,0)</f>
        <v>4.4699999999999997E-2</v>
      </c>
      <c r="E9" s="91">
        <f>VLOOKUP($A9,'Data Vlaue (Cr)'!$C:$FB,75)</f>
        <v>2129</v>
      </c>
      <c r="F9" s="91">
        <f>VLOOKUP($A9,'Data Vlaue (Cr)'!$C:$FB,77)</f>
        <v>44</v>
      </c>
      <c r="G9" s="92">
        <f>VLOOKUP(A9,'Data Vlaue (Cr)'!C4:CB218,78,0)</f>
        <v>2.12E-2</v>
      </c>
      <c r="H9" s="91">
        <f>VLOOKUP($A9,'Data Vlaue (Cr)'!$C:$FB,91)</f>
        <v>678</v>
      </c>
      <c r="I9" s="91">
        <f>VLOOKUP($A9,'Data Vlaue (Cr)'!$C:$FB,93)</f>
        <v>74</v>
      </c>
      <c r="J9" s="92">
        <f>VLOOKUP($A9,'Data Vlaue (Cr)'!$C:$FB,94)</f>
        <v>0.1234</v>
      </c>
      <c r="K9" s="91">
        <f>VLOOKUP($A9,'Data Vlaue (Cr)'!$C:$FB,95)</f>
        <v>365</v>
      </c>
      <c r="L9" s="91">
        <f>VLOOKUP($A9,'Data Vlaue (Cr)'!$C:$FB,97)</f>
        <v>17</v>
      </c>
      <c r="M9" s="92">
        <f>VLOOKUP($A9,'Data Vlaue (Cr)'!$C:$FB,98)</f>
        <v>4.9200000000000001E-2</v>
      </c>
      <c r="N9" s="91">
        <f>VLOOKUP($A9,'Data Vlaue (Cr)'!$C:$FB,79)</f>
        <v>2072</v>
      </c>
      <c r="O9" s="92">
        <f>VLOOKUP($A9,'Data Vlaue (Cr)'!$C:$FB,82)</f>
        <v>1.8700000000000001E-2</v>
      </c>
    </row>
    <row r="10" spans="1:15" x14ac:dyDescent="0.25">
      <c r="A10" s="97" t="str">
        <f>'Data Vlaue (Cr)'!C5</f>
        <v>ADANIENSOL</v>
      </c>
      <c r="B10" s="142">
        <f>VLOOKUP(A10,'Data Vlaue (Cr)'!C5:CW219,99,0)</f>
        <v>2234</v>
      </c>
      <c r="C10" s="90">
        <f>VLOOKUP(A10,'Data Vlaue (Cr)'!C5:CY219,101,0)</f>
        <v>3</v>
      </c>
      <c r="D10" s="139">
        <f>VLOOKUP(A10,'Data Vlaue (Cr)'!C5:CZ219,102,0)</f>
        <v>1.5E-3</v>
      </c>
      <c r="E10" s="91">
        <f>VLOOKUP($A10,'Data Vlaue (Cr)'!$C:$FB,75)</f>
        <v>1715</v>
      </c>
      <c r="F10" s="91">
        <f>VLOOKUP($A10,'Data Vlaue (Cr)'!$C:$FB,77)</f>
        <v>-5</v>
      </c>
      <c r="G10" s="92">
        <f>VLOOKUP(A10,'Data Vlaue (Cr)'!C5:CB219,78,0)</f>
        <v>-2.7000000000000001E-3</v>
      </c>
      <c r="H10" s="91">
        <f>VLOOKUP($A10,'Data Vlaue (Cr)'!$C:$FB,91)</f>
        <v>325</v>
      </c>
      <c r="I10" s="91">
        <f>VLOOKUP($A10,'Data Vlaue (Cr)'!$C:$FB,93)</f>
        <v>9</v>
      </c>
      <c r="J10" s="92">
        <f>VLOOKUP($A10,'Data Vlaue (Cr)'!$C:$FB,94)</f>
        <v>0.03</v>
      </c>
      <c r="K10" s="91">
        <f>VLOOKUP($A10,'Data Vlaue (Cr)'!$C:$FB,95)</f>
        <v>194</v>
      </c>
      <c r="L10" s="91">
        <f>VLOOKUP($A10,'Data Vlaue (Cr)'!$C:$FB,97)</f>
        <v>-2</v>
      </c>
      <c r="M10" s="92">
        <f>VLOOKUP($A10,'Data Vlaue (Cr)'!$C:$FB,98)</f>
        <v>-8.3999999999999995E-3</v>
      </c>
      <c r="N10" s="91">
        <f>VLOOKUP($A10,'Data Vlaue (Cr)'!$C:$FB,79)</f>
        <v>1691</v>
      </c>
      <c r="O10" s="92">
        <f>VLOOKUP($A10,'Data Vlaue (Cr)'!$C:$FB,82)</f>
        <v>-3.2000000000000002E-3</v>
      </c>
    </row>
    <row r="11" spans="1:15" x14ac:dyDescent="0.25">
      <c r="A11" s="97" t="str">
        <f>'Data Vlaue (Cr)'!C6</f>
        <v>ADANIENT</v>
      </c>
      <c r="B11" s="142">
        <f>VLOOKUP(A11,'Data Vlaue (Cr)'!C6:CW220,99,0)</f>
        <v>6970</v>
      </c>
      <c r="C11" s="90">
        <f>VLOOKUP(A11,'Data Vlaue (Cr)'!C6:CY220,101,0)</f>
        <v>28</v>
      </c>
      <c r="D11" s="139">
        <f>VLOOKUP(A11,'Data Vlaue (Cr)'!C6:CZ220,102,0)</f>
        <v>4.1000000000000003E-3</v>
      </c>
      <c r="E11" s="91">
        <f>VLOOKUP($A11,'Data Vlaue (Cr)'!$C:$FB,75)</f>
        <v>3667</v>
      </c>
      <c r="F11" s="91">
        <f>VLOOKUP($A11,'Data Vlaue (Cr)'!$C:$FB,77)</f>
        <v>-7</v>
      </c>
      <c r="G11" s="92">
        <f>VLOOKUP(A11,'Data Vlaue (Cr)'!C6:CB220,78,0)</f>
        <v>-1.8E-3</v>
      </c>
      <c r="H11" s="91">
        <f>VLOOKUP($A11,'Data Vlaue (Cr)'!$C:$FB,91)</f>
        <v>2097</v>
      </c>
      <c r="I11" s="91">
        <f>VLOOKUP($A11,'Data Vlaue (Cr)'!$C:$FB,93)</f>
        <v>9</v>
      </c>
      <c r="J11" s="92">
        <f>VLOOKUP($A11,'Data Vlaue (Cr)'!$C:$FB,94)</f>
        <v>4.3E-3</v>
      </c>
      <c r="K11" s="91">
        <f>VLOOKUP($A11,'Data Vlaue (Cr)'!$C:$FB,95)</f>
        <v>1206</v>
      </c>
      <c r="L11" s="91">
        <f>VLOOKUP($A11,'Data Vlaue (Cr)'!$C:$FB,97)</f>
        <v>26</v>
      </c>
      <c r="M11" s="92">
        <f>VLOOKUP($A11,'Data Vlaue (Cr)'!$C:$FB,98)</f>
        <v>2.1899999999999999E-2</v>
      </c>
      <c r="N11" s="91">
        <f>VLOOKUP($A11,'Data Vlaue (Cr)'!$C:$FB,79)</f>
        <v>3580</v>
      </c>
      <c r="O11" s="92">
        <f>VLOOKUP($A11,'Data Vlaue (Cr)'!$C:$FB,82)</f>
        <v>-4.1999999999999997E-3</v>
      </c>
    </row>
    <row r="12" spans="1:15" x14ac:dyDescent="0.25">
      <c r="A12" s="97" t="str">
        <f>'Data Vlaue (Cr)'!C7</f>
        <v>ADANIGREEN</v>
      </c>
      <c r="B12" s="142">
        <f>VLOOKUP(A12,'Data Vlaue (Cr)'!C7:CW221,99,0)</f>
        <v>3892</v>
      </c>
      <c r="C12" s="90">
        <f>VLOOKUP(A12,'Data Vlaue (Cr)'!C7:CY221,101,0)</f>
        <v>-1</v>
      </c>
      <c r="D12" s="139">
        <f>VLOOKUP(A12,'Data Vlaue (Cr)'!C7:CZ221,102,0)</f>
        <v>-4.0000000000000002E-4</v>
      </c>
      <c r="E12" s="91">
        <f>VLOOKUP($A12,'Data Vlaue (Cr)'!$C:$FB,75)</f>
        <v>2200</v>
      </c>
      <c r="F12" s="91">
        <f>VLOOKUP($A12,'Data Vlaue (Cr)'!$C:$FB,77)</f>
        <v>29</v>
      </c>
      <c r="G12" s="92">
        <f>VLOOKUP(A12,'Data Vlaue (Cr)'!C7:CB221,78,0)</f>
        <v>1.32E-2</v>
      </c>
      <c r="H12" s="91">
        <f>VLOOKUP($A12,'Data Vlaue (Cr)'!$C:$FB,91)</f>
        <v>1122</v>
      </c>
      <c r="I12" s="91">
        <f>VLOOKUP($A12,'Data Vlaue (Cr)'!$C:$FB,93)</f>
        <v>-37</v>
      </c>
      <c r="J12" s="92">
        <f>VLOOKUP($A12,'Data Vlaue (Cr)'!$C:$FB,94)</f>
        <v>-3.1899999999999998E-2</v>
      </c>
      <c r="K12" s="91">
        <f>VLOOKUP($A12,'Data Vlaue (Cr)'!$C:$FB,95)</f>
        <v>570</v>
      </c>
      <c r="L12" s="91">
        <f>VLOOKUP($A12,'Data Vlaue (Cr)'!$C:$FB,97)</f>
        <v>7</v>
      </c>
      <c r="M12" s="92">
        <f>VLOOKUP($A12,'Data Vlaue (Cr)'!$C:$FB,98)</f>
        <v>1.23E-2</v>
      </c>
      <c r="N12" s="91">
        <f>VLOOKUP($A12,'Data Vlaue (Cr)'!$C:$FB,79)</f>
        <v>2120</v>
      </c>
      <c r="O12" s="92">
        <f>VLOOKUP($A12,'Data Vlaue (Cr)'!$C:$FB,82)</f>
        <v>1.1900000000000001E-2</v>
      </c>
    </row>
    <row r="13" spans="1:15" x14ac:dyDescent="0.25">
      <c r="A13" s="97" t="str">
        <f>'Data Vlaue (Cr)'!C8</f>
        <v>ADANIPORTS</v>
      </c>
      <c r="B13" s="142">
        <f>VLOOKUP(A13,'Data Vlaue (Cr)'!C8:CW222,99,0)</f>
        <v>4943</v>
      </c>
      <c r="C13" s="90">
        <f>VLOOKUP(A13,'Data Vlaue (Cr)'!C8:CY222,101,0)</f>
        <v>7</v>
      </c>
      <c r="D13" s="139">
        <f>VLOOKUP(A13,'Data Vlaue (Cr)'!C8:CZ222,102,0)</f>
        <v>1.5E-3</v>
      </c>
      <c r="E13" s="91">
        <f>VLOOKUP($A13,'Data Vlaue (Cr)'!$C:$FB,75)</f>
        <v>3238</v>
      </c>
      <c r="F13" s="91">
        <f>VLOOKUP($A13,'Data Vlaue (Cr)'!$C:$FB,77)</f>
        <v>16</v>
      </c>
      <c r="G13" s="92">
        <f>VLOOKUP(A13,'Data Vlaue (Cr)'!C8:CB222,78,0)</f>
        <v>5.0000000000000001E-3</v>
      </c>
      <c r="H13" s="91">
        <f>VLOOKUP($A13,'Data Vlaue (Cr)'!$C:$FB,91)</f>
        <v>1070</v>
      </c>
      <c r="I13" s="91">
        <f>VLOOKUP($A13,'Data Vlaue (Cr)'!$C:$FB,93)</f>
        <v>-8</v>
      </c>
      <c r="J13" s="92">
        <f>VLOOKUP($A13,'Data Vlaue (Cr)'!$C:$FB,94)</f>
        <v>-7.4000000000000003E-3</v>
      </c>
      <c r="K13" s="91">
        <f>VLOOKUP($A13,'Data Vlaue (Cr)'!$C:$FB,95)</f>
        <v>636</v>
      </c>
      <c r="L13" s="91">
        <f>VLOOKUP($A13,'Data Vlaue (Cr)'!$C:$FB,97)</f>
        <v>-1</v>
      </c>
      <c r="M13" s="92">
        <f>VLOOKUP($A13,'Data Vlaue (Cr)'!$C:$FB,98)</f>
        <v>-1.4E-3</v>
      </c>
      <c r="N13" s="91">
        <f>VLOOKUP($A13,'Data Vlaue (Cr)'!$C:$FB,79)</f>
        <v>3125</v>
      </c>
      <c r="O13" s="92">
        <f>VLOOKUP($A13,'Data Vlaue (Cr)'!$C:$FB,82)</f>
        <v>1.4E-3</v>
      </c>
    </row>
    <row r="14" spans="1:15" x14ac:dyDescent="0.25">
      <c r="A14" s="97" t="str">
        <f>'Data Vlaue (Cr)'!C9</f>
        <v>ALKEM</v>
      </c>
      <c r="B14" s="142">
        <f>VLOOKUP(A14,'Data Vlaue (Cr)'!C9:CW223,99,0)</f>
        <v>1025</v>
      </c>
      <c r="C14" s="90">
        <f>VLOOKUP(A14,'Data Vlaue (Cr)'!C9:CY223,101,0)</f>
        <v>13</v>
      </c>
      <c r="D14" s="139">
        <f>VLOOKUP(A14,'Data Vlaue (Cr)'!C9:CZ223,102,0)</f>
        <v>1.3100000000000001E-2</v>
      </c>
      <c r="E14" s="91">
        <f>VLOOKUP($A14,'Data Vlaue (Cr)'!$C:$FB,75)</f>
        <v>834</v>
      </c>
      <c r="F14" s="91">
        <f>VLOOKUP($A14,'Data Vlaue (Cr)'!$C:$FB,77)</f>
        <v>-3</v>
      </c>
      <c r="G14" s="92">
        <f>VLOOKUP(A14,'Data Vlaue (Cr)'!C9:CB223,78,0)</f>
        <v>-4.0000000000000001E-3</v>
      </c>
      <c r="H14" s="91">
        <f>VLOOKUP($A14,'Data Vlaue (Cr)'!$C:$FB,91)</f>
        <v>119</v>
      </c>
      <c r="I14" s="91">
        <f>VLOOKUP($A14,'Data Vlaue (Cr)'!$C:$FB,93)</f>
        <v>11</v>
      </c>
      <c r="J14" s="92">
        <f>VLOOKUP($A14,'Data Vlaue (Cr)'!$C:$FB,94)</f>
        <v>9.8400000000000001E-2</v>
      </c>
      <c r="K14" s="91">
        <f>VLOOKUP($A14,'Data Vlaue (Cr)'!$C:$FB,95)</f>
        <v>71</v>
      </c>
      <c r="L14" s="91">
        <f>VLOOKUP($A14,'Data Vlaue (Cr)'!$C:$FB,97)</f>
        <v>6</v>
      </c>
      <c r="M14" s="92">
        <f>VLOOKUP($A14,'Data Vlaue (Cr)'!$C:$FB,98)</f>
        <v>9.01E-2</v>
      </c>
      <c r="N14" s="91">
        <f>VLOOKUP($A14,'Data Vlaue (Cr)'!$C:$FB,79)</f>
        <v>827</v>
      </c>
      <c r="O14" s="92">
        <f>VLOOKUP($A14,'Data Vlaue (Cr)'!$C:$FB,82)</f>
        <v>-5.1000000000000004E-3</v>
      </c>
    </row>
    <row r="15" spans="1:15" x14ac:dyDescent="0.25">
      <c r="A15" s="97" t="str">
        <f>'Data Vlaue (Cr)'!C10</f>
        <v>AMBER</v>
      </c>
      <c r="B15" s="142">
        <f>VLOOKUP(A15,'Data Vlaue (Cr)'!C10:CW224,99,0)</f>
        <v>1173</v>
      </c>
      <c r="C15" s="90">
        <f>VLOOKUP(A15,'Data Vlaue (Cr)'!C10:CY224,101,0)</f>
        <v>-80</v>
      </c>
      <c r="D15" s="139">
        <f>VLOOKUP(A15,'Data Vlaue (Cr)'!C10:CZ224,102,0)</f>
        <v>-6.3899999999999998E-2</v>
      </c>
      <c r="E15" s="91">
        <f>VLOOKUP($A15,'Data Vlaue (Cr)'!$C:$FB,75)</f>
        <v>461</v>
      </c>
      <c r="F15" s="91">
        <f>VLOOKUP($A15,'Data Vlaue (Cr)'!$C:$FB,77)</f>
        <v>-18</v>
      </c>
      <c r="G15" s="92">
        <f>VLOOKUP(A15,'Data Vlaue (Cr)'!C10:CB224,78,0)</f>
        <v>-3.7900000000000003E-2</v>
      </c>
      <c r="H15" s="91">
        <f>VLOOKUP($A15,'Data Vlaue (Cr)'!$C:$FB,91)</f>
        <v>451</v>
      </c>
      <c r="I15" s="91">
        <f>VLOOKUP($A15,'Data Vlaue (Cr)'!$C:$FB,93)</f>
        <v>-63</v>
      </c>
      <c r="J15" s="92">
        <f>VLOOKUP($A15,'Data Vlaue (Cr)'!$C:$FB,94)</f>
        <v>-0.12230000000000001</v>
      </c>
      <c r="K15" s="91">
        <f>VLOOKUP($A15,'Data Vlaue (Cr)'!$C:$FB,95)</f>
        <v>261</v>
      </c>
      <c r="L15" s="91">
        <f>VLOOKUP($A15,'Data Vlaue (Cr)'!$C:$FB,97)</f>
        <v>1</v>
      </c>
      <c r="M15" s="92">
        <f>VLOOKUP($A15,'Data Vlaue (Cr)'!$C:$FB,98)</f>
        <v>3.2000000000000002E-3</v>
      </c>
      <c r="N15" s="91">
        <f>VLOOKUP($A15,'Data Vlaue (Cr)'!$C:$FB,79)</f>
        <v>425</v>
      </c>
      <c r="O15" s="92">
        <f>VLOOKUP($A15,'Data Vlaue (Cr)'!$C:$FB,82)</f>
        <v>-4.3799999999999999E-2</v>
      </c>
    </row>
    <row r="16" spans="1:15" x14ac:dyDescent="0.25">
      <c r="A16" s="97" t="str">
        <f>'Data Vlaue (Cr)'!C11</f>
        <v>AMBUJACEM</v>
      </c>
      <c r="B16" s="142">
        <f>VLOOKUP(A16,'Data Vlaue (Cr)'!C11:CW225,99,0)</f>
        <v>3478</v>
      </c>
      <c r="C16" s="90">
        <f>VLOOKUP(A16,'Data Vlaue (Cr)'!C11:CY225,101,0)</f>
        <v>-33</v>
      </c>
      <c r="D16" s="139">
        <f>VLOOKUP(A16,'Data Vlaue (Cr)'!C11:CZ225,102,0)</f>
        <v>-9.2999999999999992E-3</v>
      </c>
      <c r="E16" s="91">
        <f>VLOOKUP($A16,'Data Vlaue (Cr)'!$C:$FB,75)</f>
        <v>2342</v>
      </c>
      <c r="F16" s="91">
        <f>VLOOKUP($A16,'Data Vlaue (Cr)'!$C:$FB,77)</f>
        <v>-29</v>
      </c>
      <c r="G16" s="92">
        <f>VLOOKUP(A16,'Data Vlaue (Cr)'!C11:CB225,78,0)</f>
        <v>-1.23E-2</v>
      </c>
      <c r="H16" s="91">
        <f>VLOOKUP($A16,'Data Vlaue (Cr)'!$C:$FB,91)</f>
        <v>671</v>
      </c>
      <c r="I16" s="91">
        <f>VLOOKUP($A16,'Data Vlaue (Cr)'!$C:$FB,93)</f>
        <v>10</v>
      </c>
      <c r="J16" s="92">
        <f>VLOOKUP($A16,'Data Vlaue (Cr)'!$C:$FB,94)</f>
        <v>1.5100000000000001E-2</v>
      </c>
      <c r="K16" s="91">
        <f>VLOOKUP($A16,'Data Vlaue (Cr)'!$C:$FB,95)</f>
        <v>464</v>
      </c>
      <c r="L16" s="91">
        <f>VLOOKUP($A16,'Data Vlaue (Cr)'!$C:$FB,97)</f>
        <v>-14</v>
      </c>
      <c r="M16" s="92">
        <f>VLOOKUP($A16,'Data Vlaue (Cr)'!$C:$FB,98)</f>
        <v>-2.8299999999999999E-2</v>
      </c>
      <c r="N16" s="91">
        <f>VLOOKUP($A16,'Data Vlaue (Cr)'!$C:$FB,79)</f>
        <v>2286</v>
      </c>
      <c r="O16" s="92">
        <f>VLOOKUP($A16,'Data Vlaue (Cr)'!$C:$FB,82)</f>
        <v>-1.37E-2</v>
      </c>
    </row>
    <row r="17" spans="1:15" x14ac:dyDescent="0.25">
      <c r="A17" s="97" t="str">
        <f>'Data Vlaue (Cr)'!C12</f>
        <v>ANGELONE</v>
      </c>
      <c r="B17" s="142">
        <f>VLOOKUP(A17,'Data Vlaue (Cr)'!C12:CW226,99,0)</f>
        <v>1729</v>
      </c>
      <c r="C17" s="90">
        <f>VLOOKUP(A17,'Data Vlaue (Cr)'!C12:CY226,101,0)</f>
        <v>-62</v>
      </c>
      <c r="D17" s="139">
        <f>VLOOKUP(A17,'Data Vlaue (Cr)'!C12:CZ226,102,0)</f>
        <v>-3.4500000000000003E-2</v>
      </c>
      <c r="E17" s="91">
        <f>VLOOKUP($A17,'Data Vlaue (Cr)'!$C:$FB,75)</f>
        <v>931</v>
      </c>
      <c r="F17" s="91">
        <f>VLOOKUP($A17,'Data Vlaue (Cr)'!$C:$FB,77)</f>
        <v>4</v>
      </c>
      <c r="G17" s="92">
        <f>VLOOKUP(A17,'Data Vlaue (Cr)'!C12:CB226,78,0)</f>
        <v>4.1000000000000003E-3</v>
      </c>
      <c r="H17" s="91">
        <f>VLOOKUP($A17,'Data Vlaue (Cr)'!$C:$FB,91)</f>
        <v>450</v>
      </c>
      <c r="I17" s="91">
        <f>VLOOKUP($A17,'Data Vlaue (Cr)'!$C:$FB,93)</f>
        <v>-56</v>
      </c>
      <c r="J17" s="92">
        <f>VLOOKUP($A17,'Data Vlaue (Cr)'!$C:$FB,94)</f>
        <v>-0.111</v>
      </c>
      <c r="K17" s="91">
        <f>VLOOKUP($A17,'Data Vlaue (Cr)'!$C:$FB,95)</f>
        <v>348</v>
      </c>
      <c r="L17" s="91">
        <f>VLOOKUP($A17,'Data Vlaue (Cr)'!$C:$FB,97)</f>
        <v>-9</v>
      </c>
      <c r="M17" s="92">
        <f>VLOOKUP($A17,'Data Vlaue (Cr)'!$C:$FB,98)</f>
        <v>-2.63E-2</v>
      </c>
      <c r="N17" s="91">
        <f>VLOOKUP($A17,'Data Vlaue (Cr)'!$C:$FB,79)</f>
        <v>856</v>
      </c>
      <c r="O17" s="92">
        <f>VLOOKUP($A17,'Data Vlaue (Cr)'!$C:$FB,82)</f>
        <v>4.7000000000000002E-3</v>
      </c>
    </row>
    <row r="18" spans="1:15" x14ac:dyDescent="0.25">
      <c r="A18" s="97" t="str">
        <f>'Data Vlaue (Cr)'!C13</f>
        <v>APLAPOLLO</v>
      </c>
      <c r="B18" s="142">
        <f>VLOOKUP(A18,'Data Vlaue (Cr)'!C13:CW227,99,0)</f>
        <v>1965</v>
      </c>
      <c r="C18" s="90">
        <f>VLOOKUP(A18,'Data Vlaue (Cr)'!C13:CY227,101,0)</f>
        <v>0</v>
      </c>
      <c r="D18" s="139">
        <f>VLOOKUP(A18,'Data Vlaue (Cr)'!C13:CZ227,102,0)</f>
        <v>2.0000000000000001E-4</v>
      </c>
      <c r="E18" s="91">
        <f>VLOOKUP($A18,'Data Vlaue (Cr)'!$C:$FB,75)</f>
        <v>1673</v>
      </c>
      <c r="F18" s="91">
        <f>VLOOKUP($A18,'Data Vlaue (Cr)'!$C:$FB,77)</f>
        <v>2</v>
      </c>
      <c r="G18" s="92">
        <f>VLOOKUP(A18,'Data Vlaue (Cr)'!C13:CB227,78,0)</f>
        <v>1.1999999999999999E-3</v>
      </c>
      <c r="H18" s="91">
        <f>VLOOKUP($A18,'Data Vlaue (Cr)'!$C:$FB,91)</f>
        <v>185</v>
      </c>
      <c r="I18" s="91">
        <f>VLOOKUP($A18,'Data Vlaue (Cr)'!$C:$FB,93)</f>
        <v>-1</v>
      </c>
      <c r="J18" s="92">
        <f>VLOOKUP($A18,'Data Vlaue (Cr)'!$C:$FB,94)</f>
        <v>-6.6E-3</v>
      </c>
      <c r="K18" s="91">
        <f>VLOOKUP($A18,'Data Vlaue (Cr)'!$C:$FB,95)</f>
        <v>107</v>
      </c>
      <c r="L18" s="91">
        <f>VLOOKUP($A18,'Data Vlaue (Cr)'!$C:$FB,97)</f>
        <v>0</v>
      </c>
      <c r="M18" s="92">
        <f>VLOOKUP($A18,'Data Vlaue (Cr)'!$C:$FB,98)</f>
        <v>-2.8999999999999998E-3</v>
      </c>
      <c r="N18" s="91">
        <f>VLOOKUP($A18,'Data Vlaue (Cr)'!$C:$FB,79)</f>
        <v>1660</v>
      </c>
      <c r="O18" s="92">
        <f>VLOOKUP($A18,'Data Vlaue (Cr)'!$C:$FB,82)</f>
        <v>1.1000000000000001E-3</v>
      </c>
    </row>
    <row r="19" spans="1:15" x14ac:dyDescent="0.25">
      <c r="A19" s="97" t="str">
        <f>'Data Vlaue (Cr)'!C14</f>
        <v>APOLLOHOSP</v>
      </c>
      <c r="B19" s="142">
        <f>VLOOKUP(A19,'Data Vlaue (Cr)'!C14:CW228,99,0)</f>
        <v>3096</v>
      </c>
      <c r="C19" s="90">
        <f>VLOOKUP(A19,'Data Vlaue (Cr)'!C14:CY228,101,0)</f>
        <v>45</v>
      </c>
      <c r="D19" s="139">
        <f>VLOOKUP(A19,'Data Vlaue (Cr)'!C14:CZ228,102,0)</f>
        <v>1.46E-2</v>
      </c>
      <c r="E19" s="91">
        <f>VLOOKUP($A19,'Data Vlaue (Cr)'!$C:$FB,75)</f>
        <v>2207</v>
      </c>
      <c r="F19" s="91">
        <f>VLOOKUP($A19,'Data Vlaue (Cr)'!$C:$FB,77)</f>
        <v>39</v>
      </c>
      <c r="G19" s="92">
        <f>VLOOKUP(A19,'Data Vlaue (Cr)'!C14:CB228,78,0)</f>
        <v>1.7899999999999999E-2</v>
      </c>
      <c r="H19" s="91">
        <f>VLOOKUP($A19,'Data Vlaue (Cr)'!$C:$FB,91)</f>
        <v>559</v>
      </c>
      <c r="I19" s="91">
        <f>VLOOKUP($A19,'Data Vlaue (Cr)'!$C:$FB,93)</f>
        <v>15</v>
      </c>
      <c r="J19" s="92">
        <f>VLOOKUP($A19,'Data Vlaue (Cr)'!$C:$FB,94)</f>
        <v>2.8199999999999999E-2</v>
      </c>
      <c r="K19" s="91">
        <f>VLOOKUP($A19,'Data Vlaue (Cr)'!$C:$FB,95)</f>
        <v>329</v>
      </c>
      <c r="L19" s="91">
        <f>VLOOKUP($A19,'Data Vlaue (Cr)'!$C:$FB,97)</f>
        <v>-10</v>
      </c>
      <c r="M19" s="92">
        <f>VLOOKUP($A19,'Data Vlaue (Cr)'!$C:$FB,98)</f>
        <v>-2.8500000000000001E-2</v>
      </c>
      <c r="N19" s="91">
        <f>VLOOKUP($A19,'Data Vlaue (Cr)'!$C:$FB,79)</f>
        <v>2175</v>
      </c>
      <c r="O19" s="92">
        <f>VLOOKUP($A19,'Data Vlaue (Cr)'!$C:$FB,82)</f>
        <v>1.55E-2</v>
      </c>
    </row>
    <row r="20" spans="1:15" x14ac:dyDescent="0.25">
      <c r="A20" s="97" t="str">
        <f>'Data Vlaue (Cr)'!C15</f>
        <v>ASHOKLEY</v>
      </c>
      <c r="B20" s="142">
        <f>VLOOKUP(A20,'Data Vlaue (Cr)'!C15:CW229,99,0)</f>
        <v>3412</v>
      </c>
      <c r="C20" s="90">
        <f>VLOOKUP(A20,'Data Vlaue (Cr)'!C15:CY229,101,0)</f>
        <v>144</v>
      </c>
      <c r="D20" s="139">
        <f>VLOOKUP(A20,'Data Vlaue (Cr)'!C15:CZ229,102,0)</f>
        <v>4.3999999999999997E-2</v>
      </c>
      <c r="E20" s="91">
        <f>VLOOKUP($A20,'Data Vlaue (Cr)'!$C:$FB,75)</f>
        <v>1865</v>
      </c>
      <c r="F20" s="91">
        <f>VLOOKUP($A20,'Data Vlaue (Cr)'!$C:$FB,77)</f>
        <v>21</v>
      </c>
      <c r="G20" s="92">
        <f>VLOOKUP(A20,'Data Vlaue (Cr)'!C15:CB229,78,0)</f>
        <v>1.15E-2</v>
      </c>
      <c r="H20" s="91">
        <f>VLOOKUP($A20,'Data Vlaue (Cr)'!$C:$FB,91)</f>
        <v>1066</v>
      </c>
      <c r="I20" s="91">
        <f>VLOOKUP($A20,'Data Vlaue (Cr)'!$C:$FB,93)</f>
        <v>85</v>
      </c>
      <c r="J20" s="92">
        <f>VLOOKUP($A20,'Data Vlaue (Cr)'!$C:$FB,94)</f>
        <v>8.6699999999999999E-2</v>
      </c>
      <c r="K20" s="91">
        <f>VLOOKUP($A20,'Data Vlaue (Cr)'!$C:$FB,95)</f>
        <v>480</v>
      </c>
      <c r="L20" s="91">
        <f>VLOOKUP($A20,'Data Vlaue (Cr)'!$C:$FB,97)</f>
        <v>37</v>
      </c>
      <c r="M20" s="92">
        <f>VLOOKUP($A20,'Data Vlaue (Cr)'!$C:$FB,98)</f>
        <v>8.4400000000000003E-2</v>
      </c>
      <c r="N20" s="91">
        <f>VLOOKUP($A20,'Data Vlaue (Cr)'!$C:$FB,79)</f>
        <v>1787</v>
      </c>
      <c r="O20" s="92">
        <f>VLOOKUP($A20,'Data Vlaue (Cr)'!$C:$FB,82)</f>
        <v>6.4999999999999997E-3</v>
      </c>
    </row>
    <row r="21" spans="1:15" x14ac:dyDescent="0.25">
      <c r="A21" s="97" t="str">
        <f>'Data Vlaue (Cr)'!C16</f>
        <v>ASIANPAINT</v>
      </c>
      <c r="B21" s="142">
        <f>VLOOKUP(A21,'Data Vlaue (Cr)'!C16:CW230,99,0)</f>
        <v>5441</v>
      </c>
      <c r="C21" s="90">
        <f>VLOOKUP(A21,'Data Vlaue (Cr)'!C16:CY230,101,0)</f>
        <v>-41</v>
      </c>
      <c r="D21" s="139">
        <f>VLOOKUP(A21,'Data Vlaue (Cr)'!C16:CZ230,102,0)</f>
        <v>-7.4999999999999997E-3</v>
      </c>
      <c r="E21" s="91">
        <f>VLOOKUP($A21,'Data Vlaue (Cr)'!$C:$FB,75)</f>
        <v>3144</v>
      </c>
      <c r="F21" s="91">
        <f>VLOOKUP($A21,'Data Vlaue (Cr)'!$C:$FB,77)</f>
        <v>-88</v>
      </c>
      <c r="G21" s="92">
        <f>VLOOKUP(A21,'Data Vlaue (Cr)'!C16:CB230,78,0)</f>
        <v>-2.7300000000000001E-2</v>
      </c>
      <c r="H21" s="91">
        <f>VLOOKUP($A21,'Data Vlaue (Cr)'!$C:$FB,91)</f>
        <v>1456</v>
      </c>
      <c r="I21" s="91">
        <f>VLOOKUP($A21,'Data Vlaue (Cr)'!$C:$FB,93)</f>
        <v>38</v>
      </c>
      <c r="J21" s="92">
        <f>VLOOKUP($A21,'Data Vlaue (Cr)'!$C:$FB,94)</f>
        <v>2.6599999999999999E-2</v>
      </c>
      <c r="K21" s="91">
        <f>VLOOKUP($A21,'Data Vlaue (Cr)'!$C:$FB,95)</f>
        <v>841</v>
      </c>
      <c r="L21" s="91">
        <f>VLOOKUP($A21,'Data Vlaue (Cr)'!$C:$FB,97)</f>
        <v>9</v>
      </c>
      <c r="M21" s="92">
        <f>VLOOKUP($A21,'Data Vlaue (Cr)'!$C:$FB,98)</f>
        <v>1.12E-2</v>
      </c>
      <c r="N21" s="91">
        <f>VLOOKUP($A21,'Data Vlaue (Cr)'!$C:$FB,79)</f>
        <v>3000</v>
      </c>
      <c r="O21" s="92">
        <f>VLOOKUP($A21,'Data Vlaue (Cr)'!$C:$FB,82)</f>
        <v>-3.2500000000000001E-2</v>
      </c>
    </row>
    <row r="22" spans="1:15" x14ac:dyDescent="0.25">
      <c r="A22" s="97" t="str">
        <f>'Data Vlaue (Cr)'!C17</f>
        <v>ASTRAL</v>
      </c>
      <c r="B22" s="142">
        <f>VLOOKUP(A22,'Data Vlaue (Cr)'!C17:CW231,99,0)</f>
        <v>1865</v>
      </c>
      <c r="C22" s="90">
        <f>VLOOKUP(A22,'Data Vlaue (Cr)'!C17:CY231,101,0)</f>
        <v>42</v>
      </c>
      <c r="D22" s="139">
        <f>VLOOKUP(A22,'Data Vlaue (Cr)'!C17:CZ231,102,0)</f>
        <v>2.3E-2</v>
      </c>
      <c r="E22" s="91">
        <f>VLOOKUP($A22,'Data Vlaue (Cr)'!$C:$FB,75)</f>
        <v>1248</v>
      </c>
      <c r="F22" s="91">
        <f>VLOOKUP($A22,'Data Vlaue (Cr)'!$C:$FB,77)</f>
        <v>30</v>
      </c>
      <c r="G22" s="92">
        <f>VLOOKUP(A22,'Data Vlaue (Cr)'!C17:CB231,78,0)</f>
        <v>2.46E-2</v>
      </c>
      <c r="H22" s="91">
        <f>VLOOKUP($A22,'Data Vlaue (Cr)'!$C:$FB,91)</f>
        <v>420</v>
      </c>
      <c r="I22" s="91">
        <f>VLOOKUP($A22,'Data Vlaue (Cr)'!$C:$FB,93)</f>
        <v>11</v>
      </c>
      <c r="J22" s="92">
        <f>VLOOKUP($A22,'Data Vlaue (Cr)'!$C:$FB,94)</f>
        <v>2.8000000000000001E-2</v>
      </c>
      <c r="K22" s="91">
        <f>VLOOKUP($A22,'Data Vlaue (Cr)'!$C:$FB,95)</f>
        <v>197</v>
      </c>
      <c r="L22" s="91">
        <f>VLOOKUP($A22,'Data Vlaue (Cr)'!$C:$FB,97)</f>
        <v>0</v>
      </c>
      <c r="M22" s="92">
        <f>VLOOKUP($A22,'Data Vlaue (Cr)'!$C:$FB,98)</f>
        <v>2.5000000000000001E-3</v>
      </c>
      <c r="N22" s="91">
        <f>VLOOKUP($A22,'Data Vlaue (Cr)'!$C:$FB,79)</f>
        <v>1209</v>
      </c>
      <c r="O22" s="92">
        <f>VLOOKUP($A22,'Data Vlaue (Cr)'!$C:$FB,82)</f>
        <v>2.6100000000000002E-2</v>
      </c>
    </row>
    <row r="23" spans="1:15" x14ac:dyDescent="0.25">
      <c r="A23" s="97" t="str">
        <f>'Data Vlaue (Cr)'!C18</f>
        <v>AUBANK</v>
      </c>
      <c r="B23" s="142">
        <f>VLOOKUP(A23,'Data Vlaue (Cr)'!C18:CW232,99,0)</f>
        <v>2517</v>
      </c>
      <c r="C23" s="90">
        <f>VLOOKUP(A23,'Data Vlaue (Cr)'!C18:CY232,101,0)</f>
        <v>206</v>
      </c>
      <c r="D23" s="139">
        <f>VLOOKUP(A23,'Data Vlaue (Cr)'!C18:CZ232,102,0)</f>
        <v>8.9300000000000004E-2</v>
      </c>
      <c r="E23" s="91">
        <f>VLOOKUP($A23,'Data Vlaue (Cr)'!$C:$FB,75)</f>
        <v>1607</v>
      </c>
      <c r="F23" s="91">
        <f>VLOOKUP($A23,'Data Vlaue (Cr)'!$C:$FB,77)</f>
        <v>37</v>
      </c>
      <c r="G23" s="92">
        <f>VLOOKUP(A23,'Data Vlaue (Cr)'!C18:CB232,78,0)</f>
        <v>2.3699999999999999E-2</v>
      </c>
      <c r="H23" s="91">
        <f>VLOOKUP($A23,'Data Vlaue (Cr)'!$C:$FB,91)</f>
        <v>578</v>
      </c>
      <c r="I23" s="91">
        <f>VLOOKUP($A23,'Data Vlaue (Cr)'!$C:$FB,93)</f>
        <v>154</v>
      </c>
      <c r="J23" s="92">
        <f>VLOOKUP($A23,'Data Vlaue (Cr)'!$C:$FB,94)</f>
        <v>0.3619</v>
      </c>
      <c r="K23" s="91">
        <f>VLOOKUP($A23,'Data Vlaue (Cr)'!$C:$FB,95)</f>
        <v>332</v>
      </c>
      <c r="L23" s="91">
        <f>VLOOKUP($A23,'Data Vlaue (Cr)'!$C:$FB,97)</f>
        <v>16</v>
      </c>
      <c r="M23" s="92">
        <f>VLOOKUP($A23,'Data Vlaue (Cr)'!$C:$FB,98)</f>
        <v>4.9200000000000001E-2</v>
      </c>
      <c r="N23" s="91">
        <f>VLOOKUP($A23,'Data Vlaue (Cr)'!$C:$FB,79)</f>
        <v>1576</v>
      </c>
      <c r="O23" s="92">
        <f>VLOOKUP($A23,'Data Vlaue (Cr)'!$C:$FB,82)</f>
        <v>2.2700000000000001E-2</v>
      </c>
    </row>
    <row r="24" spans="1:15" x14ac:dyDescent="0.25">
      <c r="A24" s="97" t="str">
        <f>'Data Vlaue (Cr)'!C19</f>
        <v>AUROPHARMA</v>
      </c>
      <c r="B24" s="142">
        <f>VLOOKUP(A24,'Data Vlaue (Cr)'!C19:CW233,99,0)</f>
        <v>3065</v>
      </c>
      <c r="C24" s="90">
        <f>VLOOKUP(A24,'Data Vlaue (Cr)'!C19:CY233,101,0)</f>
        <v>85</v>
      </c>
      <c r="D24" s="139">
        <f>VLOOKUP(A24,'Data Vlaue (Cr)'!C19:CZ233,102,0)</f>
        <v>2.86E-2</v>
      </c>
      <c r="E24" s="91">
        <f>VLOOKUP($A24,'Data Vlaue (Cr)'!$C:$FB,75)</f>
        <v>2313</v>
      </c>
      <c r="F24" s="91">
        <f>VLOOKUP($A24,'Data Vlaue (Cr)'!$C:$FB,77)</f>
        <v>28</v>
      </c>
      <c r="G24" s="92">
        <f>VLOOKUP(A24,'Data Vlaue (Cr)'!C19:CB233,78,0)</f>
        <v>1.21E-2</v>
      </c>
      <c r="H24" s="91">
        <f>VLOOKUP($A24,'Data Vlaue (Cr)'!$C:$FB,91)</f>
        <v>428</v>
      </c>
      <c r="I24" s="91">
        <f>VLOOKUP($A24,'Data Vlaue (Cr)'!$C:$FB,93)</f>
        <v>45</v>
      </c>
      <c r="J24" s="92">
        <f>VLOOKUP($A24,'Data Vlaue (Cr)'!$C:$FB,94)</f>
        <v>0.11650000000000001</v>
      </c>
      <c r="K24" s="91">
        <f>VLOOKUP($A24,'Data Vlaue (Cr)'!$C:$FB,95)</f>
        <v>325</v>
      </c>
      <c r="L24" s="91">
        <f>VLOOKUP($A24,'Data Vlaue (Cr)'!$C:$FB,97)</f>
        <v>13</v>
      </c>
      <c r="M24" s="92">
        <f>VLOOKUP($A24,'Data Vlaue (Cr)'!$C:$FB,98)</f>
        <v>4.1700000000000001E-2</v>
      </c>
      <c r="N24" s="91">
        <f>VLOOKUP($A24,'Data Vlaue (Cr)'!$C:$FB,79)</f>
        <v>2269</v>
      </c>
      <c r="O24" s="92">
        <f>VLOOKUP($A24,'Data Vlaue (Cr)'!$C:$FB,82)</f>
        <v>1.1299999999999999E-2</v>
      </c>
    </row>
    <row r="25" spans="1:15" x14ac:dyDescent="0.25">
      <c r="A25" s="97" t="str">
        <f>'Data Vlaue (Cr)'!C20</f>
        <v>AXISBANK</v>
      </c>
      <c r="B25" s="142">
        <f>VLOOKUP(A25,'Data Vlaue (Cr)'!C20:CW234,99,0)</f>
        <v>14645</v>
      </c>
      <c r="C25" s="90">
        <f>VLOOKUP(A25,'Data Vlaue (Cr)'!C20:CY234,101,0)</f>
        <v>-208</v>
      </c>
      <c r="D25" s="139">
        <f>VLOOKUP(A25,'Data Vlaue (Cr)'!C20:CZ234,102,0)</f>
        <v>-1.4E-2</v>
      </c>
      <c r="E25" s="91">
        <f>VLOOKUP($A25,'Data Vlaue (Cr)'!$C:$FB,75)</f>
        <v>9763</v>
      </c>
      <c r="F25" s="91">
        <f>VLOOKUP($A25,'Data Vlaue (Cr)'!$C:$FB,77)</f>
        <v>-120</v>
      </c>
      <c r="G25" s="92">
        <f>VLOOKUP(A25,'Data Vlaue (Cr)'!C20:CB234,78,0)</f>
        <v>-1.21E-2</v>
      </c>
      <c r="H25" s="91">
        <f>VLOOKUP($A25,'Data Vlaue (Cr)'!$C:$FB,91)</f>
        <v>3359</v>
      </c>
      <c r="I25" s="91">
        <f>VLOOKUP($A25,'Data Vlaue (Cr)'!$C:$FB,93)</f>
        <v>-165</v>
      </c>
      <c r="J25" s="92">
        <f>VLOOKUP($A25,'Data Vlaue (Cr)'!$C:$FB,94)</f>
        <v>-4.6899999999999997E-2</v>
      </c>
      <c r="K25" s="91">
        <f>VLOOKUP($A25,'Data Vlaue (Cr)'!$C:$FB,95)</f>
        <v>1524</v>
      </c>
      <c r="L25" s="91">
        <f>VLOOKUP($A25,'Data Vlaue (Cr)'!$C:$FB,97)</f>
        <v>78</v>
      </c>
      <c r="M25" s="92">
        <f>VLOOKUP($A25,'Data Vlaue (Cr)'!$C:$FB,98)</f>
        <v>5.3600000000000002E-2</v>
      </c>
      <c r="N25" s="91">
        <f>VLOOKUP($A25,'Data Vlaue (Cr)'!$C:$FB,79)</f>
        <v>9587</v>
      </c>
      <c r="O25" s="92">
        <f>VLOOKUP($A25,'Data Vlaue (Cr)'!$C:$FB,82)</f>
        <v>-1.35E-2</v>
      </c>
    </row>
    <row r="26" spans="1:15" x14ac:dyDescent="0.25">
      <c r="A26" s="97" t="str">
        <f>'Data Vlaue (Cr)'!C21</f>
        <v>BAJAJ-AUTO</v>
      </c>
      <c r="B26" s="142">
        <f>VLOOKUP(A26,'Data Vlaue (Cr)'!C21:CW235,99,0)</f>
        <v>5169</v>
      </c>
      <c r="C26" s="90">
        <f>VLOOKUP(A26,'Data Vlaue (Cr)'!C21:CY235,101,0)</f>
        <v>62</v>
      </c>
      <c r="D26" s="139">
        <f>VLOOKUP(A26,'Data Vlaue (Cr)'!C21:CZ235,102,0)</f>
        <v>1.21E-2</v>
      </c>
      <c r="E26" s="91">
        <f>VLOOKUP($A26,'Data Vlaue (Cr)'!$C:$FB,75)</f>
        <v>2804</v>
      </c>
      <c r="F26" s="91">
        <f>VLOOKUP($A26,'Data Vlaue (Cr)'!$C:$FB,77)</f>
        <v>6</v>
      </c>
      <c r="G26" s="92">
        <f>VLOOKUP(A26,'Data Vlaue (Cr)'!C21:CB235,78,0)</f>
        <v>2.0999999999999999E-3</v>
      </c>
      <c r="H26" s="91">
        <f>VLOOKUP($A26,'Data Vlaue (Cr)'!$C:$FB,91)</f>
        <v>1415</v>
      </c>
      <c r="I26" s="91">
        <f>VLOOKUP($A26,'Data Vlaue (Cr)'!$C:$FB,93)</f>
        <v>-44</v>
      </c>
      <c r="J26" s="92">
        <f>VLOOKUP($A26,'Data Vlaue (Cr)'!$C:$FB,94)</f>
        <v>-3.04E-2</v>
      </c>
      <c r="K26" s="91">
        <f>VLOOKUP($A26,'Data Vlaue (Cr)'!$C:$FB,95)</f>
        <v>950</v>
      </c>
      <c r="L26" s="91">
        <f>VLOOKUP($A26,'Data Vlaue (Cr)'!$C:$FB,97)</f>
        <v>100</v>
      </c>
      <c r="M26" s="92">
        <f>VLOOKUP($A26,'Data Vlaue (Cr)'!$C:$FB,98)</f>
        <v>0.11799999999999999</v>
      </c>
      <c r="N26" s="91">
        <f>VLOOKUP($A26,'Data Vlaue (Cr)'!$C:$FB,79)</f>
        <v>2715</v>
      </c>
      <c r="O26" s="92">
        <f>VLOOKUP($A26,'Data Vlaue (Cr)'!$C:$FB,82)</f>
        <v>-1E-3</v>
      </c>
    </row>
    <row r="27" spans="1:15" x14ac:dyDescent="0.25">
      <c r="A27" s="97" t="str">
        <f>'Data Vlaue (Cr)'!C22</f>
        <v>BAJAJFINSV</v>
      </c>
      <c r="B27" s="142">
        <f>VLOOKUP(A27,'Data Vlaue (Cr)'!C22:CW236,99,0)</f>
        <v>5271</v>
      </c>
      <c r="C27" s="90">
        <f>VLOOKUP(A27,'Data Vlaue (Cr)'!C22:CY236,101,0)</f>
        <v>131</v>
      </c>
      <c r="D27" s="139">
        <f>VLOOKUP(A27,'Data Vlaue (Cr)'!C22:CZ236,102,0)</f>
        <v>2.5399999999999999E-2</v>
      </c>
      <c r="E27" s="91">
        <f>VLOOKUP($A27,'Data Vlaue (Cr)'!$C:$FB,75)</f>
        <v>3611</v>
      </c>
      <c r="F27" s="91">
        <f>VLOOKUP($A27,'Data Vlaue (Cr)'!$C:$FB,77)</f>
        <v>52</v>
      </c>
      <c r="G27" s="92">
        <f>VLOOKUP(A27,'Data Vlaue (Cr)'!C22:CB236,78,0)</f>
        <v>1.4500000000000001E-2</v>
      </c>
      <c r="H27" s="91">
        <f>VLOOKUP($A27,'Data Vlaue (Cr)'!$C:$FB,91)</f>
        <v>1025</v>
      </c>
      <c r="I27" s="91">
        <f>VLOOKUP($A27,'Data Vlaue (Cr)'!$C:$FB,93)</f>
        <v>63</v>
      </c>
      <c r="J27" s="92">
        <f>VLOOKUP($A27,'Data Vlaue (Cr)'!$C:$FB,94)</f>
        <v>6.5500000000000003E-2</v>
      </c>
      <c r="K27" s="91">
        <f>VLOOKUP($A27,'Data Vlaue (Cr)'!$C:$FB,95)</f>
        <v>635</v>
      </c>
      <c r="L27" s="91">
        <f>VLOOKUP($A27,'Data Vlaue (Cr)'!$C:$FB,97)</f>
        <v>16</v>
      </c>
      <c r="M27" s="92">
        <f>VLOOKUP($A27,'Data Vlaue (Cr)'!$C:$FB,98)</f>
        <v>2.5899999999999999E-2</v>
      </c>
      <c r="N27" s="91">
        <f>VLOOKUP($A27,'Data Vlaue (Cr)'!$C:$FB,79)</f>
        <v>3559</v>
      </c>
      <c r="O27" s="92">
        <f>VLOOKUP($A27,'Data Vlaue (Cr)'!$C:$FB,82)</f>
        <v>1.1900000000000001E-2</v>
      </c>
    </row>
    <row r="28" spans="1:15" x14ac:dyDescent="0.25">
      <c r="A28" s="97" t="str">
        <f>'Data Vlaue (Cr)'!C23</f>
        <v>BAJFINANCE</v>
      </c>
      <c r="B28" s="142">
        <f>VLOOKUP(A28,'Data Vlaue (Cr)'!C23:CW237,99,0)</f>
        <v>12684</v>
      </c>
      <c r="C28" s="90">
        <f>VLOOKUP(A28,'Data Vlaue (Cr)'!C23:CY237,101,0)</f>
        <v>186</v>
      </c>
      <c r="D28" s="139">
        <f>VLOOKUP(A28,'Data Vlaue (Cr)'!C23:CZ237,102,0)</f>
        <v>1.49E-2</v>
      </c>
      <c r="E28" s="91">
        <f>VLOOKUP($A28,'Data Vlaue (Cr)'!$C:$FB,75)</f>
        <v>9402</v>
      </c>
      <c r="F28" s="91">
        <f>VLOOKUP($A28,'Data Vlaue (Cr)'!$C:$FB,77)</f>
        <v>15</v>
      </c>
      <c r="G28" s="92">
        <f>VLOOKUP(A28,'Data Vlaue (Cr)'!C23:CB237,78,0)</f>
        <v>1.6000000000000001E-3</v>
      </c>
      <c r="H28" s="91">
        <f>VLOOKUP($A28,'Data Vlaue (Cr)'!$C:$FB,91)</f>
        <v>1912</v>
      </c>
      <c r="I28" s="91">
        <f>VLOOKUP($A28,'Data Vlaue (Cr)'!$C:$FB,93)</f>
        <v>133</v>
      </c>
      <c r="J28" s="92">
        <f>VLOOKUP($A28,'Data Vlaue (Cr)'!$C:$FB,94)</f>
        <v>7.46E-2</v>
      </c>
      <c r="K28" s="91">
        <f>VLOOKUP($A28,'Data Vlaue (Cr)'!$C:$FB,95)</f>
        <v>1370</v>
      </c>
      <c r="L28" s="91">
        <f>VLOOKUP($A28,'Data Vlaue (Cr)'!$C:$FB,97)</f>
        <v>39</v>
      </c>
      <c r="M28" s="92">
        <f>VLOOKUP($A28,'Data Vlaue (Cr)'!$C:$FB,98)</f>
        <v>2.8899999999999999E-2</v>
      </c>
      <c r="N28" s="91">
        <f>VLOOKUP($A28,'Data Vlaue (Cr)'!$C:$FB,79)</f>
        <v>9256</v>
      </c>
      <c r="O28" s="92">
        <f>VLOOKUP($A28,'Data Vlaue (Cr)'!$C:$FB,82)</f>
        <v>-2.0000000000000001E-4</v>
      </c>
    </row>
    <row r="29" spans="1:15" x14ac:dyDescent="0.25">
      <c r="A29" s="97" t="str">
        <f>'Data Vlaue (Cr)'!C24</f>
        <v>BANDHANBNK</v>
      </c>
      <c r="B29" s="142">
        <f>VLOOKUP(A29,'Data Vlaue (Cr)'!C24:CW238,99,0)</f>
        <v>2645</v>
      </c>
      <c r="C29" s="90">
        <f>VLOOKUP(A29,'Data Vlaue (Cr)'!C24:CY238,101,0)</f>
        <v>22</v>
      </c>
      <c r="D29" s="139">
        <f>VLOOKUP(A29,'Data Vlaue (Cr)'!C24:CZ238,102,0)</f>
        <v>8.3000000000000001E-3</v>
      </c>
      <c r="E29" s="91">
        <f>VLOOKUP($A29,'Data Vlaue (Cr)'!$C:$FB,75)</f>
        <v>1646</v>
      </c>
      <c r="F29" s="91">
        <f>VLOOKUP($A29,'Data Vlaue (Cr)'!$C:$FB,77)</f>
        <v>-13</v>
      </c>
      <c r="G29" s="92">
        <f>VLOOKUP(A29,'Data Vlaue (Cr)'!C24:CB238,78,0)</f>
        <v>-8.0999999999999996E-3</v>
      </c>
      <c r="H29" s="91">
        <f>VLOOKUP($A29,'Data Vlaue (Cr)'!$C:$FB,91)</f>
        <v>540</v>
      </c>
      <c r="I29" s="91">
        <f>VLOOKUP($A29,'Data Vlaue (Cr)'!$C:$FB,93)</f>
        <v>10</v>
      </c>
      <c r="J29" s="92">
        <f>VLOOKUP($A29,'Data Vlaue (Cr)'!$C:$FB,94)</f>
        <v>1.9400000000000001E-2</v>
      </c>
      <c r="K29" s="91">
        <f>VLOOKUP($A29,'Data Vlaue (Cr)'!$C:$FB,95)</f>
        <v>458</v>
      </c>
      <c r="L29" s="91">
        <f>VLOOKUP($A29,'Data Vlaue (Cr)'!$C:$FB,97)</f>
        <v>25</v>
      </c>
      <c r="M29" s="92">
        <f>VLOOKUP($A29,'Data Vlaue (Cr)'!$C:$FB,98)</f>
        <v>5.74E-2</v>
      </c>
      <c r="N29" s="91">
        <f>VLOOKUP($A29,'Data Vlaue (Cr)'!$C:$FB,79)</f>
        <v>1542</v>
      </c>
      <c r="O29" s="92">
        <f>VLOOKUP($A29,'Data Vlaue (Cr)'!$C:$FB,82)</f>
        <v>-7.1999999999999998E-3</v>
      </c>
    </row>
    <row r="30" spans="1:15" x14ac:dyDescent="0.25">
      <c r="A30" s="97" t="str">
        <f>'Data Vlaue (Cr)'!C25</f>
        <v>BANKBARODA</v>
      </c>
      <c r="B30" s="142">
        <f>VLOOKUP(A30,'Data Vlaue (Cr)'!C25:CW239,99,0)</f>
        <v>5407</v>
      </c>
      <c r="C30" s="90">
        <f>VLOOKUP(A30,'Data Vlaue (Cr)'!C25:CY239,101,0)</f>
        <v>-6</v>
      </c>
      <c r="D30" s="139">
        <f>VLOOKUP(A30,'Data Vlaue (Cr)'!C25:CZ239,102,0)</f>
        <v>-1E-3</v>
      </c>
      <c r="E30" s="91">
        <f>VLOOKUP($A30,'Data Vlaue (Cr)'!$C:$FB,75)</f>
        <v>3422</v>
      </c>
      <c r="F30" s="91">
        <f>VLOOKUP($A30,'Data Vlaue (Cr)'!$C:$FB,77)</f>
        <v>-50</v>
      </c>
      <c r="G30" s="92">
        <f>VLOOKUP(A30,'Data Vlaue (Cr)'!C25:CB239,78,0)</f>
        <v>-1.4500000000000001E-2</v>
      </c>
      <c r="H30" s="91">
        <f>VLOOKUP($A30,'Data Vlaue (Cr)'!$C:$FB,91)</f>
        <v>1124</v>
      </c>
      <c r="I30" s="91">
        <f>VLOOKUP($A30,'Data Vlaue (Cr)'!$C:$FB,93)</f>
        <v>25</v>
      </c>
      <c r="J30" s="92">
        <f>VLOOKUP($A30,'Data Vlaue (Cr)'!$C:$FB,94)</f>
        <v>2.3E-2</v>
      </c>
      <c r="K30" s="91">
        <f>VLOOKUP($A30,'Data Vlaue (Cr)'!$C:$FB,95)</f>
        <v>861</v>
      </c>
      <c r="L30" s="91">
        <f>VLOOKUP($A30,'Data Vlaue (Cr)'!$C:$FB,97)</f>
        <v>19</v>
      </c>
      <c r="M30" s="92">
        <f>VLOOKUP($A30,'Data Vlaue (Cr)'!$C:$FB,98)</f>
        <v>2.29E-2</v>
      </c>
      <c r="N30" s="91">
        <f>VLOOKUP($A30,'Data Vlaue (Cr)'!$C:$FB,79)</f>
        <v>3356</v>
      </c>
      <c r="O30" s="92">
        <f>VLOOKUP($A30,'Data Vlaue (Cr)'!$C:$FB,82)</f>
        <v>-1.4999999999999999E-2</v>
      </c>
    </row>
    <row r="31" spans="1:15" x14ac:dyDescent="0.25">
      <c r="A31" s="97" t="str">
        <f>'Data Vlaue (Cr)'!C26</f>
        <v>BANKINDIA</v>
      </c>
      <c r="B31" s="142">
        <f>VLOOKUP(A31,'Data Vlaue (Cr)'!C26:CW240,99,0)</f>
        <v>1446</v>
      </c>
      <c r="C31" s="90">
        <f>VLOOKUP(A31,'Data Vlaue (Cr)'!C26:CY240,101,0)</f>
        <v>33</v>
      </c>
      <c r="D31" s="139">
        <f>VLOOKUP(A31,'Data Vlaue (Cr)'!C26:CZ240,102,0)</f>
        <v>2.3E-2</v>
      </c>
      <c r="E31" s="91">
        <f>VLOOKUP($A31,'Data Vlaue (Cr)'!$C:$FB,75)</f>
        <v>903</v>
      </c>
      <c r="F31" s="91">
        <f>VLOOKUP($A31,'Data Vlaue (Cr)'!$C:$FB,77)</f>
        <v>-1</v>
      </c>
      <c r="G31" s="92">
        <f>VLOOKUP(A31,'Data Vlaue (Cr)'!C26:CB240,78,0)</f>
        <v>-1.2999999999999999E-3</v>
      </c>
      <c r="H31" s="91">
        <f>VLOOKUP($A31,'Data Vlaue (Cr)'!$C:$FB,91)</f>
        <v>330</v>
      </c>
      <c r="I31" s="91">
        <f>VLOOKUP($A31,'Data Vlaue (Cr)'!$C:$FB,93)</f>
        <v>17</v>
      </c>
      <c r="J31" s="92">
        <f>VLOOKUP($A31,'Data Vlaue (Cr)'!$C:$FB,94)</f>
        <v>5.5899999999999998E-2</v>
      </c>
      <c r="K31" s="91">
        <f>VLOOKUP($A31,'Data Vlaue (Cr)'!$C:$FB,95)</f>
        <v>214</v>
      </c>
      <c r="L31" s="91">
        <f>VLOOKUP($A31,'Data Vlaue (Cr)'!$C:$FB,97)</f>
        <v>16</v>
      </c>
      <c r="M31" s="92">
        <f>VLOOKUP($A31,'Data Vlaue (Cr)'!$C:$FB,98)</f>
        <v>8.2199999999999995E-2</v>
      </c>
      <c r="N31" s="91">
        <f>VLOOKUP($A31,'Data Vlaue (Cr)'!$C:$FB,79)</f>
        <v>862</v>
      </c>
      <c r="O31" s="92">
        <f>VLOOKUP($A31,'Data Vlaue (Cr)'!$C:$FB,82)</f>
        <v>-5.7000000000000002E-3</v>
      </c>
    </row>
    <row r="32" spans="1:15" x14ac:dyDescent="0.25">
      <c r="A32" s="97" t="str">
        <f>'Data Vlaue (Cr)'!C27</f>
        <v>BANKNIFTY</v>
      </c>
      <c r="B32" s="142">
        <f>VLOOKUP(A32,'Data Vlaue (Cr)'!C27:CW241,99,0)</f>
        <v>229771</v>
      </c>
      <c r="C32" s="90">
        <f>VLOOKUP(A32,'Data Vlaue (Cr)'!C27:CY241,101,0)</f>
        <v>11848</v>
      </c>
      <c r="D32" s="139">
        <f>VLOOKUP(A32,'Data Vlaue (Cr)'!C27:CZ241,102,0)</f>
        <v>5.4399999999999997E-2</v>
      </c>
      <c r="E32" s="91">
        <f>VLOOKUP($A32,'Data Vlaue (Cr)'!$C:$FB,75)</f>
        <v>11203</v>
      </c>
      <c r="F32" s="91">
        <f>VLOOKUP($A32,'Data Vlaue (Cr)'!$C:$FB,77)</f>
        <v>420</v>
      </c>
      <c r="G32" s="92">
        <f>VLOOKUP(A32,'Data Vlaue (Cr)'!C27:CB241,78,0)</f>
        <v>3.8899999999999997E-2</v>
      </c>
      <c r="H32" s="91">
        <f>VLOOKUP($A32,'Data Vlaue (Cr)'!$C:$FB,91)</f>
        <v>101940</v>
      </c>
      <c r="I32" s="91">
        <f>VLOOKUP($A32,'Data Vlaue (Cr)'!$C:$FB,93)</f>
        <v>2236</v>
      </c>
      <c r="J32" s="92">
        <f>VLOOKUP($A32,'Data Vlaue (Cr)'!$C:$FB,94)</f>
        <v>2.24E-2</v>
      </c>
      <c r="K32" s="91">
        <f>VLOOKUP($A32,'Data Vlaue (Cr)'!$C:$FB,95)</f>
        <v>116628</v>
      </c>
      <c r="L32" s="91">
        <f>VLOOKUP($A32,'Data Vlaue (Cr)'!$C:$FB,97)</f>
        <v>9192</v>
      </c>
      <c r="M32" s="92">
        <f>VLOOKUP($A32,'Data Vlaue (Cr)'!$C:$FB,98)</f>
        <v>8.5599999999999996E-2</v>
      </c>
      <c r="N32" s="91">
        <f>VLOOKUP($A32,'Data Vlaue (Cr)'!$C:$FB,79)</f>
        <v>9892</v>
      </c>
      <c r="O32" s="92">
        <f>VLOOKUP($A32,'Data Vlaue (Cr)'!$C:$FB,82)</f>
        <v>3.4700000000000002E-2</v>
      </c>
    </row>
    <row r="33" spans="1:15" x14ac:dyDescent="0.25">
      <c r="A33" s="97" t="str">
        <f>'Data Vlaue (Cr)'!C28</f>
        <v>BDL</v>
      </c>
      <c r="B33" s="142">
        <f>VLOOKUP(A33,'Data Vlaue (Cr)'!C28:CW242,99,0)</f>
        <v>1511</v>
      </c>
      <c r="C33" s="90">
        <f>VLOOKUP(A33,'Data Vlaue (Cr)'!C28:CY242,101,0)</f>
        <v>-35</v>
      </c>
      <c r="D33" s="139">
        <f>VLOOKUP(A33,'Data Vlaue (Cr)'!C28:CZ242,102,0)</f>
        <v>-2.29E-2</v>
      </c>
      <c r="E33" s="91">
        <f>VLOOKUP($A33,'Data Vlaue (Cr)'!$C:$FB,75)</f>
        <v>692</v>
      </c>
      <c r="F33" s="91">
        <f>VLOOKUP($A33,'Data Vlaue (Cr)'!$C:$FB,77)</f>
        <v>-15</v>
      </c>
      <c r="G33" s="92">
        <f>VLOOKUP(A33,'Data Vlaue (Cr)'!C28:CB242,78,0)</f>
        <v>-2.06E-2</v>
      </c>
      <c r="H33" s="91">
        <f>VLOOKUP($A33,'Data Vlaue (Cr)'!$C:$FB,91)</f>
        <v>514</v>
      </c>
      <c r="I33" s="91">
        <f>VLOOKUP($A33,'Data Vlaue (Cr)'!$C:$FB,93)</f>
        <v>-25</v>
      </c>
      <c r="J33" s="92">
        <f>VLOOKUP($A33,'Data Vlaue (Cr)'!$C:$FB,94)</f>
        <v>-4.5499999999999999E-2</v>
      </c>
      <c r="K33" s="91">
        <f>VLOOKUP($A33,'Data Vlaue (Cr)'!$C:$FB,95)</f>
        <v>304</v>
      </c>
      <c r="L33" s="91">
        <f>VLOOKUP($A33,'Data Vlaue (Cr)'!$C:$FB,97)</f>
        <v>4</v>
      </c>
      <c r="M33" s="92">
        <f>VLOOKUP($A33,'Data Vlaue (Cr)'!$C:$FB,98)</f>
        <v>1.23E-2</v>
      </c>
      <c r="N33" s="91">
        <f>VLOOKUP($A33,'Data Vlaue (Cr)'!$C:$FB,79)</f>
        <v>652</v>
      </c>
      <c r="O33" s="92">
        <f>VLOOKUP($A33,'Data Vlaue (Cr)'!$C:$FB,82)</f>
        <v>-2.3599999999999999E-2</v>
      </c>
    </row>
    <row r="34" spans="1:15" x14ac:dyDescent="0.25">
      <c r="A34" s="97" t="str">
        <f>'Data Vlaue (Cr)'!C29</f>
        <v>BEL</v>
      </c>
      <c r="B34" s="142">
        <f>VLOOKUP(A34,'Data Vlaue (Cr)'!C29:CW243,99,0)</f>
        <v>8735</v>
      </c>
      <c r="C34" s="90">
        <f>VLOOKUP(A34,'Data Vlaue (Cr)'!C29:CY243,101,0)</f>
        <v>-52</v>
      </c>
      <c r="D34" s="139">
        <f>VLOOKUP(A34,'Data Vlaue (Cr)'!C29:CZ243,102,0)</f>
        <v>-5.8999999999999999E-3</v>
      </c>
      <c r="E34" s="91">
        <f>VLOOKUP($A34,'Data Vlaue (Cr)'!$C:$FB,75)</f>
        <v>4535</v>
      </c>
      <c r="F34" s="91">
        <f>VLOOKUP($A34,'Data Vlaue (Cr)'!$C:$FB,77)</f>
        <v>-53</v>
      </c>
      <c r="G34" s="92">
        <f>VLOOKUP(A34,'Data Vlaue (Cr)'!C29:CB243,78,0)</f>
        <v>-1.17E-2</v>
      </c>
      <c r="H34" s="91">
        <f>VLOOKUP($A34,'Data Vlaue (Cr)'!$C:$FB,91)</f>
        <v>2568</v>
      </c>
      <c r="I34" s="91">
        <f>VLOOKUP($A34,'Data Vlaue (Cr)'!$C:$FB,93)</f>
        <v>10</v>
      </c>
      <c r="J34" s="92">
        <f>VLOOKUP($A34,'Data Vlaue (Cr)'!$C:$FB,94)</f>
        <v>3.8E-3</v>
      </c>
      <c r="K34" s="91">
        <f>VLOOKUP($A34,'Data Vlaue (Cr)'!$C:$FB,95)</f>
        <v>1633</v>
      </c>
      <c r="L34" s="91">
        <f>VLOOKUP($A34,'Data Vlaue (Cr)'!$C:$FB,97)</f>
        <v>-8</v>
      </c>
      <c r="M34" s="92">
        <f>VLOOKUP($A34,'Data Vlaue (Cr)'!$C:$FB,98)</f>
        <v>-4.7999999999999996E-3</v>
      </c>
      <c r="N34" s="91">
        <f>VLOOKUP($A34,'Data Vlaue (Cr)'!$C:$FB,79)</f>
        <v>4236</v>
      </c>
      <c r="O34" s="92">
        <f>VLOOKUP($A34,'Data Vlaue (Cr)'!$C:$FB,82)</f>
        <v>-1.6E-2</v>
      </c>
    </row>
    <row r="35" spans="1:15" x14ac:dyDescent="0.25">
      <c r="A35" s="97" t="str">
        <f>'Data Vlaue (Cr)'!C30</f>
        <v>BHARATFORG</v>
      </c>
      <c r="B35" s="142">
        <f>VLOOKUP(A35,'Data Vlaue (Cr)'!C30:CW244,99,0)</f>
        <v>1995</v>
      </c>
      <c r="C35" s="90">
        <f>VLOOKUP(A35,'Data Vlaue (Cr)'!C30:CY244,101,0)</f>
        <v>15</v>
      </c>
      <c r="D35" s="139">
        <f>VLOOKUP(A35,'Data Vlaue (Cr)'!C30:CZ244,102,0)</f>
        <v>7.4000000000000003E-3</v>
      </c>
      <c r="E35" s="91">
        <f>VLOOKUP($A35,'Data Vlaue (Cr)'!$C:$FB,75)</f>
        <v>1343</v>
      </c>
      <c r="F35" s="91">
        <f>VLOOKUP($A35,'Data Vlaue (Cr)'!$C:$FB,77)</f>
        <v>19</v>
      </c>
      <c r="G35" s="92">
        <f>VLOOKUP(A35,'Data Vlaue (Cr)'!C30:CB244,78,0)</f>
        <v>1.4E-2</v>
      </c>
      <c r="H35" s="91">
        <f>VLOOKUP($A35,'Data Vlaue (Cr)'!$C:$FB,91)</f>
        <v>397</v>
      </c>
      <c r="I35" s="91">
        <f>VLOOKUP($A35,'Data Vlaue (Cr)'!$C:$FB,93)</f>
        <v>5</v>
      </c>
      <c r="J35" s="92">
        <f>VLOOKUP($A35,'Data Vlaue (Cr)'!$C:$FB,94)</f>
        <v>1.24E-2</v>
      </c>
      <c r="K35" s="91">
        <f>VLOOKUP($A35,'Data Vlaue (Cr)'!$C:$FB,95)</f>
        <v>255</v>
      </c>
      <c r="L35" s="91">
        <f>VLOOKUP($A35,'Data Vlaue (Cr)'!$C:$FB,97)</f>
        <v>-9</v>
      </c>
      <c r="M35" s="92">
        <f>VLOOKUP($A35,'Data Vlaue (Cr)'!$C:$FB,98)</f>
        <v>-3.2899999999999999E-2</v>
      </c>
      <c r="N35" s="91">
        <f>VLOOKUP($A35,'Data Vlaue (Cr)'!$C:$FB,79)</f>
        <v>1285</v>
      </c>
      <c r="O35" s="92">
        <f>VLOOKUP($A35,'Data Vlaue (Cr)'!$C:$FB,82)</f>
        <v>7.7000000000000002E-3</v>
      </c>
    </row>
    <row r="36" spans="1:15" x14ac:dyDescent="0.25">
      <c r="A36" s="97" t="str">
        <f>'Data Vlaue (Cr)'!C31</f>
        <v>BHARTIARTL</v>
      </c>
      <c r="B36" s="142">
        <f>VLOOKUP(A36,'Data Vlaue (Cr)'!C31:CW245,99,0)</f>
        <v>13390</v>
      </c>
      <c r="C36" s="90">
        <f>VLOOKUP(A36,'Data Vlaue (Cr)'!C31:CY245,101,0)</f>
        <v>469</v>
      </c>
      <c r="D36" s="139">
        <f>VLOOKUP(A36,'Data Vlaue (Cr)'!C31:CZ245,102,0)</f>
        <v>3.6299999999999999E-2</v>
      </c>
      <c r="E36" s="91">
        <f>VLOOKUP($A36,'Data Vlaue (Cr)'!$C:$FB,75)</f>
        <v>9712</v>
      </c>
      <c r="F36" s="91">
        <f>VLOOKUP($A36,'Data Vlaue (Cr)'!$C:$FB,77)</f>
        <v>134</v>
      </c>
      <c r="G36" s="92">
        <f>VLOOKUP(A36,'Data Vlaue (Cr)'!C31:CB245,78,0)</f>
        <v>1.4E-2</v>
      </c>
      <c r="H36" s="91">
        <f>VLOOKUP($A36,'Data Vlaue (Cr)'!$C:$FB,91)</f>
        <v>2489</v>
      </c>
      <c r="I36" s="91">
        <f>VLOOKUP($A36,'Data Vlaue (Cr)'!$C:$FB,93)</f>
        <v>295</v>
      </c>
      <c r="J36" s="92">
        <f>VLOOKUP($A36,'Data Vlaue (Cr)'!$C:$FB,94)</f>
        <v>0.13450000000000001</v>
      </c>
      <c r="K36" s="91">
        <f>VLOOKUP($A36,'Data Vlaue (Cr)'!$C:$FB,95)</f>
        <v>1189</v>
      </c>
      <c r="L36" s="91">
        <f>VLOOKUP($A36,'Data Vlaue (Cr)'!$C:$FB,97)</f>
        <v>40</v>
      </c>
      <c r="M36" s="92">
        <f>VLOOKUP($A36,'Data Vlaue (Cr)'!$C:$FB,98)</f>
        <v>3.4599999999999999E-2</v>
      </c>
      <c r="N36" s="91">
        <f>VLOOKUP($A36,'Data Vlaue (Cr)'!$C:$FB,79)</f>
        <v>9103</v>
      </c>
      <c r="O36" s="92">
        <f>VLOOKUP($A36,'Data Vlaue (Cr)'!$C:$FB,82)</f>
        <v>-5.4000000000000003E-3</v>
      </c>
    </row>
    <row r="37" spans="1:15" x14ac:dyDescent="0.25">
      <c r="A37" s="97" t="str">
        <f>'Data Vlaue (Cr)'!C32</f>
        <v>BHEL</v>
      </c>
      <c r="B37" s="142">
        <f>VLOOKUP(A37,'Data Vlaue (Cr)'!C32:CW246,99,0)</f>
        <v>2257</v>
      </c>
      <c r="C37" s="90">
        <f>VLOOKUP(A37,'Data Vlaue (Cr)'!C32:CY246,101,0)</f>
        <v>6</v>
      </c>
      <c r="D37" s="139">
        <f>VLOOKUP(A37,'Data Vlaue (Cr)'!C32:CZ246,102,0)</f>
        <v>2.7000000000000001E-3</v>
      </c>
      <c r="E37" s="91">
        <f>VLOOKUP($A37,'Data Vlaue (Cr)'!$C:$FB,75)</f>
        <v>1381</v>
      </c>
      <c r="F37" s="91">
        <f>VLOOKUP($A37,'Data Vlaue (Cr)'!$C:$FB,77)</f>
        <v>-14</v>
      </c>
      <c r="G37" s="92">
        <f>VLOOKUP(A37,'Data Vlaue (Cr)'!C32:CB246,78,0)</f>
        <v>-1.03E-2</v>
      </c>
      <c r="H37" s="91">
        <f>VLOOKUP($A37,'Data Vlaue (Cr)'!$C:$FB,91)</f>
        <v>514</v>
      </c>
      <c r="I37" s="91">
        <f>VLOOKUP($A37,'Data Vlaue (Cr)'!$C:$FB,93)</f>
        <v>11</v>
      </c>
      <c r="J37" s="92">
        <f>VLOOKUP($A37,'Data Vlaue (Cr)'!$C:$FB,94)</f>
        <v>2.2100000000000002E-2</v>
      </c>
      <c r="K37" s="91">
        <f>VLOOKUP($A37,'Data Vlaue (Cr)'!$C:$FB,95)</f>
        <v>361</v>
      </c>
      <c r="L37" s="91">
        <f>VLOOKUP($A37,'Data Vlaue (Cr)'!$C:$FB,97)</f>
        <v>9</v>
      </c>
      <c r="M37" s="92">
        <f>VLOOKUP($A37,'Data Vlaue (Cr)'!$C:$FB,98)</f>
        <v>2.6499999999999999E-2</v>
      </c>
      <c r="N37" s="91">
        <f>VLOOKUP($A37,'Data Vlaue (Cr)'!$C:$FB,79)</f>
        <v>1335</v>
      </c>
      <c r="O37" s="92">
        <f>VLOOKUP($A37,'Data Vlaue (Cr)'!$C:$FB,82)</f>
        <v>-1.2999999999999999E-2</v>
      </c>
    </row>
    <row r="38" spans="1:15" x14ac:dyDescent="0.25">
      <c r="A38" s="97" t="str">
        <f>'Data Vlaue (Cr)'!C33</f>
        <v>BIOCON</v>
      </c>
      <c r="B38" s="142">
        <f>VLOOKUP(A38,'Data Vlaue (Cr)'!C33:CW247,99,0)</f>
        <v>2381</v>
      </c>
      <c r="C38" s="90">
        <f>VLOOKUP(A38,'Data Vlaue (Cr)'!C33:CY247,101,0)</f>
        <v>77</v>
      </c>
      <c r="D38" s="139">
        <f>VLOOKUP(A38,'Data Vlaue (Cr)'!C33:CZ247,102,0)</f>
        <v>3.3599999999999998E-2</v>
      </c>
      <c r="E38" s="91">
        <f>VLOOKUP($A38,'Data Vlaue (Cr)'!$C:$FB,75)</f>
        <v>1501</v>
      </c>
      <c r="F38" s="91">
        <f>VLOOKUP($A38,'Data Vlaue (Cr)'!$C:$FB,77)</f>
        <v>37</v>
      </c>
      <c r="G38" s="92">
        <f>VLOOKUP(A38,'Data Vlaue (Cr)'!C33:CB247,78,0)</f>
        <v>2.5399999999999999E-2</v>
      </c>
      <c r="H38" s="91">
        <f>VLOOKUP($A38,'Data Vlaue (Cr)'!$C:$FB,91)</f>
        <v>539</v>
      </c>
      <c r="I38" s="91">
        <f>VLOOKUP($A38,'Data Vlaue (Cr)'!$C:$FB,93)</f>
        <v>22</v>
      </c>
      <c r="J38" s="92">
        <f>VLOOKUP($A38,'Data Vlaue (Cr)'!$C:$FB,94)</f>
        <v>4.3400000000000001E-2</v>
      </c>
      <c r="K38" s="91">
        <f>VLOOKUP($A38,'Data Vlaue (Cr)'!$C:$FB,95)</f>
        <v>342</v>
      </c>
      <c r="L38" s="91">
        <f>VLOOKUP($A38,'Data Vlaue (Cr)'!$C:$FB,97)</f>
        <v>18</v>
      </c>
      <c r="M38" s="92">
        <f>VLOOKUP($A38,'Data Vlaue (Cr)'!$C:$FB,98)</f>
        <v>5.4699999999999999E-2</v>
      </c>
      <c r="N38" s="91">
        <f>VLOOKUP($A38,'Data Vlaue (Cr)'!$C:$FB,79)</f>
        <v>1442</v>
      </c>
      <c r="O38" s="92">
        <f>VLOOKUP($A38,'Data Vlaue (Cr)'!$C:$FB,82)</f>
        <v>1.44E-2</v>
      </c>
    </row>
    <row r="39" spans="1:15" x14ac:dyDescent="0.25">
      <c r="A39" s="97" t="str">
        <f>'Data Vlaue (Cr)'!C34</f>
        <v>BLUESTARCO</v>
      </c>
      <c r="B39" s="142">
        <f>VLOOKUP(A39,'Data Vlaue (Cr)'!C34:CW248,99,0)</f>
        <v>522</v>
      </c>
      <c r="C39" s="90">
        <f>VLOOKUP(A39,'Data Vlaue (Cr)'!C34:CY248,101,0)</f>
        <v>31</v>
      </c>
      <c r="D39" s="139">
        <f>VLOOKUP(A39,'Data Vlaue (Cr)'!C34:CZ248,102,0)</f>
        <v>6.3299999999999995E-2</v>
      </c>
      <c r="E39" s="91">
        <f>VLOOKUP($A39,'Data Vlaue (Cr)'!$C:$FB,75)</f>
        <v>365</v>
      </c>
      <c r="F39" s="91">
        <f>VLOOKUP($A39,'Data Vlaue (Cr)'!$C:$FB,77)</f>
        <v>-5</v>
      </c>
      <c r="G39" s="92">
        <f>VLOOKUP(A39,'Data Vlaue (Cr)'!C34:CB248,78,0)</f>
        <v>-1.2200000000000001E-2</v>
      </c>
      <c r="H39" s="91">
        <f>VLOOKUP($A39,'Data Vlaue (Cr)'!$C:$FB,91)</f>
        <v>97</v>
      </c>
      <c r="I39" s="91">
        <f>VLOOKUP($A39,'Data Vlaue (Cr)'!$C:$FB,93)</f>
        <v>26</v>
      </c>
      <c r="J39" s="92">
        <f>VLOOKUP($A39,'Data Vlaue (Cr)'!$C:$FB,94)</f>
        <v>0.37509999999999999</v>
      </c>
      <c r="K39" s="91">
        <f>VLOOKUP($A39,'Data Vlaue (Cr)'!$C:$FB,95)</f>
        <v>60</v>
      </c>
      <c r="L39" s="91">
        <f>VLOOKUP($A39,'Data Vlaue (Cr)'!$C:$FB,97)</f>
        <v>9</v>
      </c>
      <c r="M39" s="92">
        <f>VLOOKUP($A39,'Data Vlaue (Cr)'!$C:$FB,98)</f>
        <v>0.17829999999999999</v>
      </c>
      <c r="N39" s="91">
        <f>VLOOKUP($A39,'Data Vlaue (Cr)'!$C:$FB,79)</f>
        <v>356</v>
      </c>
      <c r="O39" s="92">
        <f>VLOOKUP($A39,'Data Vlaue (Cr)'!$C:$FB,82)</f>
        <v>-1.6299999999999999E-2</v>
      </c>
    </row>
    <row r="40" spans="1:15" x14ac:dyDescent="0.25">
      <c r="A40" s="97" t="str">
        <f>'Data Vlaue (Cr)'!C35</f>
        <v>BOSCHLTD</v>
      </c>
      <c r="B40" s="142">
        <f>VLOOKUP(A40,'Data Vlaue (Cr)'!C35:CW249,99,0)</f>
        <v>1335</v>
      </c>
      <c r="C40" s="90">
        <f>VLOOKUP(A40,'Data Vlaue (Cr)'!C35:CY249,101,0)</f>
        <v>32</v>
      </c>
      <c r="D40" s="139">
        <f>VLOOKUP(A40,'Data Vlaue (Cr)'!C35:CZ249,102,0)</f>
        <v>2.4500000000000001E-2</v>
      </c>
      <c r="E40" s="91">
        <f>VLOOKUP($A40,'Data Vlaue (Cr)'!$C:$FB,75)</f>
        <v>937</v>
      </c>
      <c r="F40" s="91">
        <f>VLOOKUP($A40,'Data Vlaue (Cr)'!$C:$FB,77)</f>
        <v>16</v>
      </c>
      <c r="G40" s="92">
        <f>VLOOKUP(A40,'Data Vlaue (Cr)'!C35:CB249,78,0)</f>
        <v>1.7100000000000001E-2</v>
      </c>
      <c r="H40" s="91">
        <f>VLOOKUP($A40,'Data Vlaue (Cr)'!$C:$FB,91)</f>
        <v>248</v>
      </c>
      <c r="I40" s="91">
        <f>VLOOKUP($A40,'Data Vlaue (Cr)'!$C:$FB,93)</f>
        <v>13</v>
      </c>
      <c r="J40" s="92">
        <f>VLOOKUP($A40,'Data Vlaue (Cr)'!$C:$FB,94)</f>
        <v>5.7000000000000002E-2</v>
      </c>
      <c r="K40" s="91">
        <f>VLOOKUP($A40,'Data Vlaue (Cr)'!$C:$FB,95)</f>
        <v>149</v>
      </c>
      <c r="L40" s="91">
        <f>VLOOKUP($A40,'Data Vlaue (Cr)'!$C:$FB,97)</f>
        <v>3</v>
      </c>
      <c r="M40" s="92">
        <f>VLOOKUP($A40,'Data Vlaue (Cr)'!$C:$FB,98)</f>
        <v>1.9199999999999998E-2</v>
      </c>
      <c r="N40" s="91">
        <f>VLOOKUP($A40,'Data Vlaue (Cr)'!$C:$FB,79)</f>
        <v>917</v>
      </c>
      <c r="O40" s="92">
        <f>VLOOKUP($A40,'Data Vlaue (Cr)'!$C:$FB,82)</f>
        <v>1.72E-2</v>
      </c>
    </row>
    <row r="41" spans="1:15" x14ac:dyDescent="0.25">
      <c r="A41" s="97" t="str">
        <f>'Data Vlaue (Cr)'!C36</f>
        <v>BPCL</v>
      </c>
      <c r="B41" s="142">
        <f>VLOOKUP(A41,'Data Vlaue (Cr)'!C36:CW250,99,0)</f>
        <v>2050</v>
      </c>
      <c r="C41" s="90">
        <f>VLOOKUP(A41,'Data Vlaue (Cr)'!C36:CY250,101,0)</f>
        <v>9</v>
      </c>
      <c r="D41" s="139">
        <f>VLOOKUP(A41,'Data Vlaue (Cr)'!C36:CZ250,102,0)</f>
        <v>4.3E-3</v>
      </c>
      <c r="E41" s="91">
        <f>VLOOKUP($A41,'Data Vlaue (Cr)'!$C:$FB,75)</f>
        <v>1247</v>
      </c>
      <c r="F41" s="91">
        <f>VLOOKUP($A41,'Data Vlaue (Cr)'!$C:$FB,77)</f>
        <v>3</v>
      </c>
      <c r="G41" s="92">
        <f>VLOOKUP(A41,'Data Vlaue (Cr)'!C36:CB250,78,0)</f>
        <v>2.5999999999999999E-3</v>
      </c>
      <c r="H41" s="91">
        <f>VLOOKUP($A41,'Data Vlaue (Cr)'!$C:$FB,91)</f>
        <v>452</v>
      </c>
      <c r="I41" s="91">
        <f>VLOOKUP($A41,'Data Vlaue (Cr)'!$C:$FB,93)</f>
        <v>30</v>
      </c>
      <c r="J41" s="92">
        <f>VLOOKUP($A41,'Data Vlaue (Cr)'!$C:$FB,94)</f>
        <v>7.0999999999999994E-2</v>
      </c>
      <c r="K41" s="91">
        <f>VLOOKUP($A41,'Data Vlaue (Cr)'!$C:$FB,95)</f>
        <v>351</v>
      </c>
      <c r="L41" s="91">
        <f>VLOOKUP($A41,'Data Vlaue (Cr)'!$C:$FB,97)</f>
        <v>-24</v>
      </c>
      <c r="M41" s="92">
        <f>VLOOKUP($A41,'Data Vlaue (Cr)'!$C:$FB,98)</f>
        <v>-6.5000000000000002E-2</v>
      </c>
      <c r="N41" s="91">
        <f>VLOOKUP($A41,'Data Vlaue (Cr)'!$C:$FB,79)</f>
        <v>1223</v>
      </c>
      <c r="O41" s="92">
        <f>VLOOKUP($A41,'Data Vlaue (Cr)'!$C:$FB,82)</f>
        <v>1E-4</v>
      </c>
    </row>
    <row r="42" spans="1:15" x14ac:dyDescent="0.25">
      <c r="A42" s="97" t="str">
        <f>'Data Vlaue (Cr)'!C37</f>
        <v>BRITANNIA</v>
      </c>
      <c r="B42" s="142">
        <f>VLOOKUP(A42,'Data Vlaue (Cr)'!C37:CW251,99,0)</f>
        <v>3069</v>
      </c>
      <c r="C42" s="90">
        <f>VLOOKUP(A42,'Data Vlaue (Cr)'!C37:CY251,101,0)</f>
        <v>-4</v>
      </c>
      <c r="D42" s="139">
        <f>VLOOKUP(A42,'Data Vlaue (Cr)'!C37:CZ251,102,0)</f>
        <v>-1.1999999999999999E-3</v>
      </c>
      <c r="E42" s="91">
        <f>VLOOKUP($A42,'Data Vlaue (Cr)'!$C:$FB,75)</f>
        <v>2119</v>
      </c>
      <c r="F42" s="91">
        <f>VLOOKUP($A42,'Data Vlaue (Cr)'!$C:$FB,77)</f>
        <v>-16</v>
      </c>
      <c r="G42" s="92">
        <f>VLOOKUP(A42,'Data Vlaue (Cr)'!C37:CB251,78,0)</f>
        <v>-7.4000000000000003E-3</v>
      </c>
      <c r="H42" s="91">
        <f>VLOOKUP($A42,'Data Vlaue (Cr)'!$C:$FB,91)</f>
        <v>634</v>
      </c>
      <c r="I42" s="91">
        <f>VLOOKUP($A42,'Data Vlaue (Cr)'!$C:$FB,93)</f>
        <v>12</v>
      </c>
      <c r="J42" s="92">
        <f>VLOOKUP($A42,'Data Vlaue (Cr)'!$C:$FB,94)</f>
        <v>1.9800000000000002E-2</v>
      </c>
      <c r="K42" s="91">
        <f>VLOOKUP($A42,'Data Vlaue (Cr)'!$C:$FB,95)</f>
        <v>317</v>
      </c>
      <c r="L42" s="91">
        <f>VLOOKUP($A42,'Data Vlaue (Cr)'!$C:$FB,97)</f>
        <v>0</v>
      </c>
      <c r="M42" s="92">
        <f>VLOOKUP($A42,'Data Vlaue (Cr)'!$C:$FB,98)</f>
        <v>-1.4E-3</v>
      </c>
      <c r="N42" s="91">
        <f>VLOOKUP($A42,'Data Vlaue (Cr)'!$C:$FB,79)</f>
        <v>2106</v>
      </c>
      <c r="O42" s="92">
        <f>VLOOKUP($A42,'Data Vlaue (Cr)'!$C:$FB,82)</f>
        <v>-7.4000000000000003E-3</v>
      </c>
    </row>
    <row r="43" spans="1:15" x14ac:dyDescent="0.25">
      <c r="A43" s="97" t="str">
        <f>'Data Vlaue (Cr)'!C38</f>
        <v>BSE</v>
      </c>
      <c r="B43" s="142">
        <f>VLOOKUP(A43,'Data Vlaue (Cr)'!C38:CW252,99,0)</f>
        <v>7261</v>
      </c>
      <c r="C43" s="90">
        <f>VLOOKUP(A43,'Data Vlaue (Cr)'!C38:CY252,101,0)</f>
        <v>64</v>
      </c>
      <c r="D43" s="139">
        <f>VLOOKUP(A43,'Data Vlaue (Cr)'!C38:CZ252,102,0)</f>
        <v>8.8999999999999999E-3</v>
      </c>
      <c r="E43" s="91">
        <f>VLOOKUP($A43,'Data Vlaue (Cr)'!$C:$FB,75)</f>
        <v>3160</v>
      </c>
      <c r="F43" s="91">
        <f>VLOOKUP($A43,'Data Vlaue (Cr)'!$C:$FB,77)</f>
        <v>-101</v>
      </c>
      <c r="G43" s="92">
        <f>VLOOKUP(A43,'Data Vlaue (Cr)'!C38:CB252,78,0)</f>
        <v>-3.0800000000000001E-2</v>
      </c>
      <c r="H43" s="91">
        <f>VLOOKUP($A43,'Data Vlaue (Cr)'!$C:$FB,91)</f>
        <v>2025</v>
      </c>
      <c r="I43" s="91">
        <f>VLOOKUP($A43,'Data Vlaue (Cr)'!$C:$FB,93)</f>
        <v>96</v>
      </c>
      <c r="J43" s="92">
        <f>VLOOKUP($A43,'Data Vlaue (Cr)'!$C:$FB,94)</f>
        <v>4.9700000000000001E-2</v>
      </c>
      <c r="K43" s="91">
        <f>VLOOKUP($A43,'Data Vlaue (Cr)'!$C:$FB,95)</f>
        <v>2075</v>
      </c>
      <c r="L43" s="91">
        <f>VLOOKUP($A43,'Data Vlaue (Cr)'!$C:$FB,97)</f>
        <v>69</v>
      </c>
      <c r="M43" s="92">
        <f>VLOOKUP($A43,'Data Vlaue (Cr)'!$C:$FB,98)</f>
        <v>3.4200000000000001E-2</v>
      </c>
      <c r="N43" s="91">
        <f>VLOOKUP($A43,'Data Vlaue (Cr)'!$C:$FB,79)</f>
        <v>2938</v>
      </c>
      <c r="O43" s="92">
        <f>VLOOKUP($A43,'Data Vlaue (Cr)'!$C:$FB,82)</f>
        <v>-3.5999999999999997E-2</v>
      </c>
    </row>
    <row r="44" spans="1:15" x14ac:dyDescent="0.25">
      <c r="A44" s="97" t="str">
        <f>'Data Vlaue (Cr)'!C39</f>
        <v>CAMS</v>
      </c>
      <c r="B44" s="142">
        <f>VLOOKUP(A44,'Data Vlaue (Cr)'!C39:CW253,99,0)</f>
        <v>1543</v>
      </c>
      <c r="C44" s="90">
        <f>VLOOKUP(A44,'Data Vlaue (Cr)'!C39:CY253,101,0)</f>
        <v>8</v>
      </c>
      <c r="D44" s="139">
        <f>VLOOKUP(A44,'Data Vlaue (Cr)'!C39:CZ253,102,0)</f>
        <v>5.4000000000000003E-3</v>
      </c>
      <c r="E44" s="91">
        <f>VLOOKUP($A44,'Data Vlaue (Cr)'!$C:$FB,75)</f>
        <v>887</v>
      </c>
      <c r="F44" s="91">
        <f>VLOOKUP($A44,'Data Vlaue (Cr)'!$C:$FB,77)</f>
        <v>-7</v>
      </c>
      <c r="G44" s="92">
        <f>VLOOKUP(A44,'Data Vlaue (Cr)'!C39:CB253,78,0)</f>
        <v>-7.4999999999999997E-3</v>
      </c>
      <c r="H44" s="91">
        <f>VLOOKUP($A44,'Data Vlaue (Cr)'!$C:$FB,91)</f>
        <v>404</v>
      </c>
      <c r="I44" s="91">
        <f>VLOOKUP($A44,'Data Vlaue (Cr)'!$C:$FB,93)</f>
        <v>5</v>
      </c>
      <c r="J44" s="92">
        <f>VLOOKUP($A44,'Data Vlaue (Cr)'!$C:$FB,94)</f>
        <v>1.34E-2</v>
      </c>
      <c r="K44" s="91">
        <f>VLOOKUP($A44,'Data Vlaue (Cr)'!$C:$FB,95)</f>
        <v>252</v>
      </c>
      <c r="L44" s="91">
        <f>VLOOKUP($A44,'Data Vlaue (Cr)'!$C:$FB,97)</f>
        <v>10</v>
      </c>
      <c r="M44" s="92">
        <f>VLOOKUP($A44,'Data Vlaue (Cr)'!$C:$FB,98)</f>
        <v>0.04</v>
      </c>
      <c r="N44" s="91">
        <f>VLOOKUP($A44,'Data Vlaue (Cr)'!$C:$FB,79)</f>
        <v>834</v>
      </c>
      <c r="O44" s="92">
        <f>VLOOKUP($A44,'Data Vlaue (Cr)'!$C:$FB,82)</f>
        <v>-1.2800000000000001E-2</v>
      </c>
    </row>
    <row r="45" spans="1:15" x14ac:dyDescent="0.25">
      <c r="A45" s="97" t="str">
        <f>'Data Vlaue (Cr)'!C40</f>
        <v>CANBK</v>
      </c>
      <c r="B45" s="142">
        <f>VLOOKUP(A45,'Data Vlaue (Cr)'!C40:CW254,99,0)</f>
        <v>5739</v>
      </c>
      <c r="C45" s="90">
        <f>VLOOKUP(A45,'Data Vlaue (Cr)'!C40:CY254,101,0)</f>
        <v>-106</v>
      </c>
      <c r="D45" s="139">
        <f>VLOOKUP(A45,'Data Vlaue (Cr)'!C40:CZ254,102,0)</f>
        <v>-1.8100000000000002E-2</v>
      </c>
      <c r="E45" s="91">
        <f>VLOOKUP($A45,'Data Vlaue (Cr)'!$C:$FB,75)</f>
        <v>3522</v>
      </c>
      <c r="F45" s="91">
        <f>VLOOKUP($A45,'Data Vlaue (Cr)'!$C:$FB,77)</f>
        <v>-5</v>
      </c>
      <c r="G45" s="92">
        <f>VLOOKUP(A45,'Data Vlaue (Cr)'!C40:CB254,78,0)</f>
        <v>-1.2999999999999999E-3</v>
      </c>
      <c r="H45" s="91">
        <f>VLOOKUP($A45,'Data Vlaue (Cr)'!$C:$FB,91)</f>
        <v>1196</v>
      </c>
      <c r="I45" s="91">
        <f>VLOOKUP($A45,'Data Vlaue (Cr)'!$C:$FB,93)</f>
        <v>-101</v>
      </c>
      <c r="J45" s="92">
        <f>VLOOKUP($A45,'Data Vlaue (Cr)'!$C:$FB,94)</f>
        <v>-7.7799999999999994E-2</v>
      </c>
      <c r="K45" s="91">
        <f>VLOOKUP($A45,'Data Vlaue (Cr)'!$C:$FB,95)</f>
        <v>1021</v>
      </c>
      <c r="L45" s="91">
        <f>VLOOKUP($A45,'Data Vlaue (Cr)'!$C:$FB,97)</f>
        <v>0</v>
      </c>
      <c r="M45" s="92">
        <f>VLOOKUP($A45,'Data Vlaue (Cr)'!$C:$FB,98)</f>
        <v>-1E-4</v>
      </c>
      <c r="N45" s="91">
        <f>VLOOKUP($A45,'Data Vlaue (Cr)'!$C:$FB,79)</f>
        <v>3414</v>
      </c>
      <c r="O45" s="92">
        <f>VLOOKUP($A45,'Data Vlaue (Cr)'!$C:$FB,82)</f>
        <v>-3.0999999999999999E-3</v>
      </c>
    </row>
    <row r="46" spans="1:15" x14ac:dyDescent="0.25">
      <c r="A46" s="97" t="str">
        <f>'Data Vlaue (Cr)'!C41</f>
        <v>CDSL</v>
      </c>
      <c r="B46" s="142">
        <f>VLOOKUP(A46,'Data Vlaue (Cr)'!C41:CW255,99,0)</f>
        <v>2793</v>
      </c>
      <c r="C46" s="90">
        <f>VLOOKUP(A46,'Data Vlaue (Cr)'!C41:CY255,101,0)</f>
        <v>-60</v>
      </c>
      <c r="D46" s="139">
        <f>VLOOKUP(A46,'Data Vlaue (Cr)'!C41:CZ255,102,0)</f>
        <v>-2.1100000000000001E-2</v>
      </c>
      <c r="E46" s="91">
        <f>VLOOKUP($A46,'Data Vlaue (Cr)'!$C:$FB,75)</f>
        <v>1343</v>
      </c>
      <c r="F46" s="91">
        <f>VLOOKUP($A46,'Data Vlaue (Cr)'!$C:$FB,77)</f>
        <v>-53</v>
      </c>
      <c r="G46" s="92">
        <f>VLOOKUP(A46,'Data Vlaue (Cr)'!C41:CB255,78,0)</f>
        <v>-3.8199999999999998E-2</v>
      </c>
      <c r="H46" s="91">
        <f>VLOOKUP($A46,'Data Vlaue (Cr)'!$C:$FB,91)</f>
        <v>866</v>
      </c>
      <c r="I46" s="91">
        <f>VLOOKUP($A46,'Data Vlaue (Cr)'!$C:$FB,93)</f>
        <v>-16</v>
      </c>
      <c r="J46" s="92">
        <f>VLOOKUP($A46,'Data Vlaue (Cr)'!$C:$FB,94)</f>
        <v>-1.8700000000000001E-2</v>
      </c>
      <c r="K46" s="91">
        <f>VLOOKUP($A46,'Data Vlaue (Cr)'!$C:$FB,95)</f>
        <v>584</v>
      </c>
      <c r="L46" s="91">
        <f>VLOOKUP($A46,'Data Vlaue (Cr)'!$C:$FB,97)</f>
        <v>10</v>
      </c>
      <c r="M46" s="92">
        <f>VLOOKUP($A46,'Data Vlaue (Cr)'!$C:$FB,98)</f>
        <v>1.67E-2</v>
      </c>
      <c r="N46" s="91">
        <f>VLOOKUP($A46,'Data Vlaue (Cr)'!$C:$FB,79)</f>
        <v>1230</v>
      </c>
      <c r="O46" s="92">
        <f>VLOOKUP($A46,'Data Vlaue (Cr)'!$C:$FB,82)</f>
        <v>-4.4600000000000001E-2</v>
      </c>
    </row>
    <row r="47" spans="1:15" x14ac:dyDescent="0.25">
      <c r="A47" s="97" t="str">
        <f>'Data Vlaue (Cr)'!C42</f>
        <v>CGPOWER</v>
      </c>
      <c r="B47" s="142">
        <f>VLOOKUP(A47,'Data Vlaue (Cr)'!C42:CW256,99,0)</f>
        <v>2125</v>
      </c>
      <c r="C47" s="90">
        <f>VLOOKUP(A47,'Data Vlaue (Cr)'!C42:CY256,101,0)</f>
        <v>80</v>
      </c>
      <c r="D47" s="139">
        <f>VLOOKUP(A47,'Data Vlaue (Cr)'!C42:CZ256,102,0)</f>
        <v>3.8899999999999997E-2</v>
      </c>
      <c r="E47" s="91">
        <f>VLOOKUP($A47,'Data Vlaue (Cr)'!$C:$FB,75)</f>
        <v>1398</v>
      </c>
      <c r="F47" s="91">
        <f>VLOOKUP($A47,'Data Vlaue (Cr)'!$C:$FB,77)</f>
        <v>16</v>
      </c>
      <c r="G47" s="92">
        <f>VLOOKUP(A47,'Data Vlaue (Cr)'!C42:CB256,78,0)</f>
        <v>1.12E-2</v>
      </c>
      <c r="H47" s="91">
        <f>VLOOKUP($A47,'Data Vlaue (Cr)'!$C:$FB,91)</f>
        <v>449</v>
      </c>
      <c r="I47" s="91">
        <f>VLOOKUP($A47,'Data Vlaue (Cr)'!$C:$FB,93)</f>
        <v>31</v>
      </c>
      <c r="J47" s="92">
        <f>VLOOKUP($A47,'Data Vlaue (Cr)'!$C:$FB,94)</f>
        <v>7.5300000000000006E-2</v>
      </c>
      <c r="K47" s="91">
        <f>VLOOKUP($A47,'Data Vlaue (Cr)'!$C:$FB,95)</f>
        <v>278</v>
      </c>
      <c r="L47" s="91">
        <f>VLOOKUP($A47,'Data Vlaue (Cr)'!$C:$FB,97)</f>
        <v>33</v>
      </c>
      <c r="M47" s="92">
        <f>VLOOKUP($A47,'Data Vlaue (Cr)'!$C:$FB,98)</f>
        <v>0.1328</v>
      </c>
      <c r="N47" s="91">
        <f>VLOOKUP($A47,'Data Vlaue (Cr)'!$C:$FB,79)</f>
        <v>1364</v>
      </c>
      <c r="O47" s="92">
        <f>VLOOKUP($A47,'Data Vlaue (Cr)'!$C:$FB,82)</f>
        <v>8.8999999999999999E-3</v>
      </c>
    </row>
    <row r="48" spans="1:15" x14ac:dyDescent="0.25">
      <c r="A48" s="97" t="str">
        <f>'Data Vlaue (Cr)'!C43</f>
        <v>CHOLAFIN</v>
      </c>
      <c r="B48" s="142">
        <f>VLOOKUP(A48,'Data Vlaue (Cr)'!C43:CW257,99,0)</f>
        <v>3223</v>
      </c>
      <c r="C48" s="90">
        <f>VLOOKUP(A48,'Data Vlaue (Cr)'!C43:CY257,101,0)</f>
        <v>9</v>
      </c>
      <c r="D48" s="139">
        <f>VLOOKUP(A48,'Data Vlaue (Cr)'!C43:CZ257,102,0)</f>
        <v>2.8999999999999998E-3</v>
      </c>
      <c r="E48" s="91">
        <f>VLOOKUP($A48,'Data Vlaue (Cr)'!$C:$FB,75)</f>
        <v>2538</v>
      </c>
      <c r="F48" s="91">
        <f>VLOOKUP($A48,'Data Vlaue (Cr)'!$C:$FB,77)</f>
        <v>15</v>
      </c>
      <c r="G48" s="92">
        <f>VLOOKUP(A48,'Data Vlaue (Cr)'!C43:CB257,78,0)</f>
        <v>5.8999999999999999E-3</v>
      </c>
      <c r="H48" s="91">
        <f>VLOOKUP($A48,'Data Vlaue (Cr)'!$C:$FB,91)</f>
        <v>397</v>
      </c>
      <c r="I48" s="91">
        <f>VLOOKUP($A48,'Data Vlaue (Cr)'!$C:$FB,93)</f>
        <v>-2</v>
      </c>
      <c r="J48" s="92">
        <f>VLOOKUP($A48,'Data Vlaue (Cr)'!$C:$FB,94)</f>
        <v>-4.0000000000000001E-3</v>
      </c>
      <c r="K48" s="91">
        <f>VLOOKUP($A48,'Data Vlaue (Cr)'!$C:$FB,95)</f>
        <v>288</v>
      </c>
      <c r="L48" s="91">
        <f>VLOOKUP($A48,'Data Vlaue (Cr)'!$C:$FB,97)</f>
        <v>-4</v>
      </c>
      <c r="M48" s="92">
        <f>VLOOKUP($A48,'Data Vlaue (Cr)'!$C:$FB,98)</f>
        <v>-1.35E-2</v>
      </c>
      <c r="N48" s="91">
        <f>VLOOKUP($A48,'Data Vlaue (Cr)'!$C:$FB,79)</f>
        <v>2448</v>
      </c>
      <c r="O48" s="92">
        <f>VLOOKUP($A48,'Data Vlaue (Cr)'!$C:$FB,82)</f>
        <v>1.1999999999999999E-3</v>
      </c>
    </row>
    <row r="49" spans="1:15" x14ac:dyDescent="0.25">
      <c r="A49" s="97" t="str">
        <f>'Data Vlaue (Cr)'!C44</f>
        <v>CIPLA</v>
      </c>
      <c r="B49" s="142">
        <f>VLOOKUP(A49,'Data Vlaue (Cr)'!C44:CW258,99,0)</f>
        <v>2891</v>
      </c>
      <c r="C49" s="90">
        <f>VLOOKUP(A49,'Data Vlaue (Cr)'!C44:CY258,101,0)</f>
        <v>319</v>
      </c>
      <c r="D49" s="139">
        <f>VLOOKUP(A49,'Data Vlaue (Cr)'!C44:CZ258,102,0)</f>
        <v>0.124</v>
      </c>
      <c r="E49" s="91">
        <f>VLOOKUP($A49,'Data Vlaue (Cr)'!$C:$FB,75)</f>
        <v>1748</v>
      </c>
      <c r="F49" s="91">
        <f>VLOOKUP($A49,'Data Vlaue (Cr)'!$C:$FB,77)</f>
        <v>49</v>
      </c>
      <c r="G49" s="92">
        <f>VLOOKUP(A49,'Data Vlaue (Cr)'!C44:CB258,78,0)</f>
        <v>2.9100000000000001E-2</v>
      </c>
      <c r="H49" s="91">
        <f>VLOOKUP($A49,'Data Vlaue (Cr)'!$C:$FB,91)</f>
        <v>636</v>
      </c>
      <c r="I49" s="91">
        <f>VLOOKUP($A49,'Data Vlaue (Cr)'!$C:$FB,93)</f>
        <v>79</v>
      </c>
      <c r="J49" s="92">
        <f>VLOOKUP($A49,'Data Vlaue (Cr)'!$C:$FB,94)</f>
        <v>0.14149999999999999</v>
      </c>
      <c r="K49" s="91">
        <f>VLOOKUP($A49,'Data Vlaue (Cr)'!$C:$FB,95)</f>
        <v>508</v>
      </c>
      <c r="L49" s="91">
        <f>VLOOKUP($A49,'Data Vlaue (Cr)'!$C:$FB,97)</f>
        <v>191</v>
      </c>
      <c r="M49" s="92">
        <f>VLOOKUP($A49,'Data Vlaue (Cr)'!$C:$FB,98)</f>
        <v>0.60170000000000001</v>
      </c>
      <c r="N49" s="91">
        <f>VLOOKUP($A49,'Data Vlaue (Cr)'!$C:$FB,79)</f>
        <v>1725</v>
      </c>
      <c r="O49" s="92">
        <f>VLOOKUP($A49,'Data Vlaue (Cr)'!$C:$FB,82)</f>
        <v>2.6100000000000002E-2</v>
      </c>
    </row>
    <row r="50" spans="1:15" x14ac:dyDescent="0.25">
      <c r="A50" s="97" t="str">
        <f>'Data Vlaue (Cr)'!C45</f>
        <v>COALINDIA</v>
      </c>
      <c r="B50" s="142">
        <f>VLOOKUP(A50,'Data Vlaue (Cr)'!C45:CW259,99,0)</f>
        <v>4644</v>
      </c>
      <c r="C50" s="90">
        <f>VLOOKUP(A50,'Data Vlaue (Cr)'!C45:CY259,101,0)</f>
        <v>108</v>
      </c>
      <c r="D50" s="139">
        <f>VLOOKUP(A50,'Data Vlaue (Cr)'!C45:CZ259,102,0)</f>
        <v>2.3900000000000001E-2</v>
      </c>
      <c r="E50" s="91">
        <f>VLOOKUP($A50,'Data Vlaue (Cr)'!$C:$FB,75)</f>
        <v>2730</v>
      </c>
      <c r="F50" s="91">
        <f>VLOOKUP($A50,'Data Vlaue (Cr)'!$C:$FB,77)</f>
        <v>31</v>
      </c>
      <c r="G50" s="92">
        <f>VLOOKUP(A50,'Data Vlaue (Cr)'!C45:CB259,78,0)</f>
        <v>1.17E-2</v>
      </c>
      <c r="H50" s="91">
        <f>VLOOKUP($A50,'Data Vlaue (Cr)'!$C:$FB,91)</f>
        <v>1154</v>
      </c>
      <c r="I50" s="91">
        <f>VLOOKUP($A50,'Data Vlaue (Cr)'!$C:$FB,93)</f>
        <v>54</v>
      </c>
      <c r="J50" s="92">
        <f>VLOOKUP($A50,'Data Vlaue (Cr)'!$C:$FB,94)</f>
        <v>4.8800000000000003E-2</v>
      </c>
      <c r="K50" s="91">
        <f>VLOOKUP($A50,'Data Vlaue (Cr)'!$C:$FB,95)</f>
        <v>760</v>
      </c>
      <c r="L50" s="91">
        <f>VLOOKUP($A50,'Data Vlaue (Cr)'!$C:$FB,97)</f>
        <v>23</v>
      </c>
      <c r="M50" s="92">
        <f>VLOOKUP($A50,'Data Vlaue (Cr)'!$C:$FB,98)</f>
        <v>3.1399999999999997E-2</v>
      </c>
      <c r="N50" s="91">
        <f>VLOOKUP($A50,'Data Vlaue (Cr)'!$C:$FB,79)</f>
        <v>2630</v>
      </c>
      <c r="O50" s="92">
        <f>VLOOKUP($A50,'Data Vlaue (Cr)'!$C:$FB,82)</f>
        <v>5.7999999999999996E-3</v>
      </c>
    </row>
    <row r="51" spans="1:15" x14ac:dyDescent="0.25">
      <c r="A51" s="97" t="str">
        <f>'Data Vlaue (Cr)'!C46</f>
        <v>COFORGE</v>
      </c>
      <c r="B51" s="142">
        <f>VLOOKUP(A51,'Data Vlaue (Cr)'!C46:CW260,99,0)</f>
        <v>3413</v>
      </c>
      <c r="C51" s="90">
        <f>VLOOKUP(A51,'Data Vlaue (Cr)'!C46:CY260,101,0)</f>
        <v>-99</v>
      </c>
      <c r="D51" s="139">
        <f>VLOOKUP(A51,'Data Vlaue (Cr)'!C46:CZ260,102,0)</f>
        <v>-2.8299999999999999E-2</v>
      </c>
      <c r="E51" s="91">
        <f>VLOOKUP($A51,'Data Vlaue (Cr)'!$C:$FB,75)</f>
        <v>2182</v>
      </c>
      <c r="F51" s="91">
        <f>VLOOKUP($A51,'Data Vlaue (Cr)'!$C:$FB,77)</f>
        <v>-29</v>
      </c>
      <c r="G51" s="92">
        <f>VLOOKUP(A51,'Data Vlaue (Cr)'!C46:CB260,78,0)</f>
        <v>-1.2999999999999999E-2</v>
      </c>
      <c r="H51" s="91">
        <f>VLOOKUP($A51,'Data Vlaue (Cr)'!$C:$FB,91)</f>
        <v>727</v>
      </c>
      <c r="I51" s="91">
        <f>VLOOKUP($A51,'Data Vlaue (Cr)'!$C:$FB,93)</f>
        <v>-70</v>
      </c>
      <c r="J51" s="92">
        <f>VLOOKUP($A51,'Data Vlaue (Cr)'!$C:$FB,94)</f>
        <v>-8.7300000000000003E-2</v>
      </c>
      <c r="K51" s="91">
        <f>VLOOKUP($A51,'Data Vlaue (Cr)'!$C:$FB,95)</f>
        <v>505</v>
      </c>
      <c r="L51" s="91">
        <f>VLOOKUP($A51,'Data Vlaue (Cr)'!$C:$FB,97)</f>
        <v>-1</v>
      </c>
      <c r="M51" s="92">
        <f>VLOOKUP($A51,'Data Vlaue (Cr)'!$C:$FB,98)</f>
        <v>-1.8E-3</v>
      </c>
      <c r="N51" s="91">
        <f>VLOOKUP($A51,'Data Vlaue (Cr)'!$C:$FB,79)</f>
        <v>2135</v>
      </c>
      <c r="O51" s="92">
        <f>VLOOKUP($A51,'Data Vlaue (Cr)'!$C:$FB,82)</f>
        <v>-1.3599999999999999E-2</v>
      </c>
    </row>
    <row r="52" spans="1:15" x14ac:dyDescent="0.25">
      <c r="A52" s="97" t="str">
        <f>'Data Vlaue (Cr)'!C47</f>
        <v>COLPAL</v>
      </c>
      <c r="B52" s="142">
        <f>VLOOKUP(A52,'Data Vlaue (Cr)'!C47:CW261,99,0)</f>
        <v>1882</v>
      </c>
      <c r="C52" s="90">
        <f>VLOOKUP(A52,'Data Vlaue (Cr)'!C47:CY261,101,0)</f>
        <v>34</v>
      </c>
      <c r="D52" s="139">
        <f>VLOOKUP(A52,'Data Vlaue (Cr)'!C47:CZ261,102,0)</f>
        <v>1.83E-2</v>
      </c>
      <c r="E52" s="91">
        <f>VLOOKUP($A52,'Data Vlaue (Cr)'!$C:$FB,75)</f>
        <v>1212</v>
      </c>
      <c r="F52" s="91">
        <f>VLOOKUP($A52,'Data Vlaue (Cr)'!$C:$FB,77)</f>
        <v>17</v>
      </c>
      <c r="G52" s="92">
        <f>VLOOKUP(A52,'Data Vlaue (Cr)'!C47:CB261,78,0)</f>
        <v>1.4200000000000001E-2</v>
      </c>
      <c r="H52" s="91">
        <f>VLOOKUP($A52,'Data Vlaue (Cr)'!$C:$FB,91)</f>
        <v>370</v>
      </c>
      <c r="I52" s="91">
        <f>VLOOKUP($A52,'Data Vlaue (Cr)'!$C:$FB,93)</f>
        <v>4</v>
      </c>
      <c r="J52" s="92">
        <f>VLOOKUP($A52,'Data Vlaue (Cr)'!$C:$FB,94)</f>
        <v>1.14E-2</v>
      </c>
      <c r="K52" s="91">
        <f>VLOOKUP($A52,'Data Vlaue (Cr)'!$C:$FB,95)</f>
        <v>299</v>
      </c>
      <c r="L52" s="91">
        <f>VLOOKUP($A52,'Data Vlaue (Cr)'!$C:$FB,97)</f>
        <v>13</v>
      </c>
      <c r="M52" s="92">
        <f>VLOOKUP($A52,'Data Vlaue (Cr)'!$C:$FB,98)</f>
        <v>4.3900000000000002E-2</v>
      </c>
      <c r="N52" s="91">
        <f>VLOOKUP($A52,'Data Vlaue (Cr)'!$C:$FB,79)</f>
        <v>1081</v>
      </c>
      <c r="O52" s="92">
        <f>VLOOKUP($A52,'Data Vlaue (Cr)'!$C:$FB,82)</f>
        <v>9.4999999999999998E-3</v>
      </c>
    </row>
    <row r="53" spans="1:15" x14ac:dyDescent="0.25">
      <c r="A53" s="97" t="str">
        <f>'Data Vlaue (Cr)'!C48</f>
        <v>CONCOR</v>
      </c>
      <c r="B53" s="142">
        <f>VLOOKUP(A53,'Data Vlaue (Cr)'!C48:CW262,99,0)</f>
        <v>2333</v>
      </c>
      <c r="C53" s="90">
        <f>VLOOKUP(A53,'Data Vlaue (Cr)'!C48:CY262,101,0)</f>
        <v>-1</v>
      </c>
      <c r="D53" s="139">
        <f>VLOOKUP(A53,'Data Vlaue (Cr)'!C48:CZ262,102,0)</f>
        <v>-5.0000000000000001E-4</v>
      </c>
      <c r="E53" s="91">
        <f>VLOOKUP($A53,'Data Vlaue (Cr)'!$C:$FB,75)</f>
        <v>1385</v>
      </c>
      <c r="F53" s="91">
        <f>VLOOKUP($A53,'Data Vlaue (Cr)'!$C:$FB,77)</f>
        <v>-6</v>
      </c>
      <c r="G53" s="92">
        <f>VLOOKUP(A53,'Data Vlaue (Cr)'!C48:CB262,78,0)</f>
        <v>-4.1000000000000003E-3</v>
      </c>
      <c r="H53" s="91">
        <f>VLOOKUP($A53,'Data Vlaue (Cr)'!$C:$FB,91)</f>
        <v>546</v>
      </c>
      <c r="I53" s="91">
        <f>VLOOKUP($A53,'Data Vlaue (Cr)'!$C:$FB,93)</f>
        <v>-2</v>
      </c>
      <c r="J53" s="92">
        <f>VLOOKUP($A53,'Data Vlaue (Cr)'!$C:$FB,94)</f>
        <v>-3.5000000000000001E-3</v>
      </c>
      <c r="K53" s="91">
        <f>VLOOKUP($A53,'Data Vlaue (Cr)'!$C:$FB,95)</f>
        <v>403</v>
      </c>
      <c r="L53" s="91">
        <f>VLOOKUP($A53,'Data Vlaue (Cr)'!$C:$FB,97)</f>
        <v>7</v>
      </c>
      <c r="M53" s="92">
        <f>VLOOKUP($A53,'Data Vlaue (Cr)'!$C:$FB,98)</f>
        <v>1.6400000000000001E-2</v>
      </c>
      <c r="N53" s="91">
        <f>VLOOKUP($A53,'Data Vlaue (Cr)'!$C:$FB,79)</f>
        <v>1258</v>
      </c>
      <c r="O53" s="92">
        <f>VLOOKUP($A53,'Data Vlaue (Cr)'!$C:$FB,82)</f>
        <v>-1.0999999999999999E-2</v>
      </c>
    </row>
    <row r="54" spans="1:15" x14ac:dyDescent="0.25">
      <c r="A54" s="97" t="str">
        <f>'Data Vlaue (Cr)'!C49</f>
        <v>CROMPTON</v>
      </c>
      <c r="B54" s="142">
        <f>VLOOKUP(A54,'Data Vlaue (Cr)'!C49:CW263,99,0)</f>
        <v>2334</v>
      </c>
      <c r="C54" s="90">
        <f>VLOOKUP(A54,'Data Vlaue (Cr)'!C49:CY263,101,0)</f>
        <v>20</v>
      </c>
      <c r="D54" s="139">
        <f>VLOOKUP(A54,'Data Vlaue (Cr)'!C49:CZ263,102,0)</f>
        <v>8.8000000000000005E-3</v>
      </c>
      <c r="E54" s="91">
        <f>VLOOKUP($A54,'Data Vlaue (Cr)'!$C:$FB,75)</f>
        <v>1505</v>
      </c>
      <c r="F54" s="91">
        <f>VLOOKUP($A54,'Data Vlaue (Cr)'!$C:$FB,77)</f>
        <v>17</v>
      </c>
      <c r="G54" s="92">
        <f>VLOOKUP(A54,'Data Vlaue (Cr)'!C49:CB263,78,0)</f>
        <v>1.12E-2</v>
      </c>
      <c r="H54" s="91">
        <f>VLOOKUP($A54,'Data Vlaue (Cr)'!$C:$FB,91)</f>
        <v>529</v>
      </c>
      <c r="I54" s="91">
        <f>VLOOKUP($A54,'Data Vlaue (Cr)'!$C:$FB,93)</f>
        <v>-3</v>
      </c>
      <c r="J54" s="92">
        <f>VLOOKUP($A54,'Data Vlaue (Cr)'!$C:$FB,94)</f>
        <v>-6.4000000000000003E-3</v>
      </c>
      <c r="K54" s="91">
        <f>VLOOKUP($A54,'Data Vlaue (Cr)'!$C:$FB,95)</f>
        <v>300</v>
      </c>
      <c r="L54" s="91">
        <f>VLOOKUP($A54,'Data Vlaue (Cr)'!$C:$FB,97)</f>
        <v>7</v>
      </c>
      <c r="M54" s="92">
        <f>VLOOKUP($A54,'Data Vlaue (Cr)'!$C:$FB,98)</f>
        <v>2.4199999999999999E-2</v>
      </c>
      <c r="N54" s="91">
        <f>VLOOKUP($A54,'Data Vlaue (Cr)'!$C:$FB,79)</f>
        <v>1420</v>
      </c>
      <c r="O54" s="92">
        <f>VLOOKUP($A54,'Data Vlaue (Cr)'!$C:$FB,82)</f>
        <v>8.0999999999999996E-3</v>
      </c>
    </row>
    <row r="55" spans="1:15" x14ac:dyDescent="0.25">
      <c r="A55" s="97" t="str">
        <f>'Data Vlaue (Cr)'!C50</f>
        <v>CUMMINSIND</v>
      </c>
      <c r="B55" s="142">
        <f>VLOOKUP(A55,'Data Vlaue (Cr)'!C50:CW264,99,0)</f>
        <v>1687</v>
      </c>
      <c r="C55" s="90">
        <f>VLOOKUP(A55,'Data Vlaue (Cr)'!C50:CY264,101,0)</f>
        <v>42</v>
      </c>
      <c r="D55" s="139">
        <f>VLOOKUP(A55,'Data Vlaue (Cr)'!C50:CZ264,102,0)</f>
        <v>2.53E-2</v>
      </c>
      <c r="E55" s="91">
        <f>VLOOKUP($A55,'Data Vlaue (Cr)'!$C:$FB,75)</f>
        <v>1186</v>
      </c>
      <c r="F55" s="91">
        <f>VLOOKUP($A55,'Data Vlaue (Cr)'!$C:$FB,77)</f>
        <v>17</v>
      </c>
      <c r="G55" s="92">
        <f>VLOOKUP(A55,'Data Vlaue (Cr)'!C50:CB264,78,0)</f>
        <v>1.4500000000000001E-2</v>
      </c>
      <c r="H55" s="91">
        <f>VLOOKUP($A55,'Data Vlaue (Cr)'!$C:$FB,91)</f>
        <v>296</v>
      </c>
      <c r="I55" s="91">
        <f>VLOOKUP($A55,'Data Vlaue (Cr)'!$C:$FB,93)</f>
        <v>22</v>
      </c>
      <c r="J55" s="92">
        <f>VLOOKUP($A55,'Data Vlaue (Cr)'!$C:$FB,94)</f>
        <v>8.09E-2</v>
      </c>
      <c r="K55" s="91">
        <f>VLOOKUP($A55,'Data Vlaue (Cr)'!$C:$FB,95)</f>
        <v>204</v>
      </c>
      <c r="L55" s="91">
        <f>VLOOKUP($A55,'Data Vlaue (Cr)'!$C:$FB,97)</f>
        <v>2</v>
      </c>
      <c r="M55" s="92">
        <f>VLOOKUP($A55,'Data Vlaue (Cr)'!$C:$FB,98)</f>
        <v>1.1900000000000001E-2</v>
      </c>
      <c r="N55" s="91">
        <f>VLOOKUP($A55,'Data Vlaue (Cr)'!$C:$FB,79)</f>
        <v>1170</v>
      </c>
      <c r="O55" s="92">
        <f>VLOOKUP($A55,'Data Vlaue (Cr)'!$C:$FB,82)</f>
        <v>1.3899999999999999E-2</v>
      </c>
    </row>
    <row r="56" spans="1:15" x14ac:dyDescent="0.25">
      <c r="A56" s="97" t="str">
        <f>'Data Vlaue (Cr)'!C51</f>
        <v>CYIENT</v>
      </c>
      <c r="B56" s="142">
        <f>VLOOKUP(A56,'Data Vlaue (Cr)'!C51:CW265,99,0)</f>
        <v>847</v>
      </c>
      <c r="C56" s="90">
        <f>VLOOKUP(A56,'Data Vlaue (Cr)'!C51:CY265,101,0)</f>
        <v>48</v>
      </c>
      <c r="D56" s="139">
        <f>VLOOKUP(A56,'Data Vlaue (Cr)'!C51:CZ265,102,0)</f>
        <v>6.0400000000000002E-2</v>
      </c>
      <c r="E56" s="91">
        <f>VLOOKUP($A56,'Data Vlaue (Cr)'!$C:$FB,75)</f>
        <v>472</v>
      </c>
      <c r="F56" s="91">
        <f>VLOOKUP($A56,'Data Vlaue (Cr)'!$C:$FB,77)</f>
        <v>0</v>
      </c>
      <c r="G56" s="92">
        <f>VLOOKUP(A56,'Data Vlaue (Cr)'!C51:CB265,78,0)</f>
        <v>5.0000000000000001E-4</v>
      </c>
      <c r="H56" s="91">
        <f>VLOOKUP($A56,'Data Vlaue (Cr)'!$C:$FB,91)</f>
        <v>244</v>
      </c>
      <c r="I56" s="91">
        <f>VLOOKUP($A56,'Data Vlaue (Cr)'!$C:$FB,93)</f>
        <v>43</v>
      </c>
      <c r="J56" s="92">
        <f>VLOOKUP($A56,'Data Vlaue (Cr)'!$C:$FB,94)</f>
        <v>0.214</v>
      </c>
      <c r="K56" s="91">
        <f>VLOOKUP($A56,'Data Vlaue (Cr)'!$C:$FB,95)</f>
        <v>132</v>
      </c>
      <c r="L56" s="91">
        <f>VLOOKUP($A56,'Data Vlaue (Cr)'!$C:$FB,97)</f>
        <v>5</v>
      </c>
      <c r="M56" s="92">
        <f>VLOOKUP($A56,'Data Vlaue (Cr)'!$C:$FB,98)</f>
        <v>0.04</v>
      </c>
      <c r="N56" s="91">
        <f>VLOOKUP($A56,'Data Vlaue (Cr)'!$C:$FB,79)</f>
        <v>436</v>
      </c>
      <c r="O56" s="92">
        <f>VLOOKUP($A56,'Data Vlaue (Cr)'!$C:$FB,82)</f>
        <v>-1.9E-3</v>
      </c>
    </row>
    <row r="57" spans="1:15" x14ac:dyDescent="0.25">
      <c r="A57" s="97" t="str">
        <f>'Data Vlaue (Cr)'!C52</f>
        <v>DABUR</v>
      </c>
      <c r="B57" s="142">
        <f>VLOOKUP(A57,'Data Vlaue (Cr)'!C52:CW266,99,0)</f>
        <v>2739</v>
      </c>
      <c r="C57" s="90">
        <f>VLOOKUP(A57,'Data Vlaue (Cr)'!C52:CY266,101,0)</f>
        <v>-16</v>
      </c>
      <c r="D57" s="139">
        <f>VLOOKUP(A57,'Data Vlaue (Cr)'!C52:CZ266,102,0)</f>
        <v>-5.8999999999999999E-3</v>
      </c>
      <c r="E57" s="91">
        <f>VLOOKUP($A57,'Data Vlaue (Cr)'!$C:$FB,75)</f>
        <v>1409</v>
      </c>
      <c r="F57" s="91">
        <f>VLOOKUP($A57,'Data Vlaue (Cr)'!$C:$FB,77)</f>
        <v>-16</v>
      </c>
      <c r="G57" s="92">
        <f>VLOOKUP(A57,'Data Vlaue (Cr)'!C52:CB266,78,0)</f>
        <v>-1.15E-2</v>
      </c>
      <c r="H57" s="91">
        <f>VLOOKUP($A57,'Data Vlaue (Cr)'!$C:$FB,91)</f>
        <v>922</v>
      </c>
      <c r="I57" s="91">
        <f>VLOOKUP($A57,'Data Vlaue (Cr)'!$C:$FB,93)</f>
        <v>-10</v>
      </c>
      <c r="J57" s="92">
        <f>VLOOKUP($A57,'Data Vlaue (Cr)'!$C:$FB,94)</f>
        <v>-1.06E-2</v>
      </c>
      <c r="K57" s="91">
        <f>VLOOKUP($A57,'Data Vlaue (Cr)'!$C:$FB,95)</f>
        <v>408</v>
      </c>
      <c r="L57" s="91">
        <f>VLOOKUP($A57,'Data Vlaue (Cr)'!$C:$FB,97)</f>
        <v>10</v>
      </c>
      <c r="M57" s="92">
        <f>VLOOKUP($A57,'Data Vlaue (Cr)'!$C:$FB,98)</f>
        <v>2.5499999999999998E-2</v>
      </c>
      <c r="N57" s="91">
        <f>VLOOKUP($A57,'Data Vlaue (Cr)'!$C:$FB,79)</f>
        <v>1318</v>
      </c>
      <c r="O57" s="92">
        <f>VLOOKUP($A57,'Data Vlaue (Cr)'!$C:$FB,82)</f>
        <v>-1.34E-2</v>
      </c>
    </row>
    <row r="58" spans="1:15" x14ac:dyDescent="0.25">
      <c r="A58" s="97" t="str">
        <f>'Data Vlaue (Cr)'!C53</f>
        <v>DALBHARAT</v>
      </c>
      <c r="B58" s="142">
        <f>VLOOKUP(A58,'Data Vlaue (Cr)'!C53:CW267,99,0)</f>
        <v>737</v>
      </c>
      <c r="C58" s="90">
        <f>VLOOKUP(A58,'Data Vlaue (Cr)'!C53:CY267,101,0)</f>
        <v>19</v>
      </c>
      <c r="D58" s="139">
        <f>VLOOKUP(A58,'Data Vlaue (Cr)'!C53:CZ267,102,0)</f>
        <v>2.63E-2</v>
      </c>
      <c r="E58" s="91">
        <f>VLOOKUP($A58,'Data Vlaue (Cr)'!$C:$FB,75)</f>
        <v>583</v>
      </c>
      <c r="F58" s="91">
        <f>VLOOKUP($A58,'Data Vlaue (Cr)'!$C:$FB,77)</f>
        <v>14</v>
      </c>
      <c r="G58" s="92">
        <f>VLOOKUP(A58,'Data Vlaue (Cr)'!C53:CB267,78,0)</f>
        <v>2.47E-2</v>
      </c>
      <c r="H58" s="91">
        <f>VLOOKUP($A58,'Data Vlaue (Cr)'!$C:$FB,91)</f>
        <v>94</v>
      </c>
      <c r="I58" s="91">
        <f>VLOOKUP($A58,'Data Vlaue (Cr)'!$C:$FB,93)</f>
        <v>3</v>
      </c>
      <c r="J58" s="92">
        <f>VLOOKUP($A58,'Data Vlaue (Cr)'!$C:$FB,94)</f>
        <v>3.44E-2</v>
      </c>
      <c r="K58" s="91">
        <f>VLOOKUP($A58,'Data Vlaue (Cr)'!$C:$FB,95)</f>
        <v>60</v>
      </c>
      <c r="L58" s="91">
        <f>VLOOKUP($A58,'Data Vlaue (Cr)'!$C:$FB,97)</f>
        <v>2</v>
      </c>
      <c r="M58" s="92">
        <f>VLOOKUP($A58,'Data Vlaue (Cr)'!$C:$FB,98)</f>
        <v>3.0200000000000001E-2</v>
      </c>
      <c r="N58" s="91">
        <f>VLOOKUP($A58,'Data Vlaue (Cr)'!$C:$FB,79)</f>
        <v>575</v>
      </c>
      <c r="O58" s="92">
        <f>VLOOKUP($A58,'Data Vlaue (Cr)'!$C:$FB,82)</f>
        <v>2.3300000000000001E-2</v>
      </c>
    </row>
    <row r="59" spans="1:15" x14ac:dyDescent="0.25">
      <c r="A59" s="97" t="str">
        <f>'Data Vlaue (Cr)'!C54</f>
        <v>DELHIVERY</v>
      </c>
      <c r="B59" s="142">
        <f>VLOOKUP(A59,'Data Vlaue (Cr)'!C54:CW268,99,0)</f>
        <v>1485</v>
      </c>
      <c r="C59" s="90">
        <f>VLOOKUP(A59,'Data Vlaue (Cr)'!C54:CY268,101,0)</f>
        <v>53</v>
      </c>
      <c r="D59" s="139">
        <f>VLOOKUP(A59,'Data Vlaue (Cr)'!C54:CZ268,102,0)</f>
        <v>3.6900000000000002E-2</v>
      </c>
      <c r="E59" s="91">
        <f>VLOOKUP($A59,'Data Vlaue (Cr)'!$C:$FB,75)</f>
        <v>886</v>
      </c>
      <c r="F59" s="91">
        <f>VLOOKUP($A59,'Data Vlaue (Cr)'!$C:$FB,77)</f>
        <v>20</v>
      </c>
      <c r="G59" s="92">
        <f>VLOOKUP(A59,'Data Vlaue (Cr)'!C54:CB268,78,0)</f>
        <v>2.3E-2</v>
      </c>
      <c r="H59" s="91">
        <f>VLOOKUP($A59,'Data Vlaue (Cr)'!$C:$FB,91)</f>
        <v>336</v>
      </c>
      <c r="I59" s="91">
        <f>VLOOKUP($A59,'Data Vlaue (Cr)'!$C:$FB,93)</f>
        <v>27</v>
      </c>
      <c r="J59" s="92">
        <f>VLOOKUP($A59,'Data Vlaue (Cr)'!$C:$FB,94)</f>
        <v>8.8499999999999995E-2</v>
      </c>
      <c r="K59" s="91">
        <f>VLOOKUP($A59,'Data Vlaue (Cr)'!$C:$FB,95)</f>
        <v>263</v>
      </c>
      <c r="L59" s="91">
        <f>VLOOKUP($A59,'Data Vlaue (Cr)'!$C:$FB,97)</f>
        <v>6</v>
      </c>
      <c r="M59" s="92">
        <f>VLOOKUP($A59,'Data Vlaue (Cr)'!$C:$FB,98)</f>
        <v>2.1899999999999999E-2</v>
      </c>
      <c r="N59" s="91">
        <f>VLOOKUP($A59,'Data Vlaue (Cr)'!$C:$FB,79)</f>
        <v>854</v>
      </c>
      <c r="O59" s="92">
        <f>VLOOKUP($A59,'Data Vlaue (Cr)'!$C:$FB,82)</f>
        <v>1.35E-2</v>
      </c>
    </row>
    <row r="60" spans="1:15" x14ac:dyDescent="0.25">
      <c r="A60" s="97" t="str">
        <f>'Data Vlaue (Cr)'!C55</f>
        <v>DIVISLAB</v>
      </c>
      <c r="B60" s="142">
        <f>VLOOKUP(A60,'Data Vlaue (Cr)'!C55:CW269,99,0)</f>
        <v>3925</v>
      </c>
      <c r="C60" s="90">
        <f>VLOOKUP(A60,'Data Vlaue (Cr)'!C55:CY269,101,0)</f>
        <v>994</v>
      </c>
      <c r="D60" s="139">
        <f>VLOOKUP(A60,'Data Vlaue (Cr)'!C55:CZ269,102,0)</f>
        <v>0.3392</v>
      </c>
      <c r="E60" s="91">
        <f>VLOOKUP($A60,'Data Vlaue (Cr)'!$C:$FB,75)</f>
        <v>1788</v>
      </c>
      <c r="F60" s="91">
        <f>VLOOKUP($A60,'Data Vlaue (Cr)'!$C:$FB,77)</f>
        <v>91</v>
      </c>
      <c r="G60" s="92">
        <f>VLOOKUP(A60,'Data Vlaue (Cr)'!C55:CB269,78,0)</f>
        <v>5.3600000000000002E-2</v>
      </c>
      <c r="H60" s="91">
        <f>VLOOKUP($A60,'Data Vlaue (Cr)'!$C:$FB,91)</f>
        <v>1117</v>
      </c>
      <c r="I60" s="91">
        <f>VLOOKUP($A60,'Data Vlaue (Cr)'!$C:$FB,93)</f>
        <v>453</v>
      </c>
      <c r="J60" s="92">
        <f>VLOOKUP($A60,'Data Vlaue (Cr)'!$C:$FB,94)</f>
        <v>0.68149999999999999</v>
      </c>
      <c r="K60" s="91">
        <f>VLOOKUP($A60,'Data Vlaue (Cr)'!$C:$FB,95)</f>
        <v>1021</v>
      </c>
      <c r="L60" s="91">
        <f>VLOOKUP($A60,'Data Vlaue (Cr)'!$C:$FB,97)</f>
        <v>451</v>
      </c>
      <c r="M60" s="92">
        <f>VLOOKUP($A60,'Data Vlaue (Cr)'!$C:$FB,98)</f>
        <v>0.78990000000000005</v>
      </c>
      <c r="N60" s="91">
        <f>VLOOKUP($A60,'Data Vlaue (Cr)'!$C:$FB,79)</f>
        <v>1743</v>
      </c>
      <c r="O60" s="92">
        <f>VLOOKUP($A60,'Data Vlaue (Cr)'!$C:$FB,82)</f>
        <v>5.2699999999999997E-2</v>
      </c>
    </row>
    <row r="61" spans="1:15" x14ac:dyDescent="0.25">
      <c r="A61" s="97" t="str">
        <f>'Data Vlaue (Cr)'!C56</f>
        <v>DIXON</v>
      </c>
      <c r="B61" s="142">
        <f>VLOOKUP(A61,'Data Vlaue (Cr)'!C56:CW270,99,0)</f>
        <v>5377</v>
      </c>
      <c r="C61" s="90">
        <f>VLOOKUP(A61,'Data Vlaue (Cr)'!C56:CY270,101,0)</f>
        <v>-273</v>
      </c>
      <c r="D61" s="139">
        <f>VLOOKUP(A61,'Data Vlaue (Cr)'!C56:CZ270,102,0)</f>
        <v>-4.8399999999999999E-2</v>
      </c>
      <c r="E61" s="91">
        <f>VLOOKUP($A61,'Data Vlaue (Cr)'!$C:$FB,75)</f>
        <v>2641</v>
      </c>
      <c r="F61" s="91">
        <f>VLOOKUP($A61,'Data Vlaue (Cr)'!$C:$FB,77)</f>
        <v>-157</v>
      </c>
      <c r="G61" s="92">
        <f>VLOOKUP(A61,'Data Vlaue (Cr)'!C56:CB270,78,0)</f>
        <v>-5.6000000000000001E-2</v>
      </c>
      <c r="H61" s="91">
        <f>VLOOKUP($A61,'Data Vlaue (Cr)'!$C:$FB,91)</f>
        <v>1396</v>
      </c>
      <c r="I61" s="91">
        <f>VLOOKUP($A61,'Data Vlaue (Cr)'!$C:$FB,93)</f>
        <v>-174</v>
      </c>
      <c r="J61" s="92">
        <f>VLOOKUP($A61,'Data Vlaue (Cr)'!$C:$FB,94)</f>
        <v>-0.111</v>
      </c>
      <c r="K61" s="91">
        <f>VLOOKUP($A61,'Data Vlaue (Cr)'!$C:$FB,95)</f>
        <v>1341</v>
      </c>
      <c r="L61" s="91">
        <f>VLOOKUP($A61,'Data Vlaue (Cr)'!$C:$FB,97)</f>
        <v>58</v>
      </c>
      <c r="M61" s="92">
        <f>VLOOKUP($A61,'Data Vlaue (Cr)'!$C:$FB,98)</f>
        <v>4.4900000000000002E-2</v>
      </c>
      <c r="N61" s="91">
        <f>VLOOKUP($A61,'Data Vlaue (Cr)'!$C:$FB,79)</f>
        <v>2518</v>
      </c>
      <c r="O61" s="92">
        <f>VLOOKUP($A61,'Data Vlaue (Cr)'!$C:$FB,82)</f>
        <v>-5.9200000000000003E-2</v>
      </c>
    </row>
    <row r="62" spans="1:15" x14ac:dyDescent="0.25">
      <c r="A62" s="97" t="str">
        <f>'Data Vlaue (Cr)'!C57</f>
        <v>DLF</v>
      </c>
      <c r="B62" s="142">
        <f>VLOOKUP(A62,'Data Vlaue (Cr)'!C57:CW271,99,0)</f>
        <v>5104</v>
      </c>
      <c r="C62" s="90">
        <f>VLOOKUP(A62,'Data Vlaue (Cr)'!C57:CY271,101,0)</f>
        <v>-67</v>
      </c>
      <c r="D62" s="139">
        <f>VLOOKUP(A62,'Data Vlaue (Cr)'!C57:CZ271,102,0)</f>
        <v>-1.2999999999999999E-2</v>
      </c>
      <c r="E62" s="91">
        <f>VLOOKUP($A62,'Data Vlaue (Cr)'!$C:$FB,75)</f>
        <v>3122</v>
      </c>
      <c r="F62" s="91">
        <f>VLOOKUP($A62,'Data Vlaue (Cr)'!$C:$FB,77)</f>
        <v>-64</v>
      </c>
      <c r="G62" s="92">
        <f>VLOOKUP(A62,'Data Vlaue (Cr)'!C57:CB271,78,0)</f>
        <v>-2.01E-2</v>
      </c>
      <c r="H62" s="91">
        <f>VLOOKUP($A62,'Data Vlaue (Cr)'!$C:$FB,91)</f>
        <v>1204</v>
      </c>
      <c r="I62" s="91">
        <f>VLOOKUP($A62,'Data Vlaue (Cr)'!$C:$FB,93)</f>
        <v>-7</v>
      </c>
      <c r="J62" s="92">
        <f>VLOOKUP($A62,'Data Vlaue (Cr)'!$C:$FB,94)</f>
        <v>-5.4999999999999997E-3</v>
      </c>
      <c r="K62" s="91">
        <f>VLOOKUP($A62,'Data Vlaue (Cr)'!$C:$FB,95)</f>
        <v>779</v>
      </c>
      <c r="L62" s="91">
        <f>VLOOKUP($A62,'Data Vlaue (Cr)'!$C:$FB,97)</f>
        <v>4</v>
      </c>
      <c r="M62" s="92">
        <f>VLOOKUP($A62,'Data Vlaue (Cr)'!$C:$FB,98)</f>
        <v>4.5999999999999999E-3</v>
      </c>
      <c r="N62" s="91">
        <f>VLOOKUP($A62,'Data Vlaue (Cr)'!$C:$FB,79)</f>
        <v>3019</v>
      </c>
      <c r="O62" s="92">
        <f>VLOOKUP($A62,'Data Vlaue (Cr)'!$C:$FB,82)</f>
        <v>-1.89E-2</v>
      </c>
    </row>
    <row r="63" spans="1:15" x14ac:dyDescent="0.25">
      <c r="A63" s="97" t="str">
        <f>'Data Vlaue (Cr)'!C58</f>
        <v>DMART</v>
      </c>
      <c r="B63" s="142">
        <f>VLOOKUP(A63,'Data Vlaue (Cr)'!C58:CW272,99,0)</f>
        <v>4608</v>
      </c>
      <c r="C63" s="90">
        <f>VLOOKUP(A63,'Data Vlaue (Cr)'!C58:CY272,101,0)</f>
        <v>597</v>
      </c>
      <c r="D63" s="139">
        <f>VLOOKUP(A63,'Data Vlaue (Cr)'!C58:CZ272,102,0)</f>
        <v>0.14879999999999999</v>
      </c>
      <c r="E63" s="91">
        <f>VLOOKUP($A63,'Data Vlaue (Cr)'!$C:$FB,75)</f>
        <v>2690</v>
      </c>
      <c r="F63" s="91">
        <f>VLOOKUP($A63,'Data Vlaue (Cr)'!$C:$FB,77)</f>
        <v>60</v>
      </c>
      <c r="G63" s="92">
        <f>VLOOKUP(A63,'Data Vlaue (Cr)'!C58:CB272,78,0)</f>
        <v>2.29E-2</v>
      </c>
      <c r="H63" s="91">
        <f>VLOOKUP($A63,'Data Vlaue (Cr)'!$C:$FB,91)</f>
        <v>1221</v>
      </c>
      <c r="I63" s="91">
        <f>VLOOKUP($A63,'Data Vlaue (Cr)'!$C:$FB,93)</f>
        <v>335</v>
      </c>
      <c r="J63" s="92">
        <f>VLOOKUP($A63,'Data Vlaue (Cr)'!$C:$FB,94)</f>
        <v>0.37819999999999998</v>
      </c>
      <c r="K63" s="91">
        <f>VLOOKUP($A63,'Data Vlaue (Cr)'!$C:$FB,95)</f>
        <v>698</v>
      </c>
      <c r="L63" s="91">
        <f>VLOOKUP($A63,'Data Vlaue (Cr)'!$C:$FB,97)</f>
        <v>202</v>
      </c>
      <c r="M63" s="92">
        <f>VLOOKUP($A63,'Data Vlaue (Cr)'!$C:$FB,98)</f>
        <v>0.40679999999999999</v>
      </c>
      <c r="N63" s="91">
        <f>VLOOKUP($A63,'Data Vlaue (Cr)'!$C:$FB,79)</f>
        <v>2585</v>
      </c>
      <c r="O63" s="92">
        <f>VLOOKUP($A63,'Data Vlaue (Cr)'!$C:$FB,82)</f>
        <v>1.7299999999999999E-2</v>
      </c>
    </row>
    <row r="64" spans="1:15" x14ac:dyDescent="0.25">
      <c r="A64" s="97" t="str">
        <f>'Data Vlaue (Cr)'!C59</f>
        <v>DRREDDY</v>
      </c>
      <c r="B64" s="142">
        <f>VLOOKUP(A64,'Data Vlaue (Cr)'!C59:CW273,99,0)</f>
        <v>2671</v>
      </c>
      <c r="C64" s="90">
        <f>VLOOKUP(A64,'Data Vlaue (Cr)'!C59:CY273,101,0)</f>
        <v>-13</v>
      </c>
      <c r="D64" s="139">
        <f>VLOOKUP(A64,'Data Vlaue (Cr)'!C59:CZ273,102,0)</f>
        <v>-4.7000000000000002E-3</v>
      </c>
      <c r="E64" s="91">
        <f>VLOOKUP($A64,'Data Vlaue (Cr)'!$C:$FB,75)</f>
        <v>1601</v>
      </c>
      <c r="F64" s="91">
        <f>VLOOKUP($A64,'Data Vlaue (Cr)'!$C:$FB,77)</f>
        <v>15</v>
      </c>
      <c r="G64" s="92">
        <f>VLOOKUP(A64,'Data Vlaue (Cr)'!C59:CB273,78,0)</f>
        <v>9.4999999999999998E-3</v>
      </c>
      <c r="H64" s="91">
        <f>VLOOKUP($A64,'Data Vlaue (Cr)'!$C:$FB,91)</f>
        <v>687</v>
      </c>
      <c r="I64" s="91">
        <f>VLOOKUP($A64,'Data Vlaue (Cr)'!$C:$FB,93)</f>
        <v>-21</v>
      </c>
      <c r="J64" s="92">
        <f>VLOOKUP($A64,'Data Vlaue (Cr)'!$C:$FB,94)</f>
        <v>-2.9700000000000001E-2</v>
      </c>
      <c r="K64" s="91">
        <f>VLOOKUP($A64,'Data Vlaue (Cr)'!$C:$FB,95)</f>
        <v>382</v>
      </c>
      <c r="L64" s="91">
        <f>VLOOKUP($A64,'Data Vlaue (Cr)'!$C:$FB,97)</f>
        <v>-7</v>
      </c>
      <c r="M64" s="92">
        <f>VLOOKUP($A64,'Data Vlaue (Cr)'!$C:$FB,98)</f>
        <v>-1.7299999999999999E-2</v>
      </c>
      <c r="N64" s="91">
        <f>VLOOKUP($A64,'Data Vlaue (Cr)'!$C:$FB,79)</f>
        <v>1572</v>
      </c>
      <c r="O64" s="92">
        <f>VLOOKUP($A64,'Data Vlaue (Cr)'!$C:$FB,82)</f>
        <v>7.0000000000000001E-3</v>
      </c>
    </row>
    <row r="65" spans="1:15" x14ac:dyDescent="0.25">
      <c r="A65" s="97" t="str">
        <f>'Data Vlaue (Cr)'!C60</f>
        <v>EICHERMOT</v>
      </c>
      <c r="B65" s="142">
        <f>VLOOKUP(A65,'Data Vlaue (Cr)'!C60:CW274,99,0)</f>
        <v>4737</v>
      </c>
      <c r="C65" s="90">
        <f>VLOOKUP(A65,'Data Vlaue (Cr)'!C60:CY274,101,0)</f>
        <v>26</v>
      </c>
      <c r="D65" s="139">
        <f>VLOOKUP(A65,'Data Vlaue (Cr)'!C60:CZ274,102,0)</f>
        <v>5.5999999999999999E-3</v>
      </c>
      <c r="E65" s="91">
        <f>VLOOKUP($A65,'Data Vlaue (Cr)'!$C:$FB,75)</f>
        <v>2440</v>
      </c>
      <c r="F65" s="91">
        <f>VLOOKUP($A65,'Data Vlaue (Cr)'!$C:$FB,77)</f>
        <v>31</v>
      </c>
      <c r="G65" s="92">
        <f>VLOOKUP(A65,'Data Vlaue (Cr)'!C60:CB274,78,0)</f>
        <v>1.2699999999999999E-2</v>
      </c>
      <c r="H65" s="91">
        <f>VLOOKUP($A65,'Data Vlaue (Cr)'!$C:$FB,91)</f>
        <v>1290</v>
      </c>
      <c r="I65" s="91">
        <f>VLOOKUP($A65,'Data Vlaue (Cr)'!$C:$FB,93)</f>
        <v>-22</v>
      </c>
      <c r="J65" s="92">
        <f>VLOOKUP($A65,'Data Vlaue (Cr)'!$C:$FB,94)</f>
        <v>-1.66E-2</v>
      </c>
      <c r="K65" s="91">
        <f>VLOOKUP($A65,'Data Vlaue (Cr)'!$C:$FB,95)</f>
        <v>1007</v>
      </c>
      <c r="L65" s="91">
        <f>VLOOKUP($A65,'Data Vlaue (Cr)'!$C:$FB,97)</f>
        <v>17</v>
      </c>
      <c r="M65" s="92">
        <f>VLOOKUP($A65,'Data Vlaue (Cr)'!$C:$FB,98)</f>
        <v>1.7500000000000002E-2</v>
      </c>
      <c r="N65" s="91">
        <f>VLOOKUP($A65,'Data Vlaue (Cr)'!$C:$FB,79)</f>
        <v>2381</v>
      </c>
      <c r="O65" s="92">
        <f>VLOOKUP($A65,'Data Vlaue (Cr)'!$C:$FB,82)</f>
        <v>9.4000000000000004E-3</v>
      </c>
    </row>
    <row r="66" spans="1:15" x14ac:dyDescent="0.25">
      <c r="A66" s="97" t="str">
        <f>'Data Vlaue (Cr)'!C61</f>
        <v>ETERNAL</v>
      </c>
      <c r="B66" s="142">
        <f>VLOOKUP(A66,'Data Vlaue (Cr)'!C61:CW275,99,0)</f>
        <v>11616</v>
      </c>
      <c r="C66" s="90">
        <f>VLOOKUP(A66,'Data Vlaue (Cr)'!C61:CY275,101,0)</f>
        <v>-58</v>
      </c>
      <c r="D66" s="139">
        <f>VLOOKUP(A66,'Data Vlaue (Cr)'!C61:CZ275,102,0)</f>
        <v>-5.0000000000000001E-3</v>
      </c>
      <c r="E66" s="91">
        <f>VLOOKUP($A66,'Data Vlaue (Cr)'!$C:$FB,75)</f>
        <v>8464</v>
      </c>
      <c r="F66" s="91">
        <f>VLOOKUP($A66,'Data Vlaue (Cr)'!$C:$FB,77)</f>
        <v>-62</v>
      </c>
      <c r="G66" s="92">
        <f>VLOOKUP(A66,'Data Vlaue (Cr)'!C61:CB275,78,0)</f>
        <v>-7.1999999999999998E-3</v>
      </c>
      <c r="H66" s="91">
        <f>VLOOKUP($A66,'Data Vlaue (Cr)'!$C:$FB,91)</f>
        <v>1815</v>
      </c>
      <c r="I66" s="91">
        <f>VLOOKUP($A66,'Data Vlaue (Cr)'!$C:$FB,93)</f>
        <v>-41</v>
      </c>
      <c r="J66" s="92">
        <f>VLOOKUP($A66,'Data Vlaue (Cr)'!$C:$FB,94)</f>
        <v>-2.2100000000000002E-2</v>
      </c>
      <c r="K66" s="91">
        <f>VLOOKUP($A66,'Data Vlaue (Cr)'!$C:$FB,95)</f>
        <v>1337</v>
      </c>
      <c r="L66" s="91">
        <f>VLOOKUP($A66,'Data Vlaue (Cr)'!$C:$FB,97)</f>
        <v>45</v>
      </c>
      <c r="M66" s="92">
        <f>VLOOKUP($A66,'Data Vlaue (Cr)'!$C:$FB,98)</f>
        <v>3.4500000000000003E-2</v>
      </c>
      <c r="N66" s="91">
        <f>VLOOKUP($A66,'Data Vlaue (Cr)'!$C:$FB,79)</f>
        <v>8344</v>
      </c>
      <c r="O66" s="92">
        <f>VLOOKUP($A66,'Data Vlaue (Cr)'!$C:$FB,82)</f>
        <v>-8.9999999999999993E-3</v>
      </c>
    </row>
    <row r="67" spans="1:15" x14ac:dyDescent="0.25">
      <c r="A67" s="97" t="str">
        <f>'Data Vlaue (Cr)'!C62</f>
        <v>EXIDEIND</v>
      </c>
      <c r="B67" s="142">
        <f>VLOOKUP(A67,'Data Vlaue (Cr)'!C62:CW276,99,0)</f>
        <v>2003</v>
      </c>
      <c r="C67" s="90">
        <f>VLOOKUP(A67,'Data Vlaue (Cr)'!C62:CY276,101,0)</f>
        <v>47</v>
      </c>
      <c r="D67" s="139">
        <f>VLOOKUP(A67,'Data Vlaue (Cr)'!C62:CZ276,102,0)</f>
        <v>2.4E-2</v>
      </c>
      <c r="E67" s="91">
        <f>VLOOKUP($A67,'Data Vlaue (Cr)'!$C:$FB,75)</f>
        <v>1199</v>
      </c>
      <c r="F67" s="91">
        <f>VLOOKUP($A67,'Data Vlaue (Cr)'!$C:$FB,77)</f>
        <v>-5</v>
      </c>
      <c r="G67" s="92">
        <f>VLOOKUP(A67,'Data Vlaue (Cr)'!C62:CB276,78,0)</f>
        <v>-4.4999999999999997E-3</v>
      </c>
      <c r="H67" s="91">
        <f>VLOOKUP($A67,'Data Vlaue (Cr)'!$C:$FB,91)</f>
        <v>438</v>
      </c>
      <c r="I67" s="91">
        <f>VLOOKUP($A67,'Data Vlaue (Cr)'!$C:$FB,93)</f>
        <v>12</v>
      </c>
      <c r="J67" s="92">
        <f>VLOOKUP($A67,'Data Vlaue (Cr)'!$C:$FB,94)</f>
        <v>2.76E-2</v>
      </c>
      <c r="K67" s="91">
        <f>VLOOKUP($A67,'Data Vlaue (Cr)'!$C:$FB,95)</f>
        <v>366</v>
      </c>
      <c r="L67" s="91">
        <f>VLOOKUP($A67,'Data Vlaue (Cr)'!$C:$FB,97)</f>
        <v>41</v>
      </c>
      <c r="M67" s="92">
        <f>VLOOKUP($A67,'Data Vlaue (Cr)'!$C:$FB,98)</f>
        <v>0.1244</v>
      </c>
      <c r="N67" s="91">
        <f>VLOOKUP($A67,'Data Vlaue (Cr)'!$C:$FB,79)</f>
        <v>1147</v>
      </c>
      <c r="O67" s="92">
        <f>VLOOKUP($A67,'Data Vlaue (Cr)'!$C:$FB,82)</f>
        <v>-5.4999999999999997E-3</v>
      </c>
    </row>
    <row r="68" spans="1:15" x14ac:dyDescent="0.25">
      <c r="A68" s="97" t="str">
        <f>'Data Vlaue (Cr)'!C63</f>
        <v>FEDERALBNK</v>
      </c>
      <c r="B68" s="142">
        <f>VLOOKUP(A68,'Data Vlaue (Cr)'!C63:CW277,99,0)</f>
        <v>3593</v>
      </c>
      <c r="C68" s="90">
        <f>VLOOKUP(A68,'Data Vlaue (Cr)'!C63:CY277,101,0)</f>
        <v>54</v>
      </c>
      <c r="D68" s="139">
        <f>VLOOKUP(A68,'Data Vlaue (Cr)'!C63:CZ277,102,0)</f>
        <v>1.52E-2</v>
      </c>
      <c r="E68" s="91">
        <f>VLOOKUP($A68,'Data Vlaue (Cr)'!$C:$FB,75)</f>
        <v>1866</v>
      </c>
      <c r="F68" s="91">
        <f>VLOOKUP($A68,'Data Vlaue (Cr)'!$C:$FB,77)</f>
        <v>47</v>
      </c>
      <c r="G68" s="92">
        <f>VLOOKUP(A68,'Data Vlaue (Cr)'!C63:CB277,78,0)</f>
        <v>2.5899999999999999E-2</v>
      </c>
      <c r="H68" s="91">
        <f>VLOOKUP($A68,'Data Vlaue (Cr)'!$C:$FB,91)</f>
        <v>944</v>
      </c>
      <c r="I68" s="91">
        <f>VLOOKUP($A68,'Data Vlaue (Cr)'!$C:$FB,93)</f>
        <v>-4</v>
      </c>
      <c r="J68" s="92">
        <f>VLOOKUP($A68,'Data Vlaue (Cr)'!$C:$FB,94)</f>
        <v>-4.0000000000000001E-3</v>
      </c>
      <c r="K68" s="91">
        <f>VLOOKUP($A68,'Data Vlaue (Cr)'!$C:$FB,95)</f>
        <v>783</v>
      </c>
      <c r="L68" s="91">
        <f>VLOOKUP($A68,'Data Vlaue (Cr)'!$C:$FB,97)</f>
        <v>10</v>
      </c>
      <c r="M68" s="92">
        <f>VLOOKUP($A68,'Data Vlaue (Cr)'!$C:$FB,98)</f>
        <v>1.34E-2</v>
      </c>
      <c r="N68" s="91">
        <f>VLOOKUP($A68,'Data Vlaue (Cr)'!$C:$FB,79)</f>
        <v>1792</v>
      </c>
      <c r="O68" s="92">
        <f>VLOOKUP($A68,'Data Vlaue (Cr)'!$C:$FB,82)</f>
        <v>2.1000000000000001E-2</v>
      </c>
    </row>
    <row r="69" spans="1:15" x14ac:dyDescent="0.25">
      <c r="A69" s="97" t="str">
        <f>'Data Vlaue (Cr)'!C64</f>
        <v>FINNIFTY</v>
      </c>
      <c r="B69" s="142">
        <f>VLOOKUP(A69,'Data Vlaue (Cr)'!C64:CW278,99,0)</f>
        <v>5296</v>
      </c>
      <c r="C69" s="90">
        <f>VLOOKUP(A69,'Data Vlaue (Cr)'!C64:CY278,101,0)</f>
        <v>324</v>
      </c>
      <c r="D69" s="139">
        <f>VLOOKUP(A69,'Data Vlaue (Cr)'!C64:CZ278,102,0)</f>
        <v>6.5199999999999994E-2</v>
      </c>
      <c r="E69" s="91">
        <f>VLOOKUP($A69,'Data Vlaue (Cr)'!$C:$FB,75)</f>
        <v>93</v>
      </c>
      <c r="F69" s="91">
        <f>VLOOKUP($A69,'Data Vlaue (Cr)'!$C:$FB,77)</f>
        <v>-3</v>
      </c>
      <c r="G69" s="92">
        <f>VLOOKUP(A69,'Data Vlaue (Cr)'!C64:CB278,78,0)</f>
        <v>-2.7400000000000001E-2</v>
      </c>
      <c r="H69" s="91">
        <f>VLOOKUP($A69,'Data Vlaue (Cr)'!$C:$FB,91)</f>
        <v>3114</v>
      </c>
      <c r="I69" s="91">
        <f>VLOOKUP($A69,'Data Vlaue (Cr)'!$C:$FB,93)</f>
        <v>61</v>
      </c>
      <c r="J69" s="92">
        <f>VLOOKUP($A69,'Data Vlaue (Cr)'!$C:$FB,94)</f>
        <v>1.9900000000000001E-2</v>
      </c>
      <c r="K69" s="91">
        <f>VLOOKUP($A69,'Data Vlaue (Cr)'!$C:$FB,95)</f>
        <v>2089</v>
      </c>
      <c r="L69" s="91">
        <f>VLOOKUP($A69,'Data Vlaue (Cr)'!$C:$FB,97)</f>
        <v>266</v>
      </c>
      <c r="M69" s="92">
        <f>VLOOKUP($A69,'Data Vlaue (Cr)'!$C:$FB,98)</f>
        <v>0.14610000000000001</v>
      </c>
      <c r="N69" s="91">
        <f>VLOOKUP($A69,'Data Vlaue (Cr)'!$C:$FB,79)</f>
        <v>89</v>
      </c>
      <c r="O69" s="92">
        <f>VLOOKUP($A69,'Data Vlaue (Cr)'!$C:$FB,82)</f>
        <v>-3.2300000000000002E-2</v>
      </c>
    </row>
    <row r="70" spans="1:15" x14ac:dyDescent="0.25">
      <c r="A70" s="97" t="str">
        <f>'Data Vlaue (Cr)'!C65</f>
        <v>FORTIS</v>
      </c>
      <c r="B70" s="142">
        <f>VLOOKUP(A70,'Data Vlaue (Cr)'!C65:CW279,99,0)</f>
        <v>1618</v>
      </c>
      <c r="C70" s="90">
        <f>VLOOKUP(A70,'Data Vlaue (Cr)'!C65:CY279,101,0)</f>
        <v>-20</v>
      </c>
      <c r="D70" s="139">
        <f>VLOOKUP(A70,'Data Vlaue (Cr)'!C65:CZ279,102,0)</f>
        <v>-1.23E-2</v>
      </c>
      <c r="E70" s="91">
        <f>VLOOKUP($A70,'Data Vlaue (Cr)'!$C:$FB,75)</f>
        <v>950</v>
      </c>
      <c r="F70" s="91">
        <f>VLOOKUP($A70,'Data Vlaue (Cr)'!$C:$FB,77)</f>
        <v>12</v>
      </c>
      <c r="G70" s="92">
        <f>VLOOKUP(A70,'Data Vlaue (Cr)'!C65:CB279,78,0)</f>
        <v>1.23E-2</v>
      </c>
      <c r="H70" s="91">
        <f>VLOOKUP($A70,'Data Vlaue (Cr)'!$C:$FB,91)</f>
        <v>361</v>
      </c>
      <c r="I70" s="91">
        <f>VLOOKUP($A70,'Data Vlaue (Cr)'!$C:$FB,93)</f>
        <v>-18</v>
      </c>
      <c r="J70" s="92">
        <f>VLOOKUP($A70,'Data Vlaue (Cr)'!$C:$FB,94)</f>
        <v>-4.6399999999999997E-2</v>
      </c>
      <c r="K70" s="91">
        <f>VLOOKUP($A70,'Data Vlaue (Cr)'!$C:$FB,95)</f>
        <v>307</v>
      </c>
      <c r="L70" s="91">
        <f>VLOOKUP($A70,'Data Vlaue (Cr)'!$C:$FB,97)</f>
        <v>-14</v>
      </c>
      <c r="M70" s="92">
        <f>VLOOKUP($A70,'Data Vlaue (Cr)'!$C:$FB,98)</f>
        <v>-4.4200000000000003E-2</v>
      </c>
      <c r="N70" s="91">
        <f>VLOOKUP($A70,'Data Vlaue (Cr)'!$C:$FB,79)</f>
        <v>911</v>
      </c>
      <c r="O70" s="92">
        <f>VLOOKUP($A70,'Data Vlaue (Cr)'!$C:$FB,82)</f>
        <v>1.0699999999999999E-2</v>
      </c>
    </row>
    <row r="71" spans="1:15" x14ac:dyDescent="0.25">
      <c r="A71" s="97" t="str">
        <f>'Data Vlaue (Cr)'!C66</f>
        <v>GAIL</v>
      </c>
      <c r="B71" s="142">
        <f>VLOOKUP(A71,'Data Vlaue (Cr)'!C66:CW280,99,0)</f>
        <v>2938</v>
      </c>
      <c r="C71" s="90">
        <f>VLOOKUP(A71,'Data Vlaue (Cr)'!C66:CY280,101,0)</f>
        <v>-58</v>
      </c>
      <c r="D71" s="139">
        <f>VLOOKUP(A71,'Data Vlaue (Cr)'!C66:CZ280,102,0)</f>
        <v>-1.95E-2</v>
      </c>
      <c r="E71" s="91">
        <f>VLOOKUP($A71,'Data Vlaue (Cr)'!$C:$FB,75)</f>
        <v>1782</v>
      </c>
      <c r="F71" s="91">
        <f>VLOOKUP($A71,'Data Vlaue (Cr)'!$C:$FB,77)</f>
        <v>-47</v>
      </c>
      <c r="G71" s="92">
        <f>VLOOKUP(A71,'Data Vlaue (Cr)'!C66:CB280,78,0)</f>
        <v>-2.58E-2</v>
      </c>
      <c r="H71" s="91">
        <f>VLOOKUP($A71,'Data Vlaue (Cr)'!$C:$FB,91)</f>
        <v>694</v>
      </c>
      <c r="I71" s="91">
        <f>VLOOKUP($A71,'Data Vlaue (Cr)'!$C:$FB,93)</f>
        <v>-12</v>
      </c>
      <c r="J71" s="92">
        <f>VLOOKUP($A71,'Data Vlaue (Cr)'!$C:$FB,94)</f>
        <v>-1.7500000000000002E-2</v>
      </c>
      <c r="K71" s="91">
        <f>VLOOKUP($A71,'Data Vlaue (Cr)'!$C:$FB,95)</f>
        <v>462</v>
      </c>
      <c r="L71" s="91">
        <f>VLOOKUP($A71,'Data Vlaue (Cr)'!$C:$FB,97)</f>
        <v>1</v>
      </c>
      <c r="M71" s="92">
        <f>VLOOKUP($A71,'Data Vlaue (Cr)'!$C:$FB,98)</f>
        <v>2.5999999999999999E-3</v>
      </c>
      <c r="N71" s="91">
        <f>VLOOKUP($A71,'Data Vlaue (Cr)'!$C:$FB,79)</f>
        <v>1705</v>
      </c>
      <c r="O71" s="92">
        <f>VLOOKUP($A71,'Data Vlaue (Cr)'!$C:$FB,82)</f>
        <v>-3.4099999999999998E-2</v>
      </c>
    </row>
    <row r="72" spans="1:15" x14ac:dyDescent="0.25">
      <c r="A72" s="97" t="str">
        <f>'Data Vlaue (Cr)'!C67</f>
        <v>GLENMARK</v>
      </c>
      <c r="B72" s="142">
        <f>VLOOKUP(A72,'Data Vlaue (Cr)'!C67:CW281,99,0)</f>
        <v>2047</v>
      </c>
      <c r="C72" s="90">
        <f>VLOOKUP(A72,'Data Vlaue (Cr)'!C67:CY281,101,0)</f>
        <v>45</v>
      </c>
      <c r="D72" s="139">
        <f>VLOOKUP(A72,'Data Vlaue (Cr)'!C67:CZ281,102,0)</f>
        <v>2.2200000000000001E-2</v>
      </c>
      <c r="E72" s="91">
        <f>VLOOKUP($A72,'Data Vlaue (Cr)'!$C:$FB,75)</f>
        <v>1492</v>
      </c>
      <c r="F72" s="91">
        <f>VLOOKUP($A72,'Data Vlaue (Cr)'!$C:$FB,77)</f>
        <v>21</v>
      </c>
      <c r="G72" s="92">
        <f>VLOOKUP(A72,'Data Vlaue (Cr)'!C67:CB281,78,0)</f>
        <v>1.41E-2</v>
      </c>
      <c r="H72" s="91">
        <f>VLOOKUP($A72,'Data Vlaue (Cr)'!$C:$FB,91)</f>
        <v>345</v>
      </c>
      <c r="I72" s="91">
        <f>VLOOKUP($A72,'Data Vlaue (Cr)'!$C:$FB,93)</f>
        <v>16</v>
      </c>
      <c r="J72" s="92">
        <f>VLOOKUP($A72,'Data Vlaue (Cr)'!$C:$FB,94)</f>
        <v>5.0099999999999999E-2</v>
      </c>
      <c r="K72" s="91">
        <f>VLOOKUP($A72,'Data Vlaue (Cr)'!$C:$FB,95)</f>
        <v>211</v>
      </c>
      <c r="L72" s="91">
        <f>VLOOKUP($A72,'Data Vlaue (Cr)'!$C:$FB,97)</f>
        <v>7</v>
      </c>
      <c r="M72" s="92">
        <f>VLOOKUP($A72,'Data Vlaue (Cr)'!$C:$FB,98)</f>
        <v>3.5900000000000001E-2</v>
      </c>
      <c r="N72" s="91">
        <f>VLOOKUP($A72,'Data Vlaue (Cr)'!$C:$FB,79)</f>
        <v>1471</v>
      </c>
      <c r="O72" s="92">
        <f>VLOOKUP($A72,'Data Vlaue (Cr)'!$C:$FB,82)</f>
        <v>1.2500000000000001E-2</v>
      </c>
    </row>
    <row r="73" spans="1:15" x14ac:dyDescent="0.25">
      <c r="A73" s="97" t="str">
        <f>'Data Vlaue (Cr)'!C68</f>
        <v>GMRAIRPORT</v>
      </c>
      <c r="B73" s="142">
        <f>VLOOKUP(A73,'Data Vlaue (Cr)'!C68:CW282,99,0)</f>
        <v>2984</v>
      </c>
      <c r="C73" s="90">
        <f>VLOOKUP(A73,'Data Vlaue (Cr)'!C68:CY282,101,0)</f>
        <v>7</v>
      </c>
      <c r="D73" s="139">
        <f>VLOOKUP(A73,'Data Vlaue (Cr)'!C68:CZ282,102,0)</f>
        <v>2.3999999999999998E-3</v>
      </c>
      <c r="E73" s="91">
        <f>VLOOKUP($A73,'Data Vlaue (Cr)'!$C:$FB,75)</f>
        <v>2011</v>
      </c>
      <c r="F73" s="91">
        <f>VLOOKUP($A73,'Data Vlaue (Cr)'!$C:$FB,77)</f>
        <v>14</v>
      </c>
      <c r="G73" s="92">
        <f>VLOOKUP(A73,'Data Vlaue (Cr)'!C68:CB282,78,0)</f>
        <v>7.0000000000000001E-3</v>
      </c>
      <c r="H73" s="91">
        <f>VLOOKUP($A73,'Data Vlaue (Cr)'!$C:$FB,91)</f>
        <v>646</v>
      </c>
      <c r="I73" s="91">
        <f>VLOOKUP($A73,'Data Vlaue (Cr)'!$C:$FB,93)</f>
        <v>-4</v>
      </c>
      <c r="J73" s="92">
        <f>VLOOKUP($A73,'Data Vlaue (Cr)'!$C:$FB,94)</f>
        <v>-6.6E-3</v>
      </c>
      <c r="K73" s="91">
        <f>VLOOKUP($A73,'Data Vlaue (Cr)'!$C:$FB,95)</f>
        <v>326</v>
      </c>
      <c r="L73" s="91">
        <f>VLOOKUP($A73,'Data Vlaue (Cr)'!$C:$FB,97)</f>
        <v>-3</v>
      </c>
      <c r="M73" s="92">
        <f>VLOOKUP($A73,'Data Vlaue (Cr)'!$C:$FB,98)</f>
        <v>-7.7000000000000002E-3</v>
      </c>
      <c r="N73" s="91">
        <f>VLOOKUP($A73,'Data Vlaue (Cr)'!$C:$FB,79)</f>
        <v>1881</v>
      </c>
      <c r="O73" s="92">
        <f>VLOOKUP($A73,'Data Vlaue (Cr)'!$C:$FB,82)</f>
        <v>-3.3E-3</v>
      </c>
    </row>
    <row r="74" spans="1:15" x14ac:dyDescent="0.25">
      <c r="A74" s="97" t="str">
        <f>'Data Vlaue (Cr)'!C69</f>
        <v>GODREJCP</v>
      </c>
      <c r="B74" s="142">
        <f>VLOOKUP(A74,'Data Vlaue (Cr)'!C69:CW283,99,0)</f>
        <v>1985</v>
      </c>
      <c r="C74" s="90">
        <f>VLOOKUP(A74,'Data Vlaue (Cr)'!C69:CY283,101,0)</f>
        <v>55</v>
      </c>
      <c r="D74" s="139">
        <f>VLOOKUP(A74,'Data Vlaue (Cr)'!C69:CZ283,102,0)</f>
        <v>2.8400000000000002E-2</v>
      </c>
      <c r="E74" s="91">
        <f>VLOOKUP($A74,'Data Vlaue (Cr)'!$C:$FB,75)</f>
        <v>1328</v>
      </c>
      <c r="F74" s="91">
        <f>VLOOKUP($A74,'Data Vlaue (Cr)'!$C:$FB,77)</f>
        <v>17</v>
      </c>
      <c r="G74" s="92">
        <f>VLOOKUP(A74,'Data Vlaue (Cr)'!C69:CB283,78,0)</f>
        <v>1.32E-2</v>
      </c>
      <c r="H74" s="91">
        <f>VLOOKUP($A74,'Data Vlaue (Cr)'!$C:$FB,91)</f>
        <v>434</v>
      </c>
      <c r="I74" s="91">
        <f>VLOOKUP($A74,'Data Vlaue (Cr)'!$C:$FB,93)</f>
        <v>34</v>
      </c>
      <c r="J74" s="92">
        <f>VLOOKUP($A74,'Data Vlaue (Cr)'!$C:$FB,94)</f>
        <v>8.5699999999999998E-2</v>
      </c>
      <c r="K74" s="91">
        <f>VLOOKUP($A74,'Data Vlaue (Cr)'!$C:$FB,95)</f>
        <v>223</v>
      </c>
      <c r="L74" s="91">
        <f>VLOOKUP($A74,'Data Vlaue (Cr)'!$C:$FB,97)</f>
        <v>3</v>
      </c>
      <c r="M74" s="92">
        <f>VLOOKUP($A74,'Data Vlaue (Cr)'!$C:$FB,98)</f>
        <v>1.4999999999999999E-2</v>
      </c>
      <c r="N74" s="91">
        <f>VLOOKUP($A74,'Data Vlaue (Cr)'!$C:$FB,79)</f>
        <v>1276</v>
      </c>
      <c r="O74" s="92">
        <f>VLOOKUP($A74,'Data Vlaue (Cr)'!$C:$FB,82)</f>
        <v>5.1999999999999998E-3</v>
      </c>
    </row>
    <row r="75" spans="1:15" x14ac:dyDescent="0.25">
      <c r="A75" s="97" t="str">
        <f>'Data Vlaue (Cr)'!C70</f>
        <v>GODREJPROP</v>
      </c>
      <c r="B75" s="142">
        <f>VLOOKUP(A75,'Data Vlaue (Cr)'!C70:CW284,99,0)</f>
        <v>3010</v>
      </c>
      <c r="C75" s="90">
        <f>VLOOKUP(A75,'Data Vlaue (Cr)'!C70:CY284,101,0)</f>
        <v>-43</v>
      </c>
      <c r="D75" s="139">
        <f>VLOOKUP(A75,'Data Vlaue (Cr)'!C70:CZ284,102,0)</f>
        <v>-1.41E-2</v>
      </c>
      <c r="E75" s="91">
        <f>VLOOKUP($A75,'Data Vlaue (Cr)'!$C:$FB,75)</f>
        <v>2054</v>
      </c>
      <c r="F75" s="91">
        <f>VLOOKUP($A75,'Data Vlaue (Cr)'!$C:$FB,77)</f>
        <v>-49</v>
      </c>
      <c r="G75" s="92">
        <f>VLOOKUP(A75,'Data Vlaue (Cr)'!C70:CB284,78,0)</f>
        <v>-2.35E-2</v>
      </c>
      <c r="H75" s="91">
        <f>VLOOKUP($A75,'Data Vlaue (Cr)'!$C:$FB,91)</f>
        <v>577</v>
      </c>
      <c r="I75" s="91">
        <f>VLOOKUP($A75,'Data Vlaue (Cr)'!$C:$FB,93)</f>
        <v>-11</v>
      </c>
      <c r="J75" s="92">
        <f>VLOOKUP($A75,'Data Vlaue (Cr)'!$C:$FB,94)</f>
        <v>-1.8599999999999998E-2</v>
      </c>
      <c r="K75" s="91">
        <f>VLOOKUP($A75,'Data Vlaue (Cr)'!$C:$FB,95)</f>
        <v>380</v>
      </c>
      <c r="L75" s="91">
        <f>VLOOKUP($A75,'Data Vlaue (Cr)'!$C:$FB,97)</f>
        <v>17</v>
      </c>
      <c r="M75" s="92">
        <f>VLOOKUP($A75,'Data Vlaue (Cr)'!$C:$FB,98)</f>
        <v>4.7500000000000001E-2</v>
      </c>
      <c r="N75" s="91">
        <f>VLOOKUP($A75,'Data Vlaue (Cr)'!$C:$FB,79)</f>
        <v>2004</v>
      </c>
      <c r="O75" s="92">
        <f>VLOOKUP($A75,'Data Vlaue (Cr)'!$C:$FB,82)</f>
        <v>-2.2800000000000001E-2</v>
      </c>
    </row>
    <row r="76" spans="1:15" x14ac:dyDescent="0.25">
      <c r="A76" s="97" t="str">
        <f>'Data Vlaue (Cr)'!C71</f>
        <v>GRASIM</v>
      </c>
      <c r="B76" s="142">
        <f>VLOOKUP(A76,'Data Vlaue (Cr)'!C71:CW285,99,0)</f>
        <v>4852</v>
      </c>
      <c r="C76" s="90">
        <f>VLOOKUP(A76,'Data Vlaue (Cr)'!C71:CY285,101,0)</f>
        <v>33</v>
      </c>
      <c r="D76" s="139">
        <f>VLOOKUP(A76,'Data Vlaue (Cr)'!C71:CZ285,102,0)</f>
        <v>6.8999999999999999E-3</v>
      </c>
      <c r="E76" s="91">
        <f>VLOOKUP($A76,'Data Vlaue (Cr)'!$C:$FB,75)</f>
        <v>4085</v>
      </c>
      <c r="F76" s="91">
        <f>VLOOKUP($A76,'Data Vlaue (Cr)'!$C:$FB,77)</f>
        <v>44</v>
      </c>
      <c r="G76" s="92">
        <f>VLOOKUP(A76,'Data Vlaue (Cr)'!C71:CB285,78,0)</f>
        <v>1.0999999999999999E-2</v>
      </c>
      <c r="H76" s="91">
        <f>VLOOKUP($A76,'Data Vlaue (Cr)'!$C:$FB,91)</f>
        <v>480</v>
      </c>
      <c r="I76" s="91">
        <f>VLOOKUP($A76,'Data Vlaue (Cr)'!$C:$FB,93)</f>
        <v>-9</v>
      </c>
      <c r="J76" s="92">
        <f>VLOOKUP($A76,'Data Vlaue (Cr)'!$C:$FB,94)</f>
        <v>-1.7899999999999999E-2</v>
      </c>
      <c r="K76" s="91">
        <f>VLOOKUP($A76,'Data Vlaue (Cr)'!$C:$FB,95)</f>
        <v>286</v>
      </c>
      <c r="L76" s="91">
        <f>VLOOKUP($A76,'Data Vlaue (Cr)'!$C:$FB,97)</f>
        <v>-3</v>
      </c>
      <c r="M76" s="92">
        <f>VLOOKUP($A76,'Data Vlaue (Cr)'!$C:$FB,98)</f>
        <v>-8.8000000000000005E-3</v>
      </c>
      <c r="N76" s="91">
        <f>VLOOKUP($A76,'Data Vlaue (Cr)'!$C:$FB,79)</f>
        <v>4062</v>
      </c>
      <c r="O76" s="92">
        <f>VLOOKUP($A76,'Data Vlaue (Cr)'!$C:$FB,82)</f>
        <v>9.1000000000000004E-3</v>
      </c>
    </row>
    <row r="77" spans="1:15" x14ac:dyDescent="0.25">
      <c r="A77" s="97" t="str">
        <f>'Data Vlaue (Cr)'!C72</f>
        <v>HAL</v>
      </c>
      <c r="B77" s="142">
        <f>VLOOKUP(A77,'Data Vlaue (Cr)'!C72:CW286,99,0)</f>
        <v>7697</v>
      </c>
      <c r="C77" s="90">
        <f>VLOOKUP(A77,'Data Vlaue (Cr)'!C72:CY286,101,0)</f>
        <v>195</v>
      </c>
      <c r="D77" s="139">
        <f>VLOOKUP(A77,'Data Vlaue (Cr)'!C72:CZ286,102,0)</f>
        <v>2.5899999999999999E-2</v>
      </c>
      <c r="E77" s="91">
        <f>VLOOKUP($A77,'Data Vlaue (Cr)'!$C:$FB,75)</f>
        <v>4400</v>
      </c>
      <c r="F77" s="91">
        <f>VLOOKUP($A77,'Data Vlaue (Cr)'!$C:$FB,77)</f>
        <v>42</v>
      </c>
      <c r="G77" s="92">
        <f>VLOOKUP(A77,'Data Vlaue (Cr)'!C72:CB286,78,0)</f>
        <v>9.5999999999999992E-3</v>
      </c>
      <c r="H77" s="91">
        <f>VLOOKUP($A77,'Data Vlaue (Cr)'!$C:$FB,91)</f>
        <v>2044</v>
      </c>
      <c r="I77" s="91">
        <f>VLOOKUP($A77,'Data Vlaue (Cr)'!$C:$FB,93)</f>
        <v>159</v>
      </c>
      <c r="J77" s="92">
        <f>VLOOKUP($A77,'Data Vlaue (Cr)'!$C:$FB,94)</f>
        <v>8.43E-2</v>
      </c>
      <c r="K77" s="91">
        <f>VLOOKUP($A77,'Data Vlaue (Cr)'!$C:$FB,95)</f>
        <v>1253</v>
      </c>
      <c r="L77" s="91">
        <f>VLOOKUP($A77,'Data Vlaue (Cr)'!$C:$FB,97)</f>
        <v>-6</v>
      </c>
      <c r="M77" s="92">
        <f>VLOOKUP($A77,'Data Vlaue (Cr)'!$C:$FB,98)</f>
        <v>-4.8999999999999998E-3</v>
      </c>
      <c r="N77" s="91">
        <f>VLOOKUP($A77,'Data Vlaue (Cr)'!$C:$FB,79)</f>
        <v>4149</v>
      </c>
      <c r="O77" s="92">
        <f>VLOOKUP($A77,'Data Vlaue (Cr)'!$C:$FB,82)</f>
        <v>9.7999999999999997E-3</v>
      </c>
    </row>
    <row r="78" spans="1:15" x14ac:dyDescent="0.25">
      <c r="A78" s="97" t="str">
        <f>'Data Vlaue (Cr)'!C73</f>
        <v>HAVELLS</v>
      </c>
      <c r="B78" s="142">
        <f>VLOOKUP(A78,'Data Vlaue (Cr)'!C73:CW287,99,0)</f>
        <v>2208</v>
      </c>
      <c r="C78" s="90">
        <f>VLOOKUP(A78,'Data Vlaue (Cr)'!C73:CY287,101,0)</f>
        <v>-30</v>
      </c>
      <c r="D78" s="139">
        <f>VLOOKUP(A78,'Data Vlaue (Cr)'!C73:CZ287,102,0)</f>
        <v>-1.35E-2</v>
      </c>
      <c r="E78" s="91">
        <f>VLOOKUP($A78,'Data Vlaue (Cr)'!$C:$FB,75)</f>
        <v>1580</v>
      </c>
      <c r="F78" s="91">
        <f>VLOOKUP($A78,'Data Vlaue (Cr)'!$C:$FB,77)</f>
        <v>-5</v>
      </c>
      <c r="G78" s="92">
        <f>VLOOKUP(A78,'Data Vlaue (Cr)'!C73:CB287,78,0)</f>
        <v>-3.0000000000000001E-3</v>
      </c>
      <c r="H78" s="91">
        <f>VLOOKUP($A78,'Data Vlaue (Cr)'!$C:$FB,91)</f>
        <v>389</v>
      </c>
      <c r="I78" s="91">
        <f>VLOOKUP($A78,'Data Vlaue (Cr)'!$C:$FB,93)</f>
        <v>-27</v>
      </c>
      <c r="J78" s="92">
        <f>VLOOKUP($A78,'Data Vlaue (Cr)'!$C:$FB,94)</f>
        <v>-6.4699999999999994E-2</v>
      </c>
      <c r="K78" s="91">
        <f>VLOOKUP($A78,'Data Vlaue (Cr)'!$C:$FB,95)</f>
        <v>239</v>
      </c>
      <c r="L78" s="91">
        <f>VLOOKUP($A78,'Data Vlaue (Cr)'!$C:$FB,97)</f>
        <v>1</v>
      </c>
      <c r="M78" s="92">
        <f>VLOOKUP($A78,'Data Vlaue (Cr)'!$C:$FB,98)</f>
        <v>6.0000000000000001E-3</v>
      </c>
      <c r="N78" s="91">
        <f>VLOOKUP($A78,'Data Vlaue (Cr)'!$C:$FB,79)</f>
        <v>1542</v>
      </c>
      <c r="O78" s="92">
        <f>VLOOKUP($A78,'Data Vlaue (Cr)'!$C:$FB,82)</f>
        <v>-4.4000000000000003E-3</v>
      </c>
    </row>
    <row r="79" spans="1:15" x14ac:dyDescent="0.25">
      <c r="A79" s="97" t="str">
        <f>'Data Vlaue (Cr)'!C74</f>
        <v>HCLTECH</v>
      </c>
      <c r="B79" s="142">
        <f>VLOOKUP(A79,'Data Vlaue (Cr)'!C74:CW288,99,0)</f>
        <v>4685</v>
      </c>
      <c r="C79" s="90">
        <f>VLOOKUP(A79,'Data Vlaue (Cr)'!C74:CY288,101,0)</f>
        <v>37</v>
      </c>
      <c r="D79" s="139">
        <f>VLOOKUP(A79,'Data Vlaue (Cr)'!C74:CZ288,102,0)</f>
        <v>7.9000000000000008E-3</v>
      </c>
      <c r="E79" s="91">
        <f>VLOOKUP($A79,'Data Vlaue (Cr)'!$C:$FB,75)</f>
        <v>2997</v>
      </c>
      <c r="F79" s="91">
        <f>VLOOKUP($A79,'Data Vlaue (Cr)'!$C:$FB,77)</f>
        <v>-131</v>
      </c>
      <c r="G79" s="92">
        <f>VLOOKUP(A79,'Data Vlaue (Cr)'!C74:CB288,78,0)</f>
        <v>-4.1799999999999997E-2</v>
      </c>
      <c r="H79" s="91">
        <f>VLOOKUP($A79,'Data Vlaue (Cr)'!$C:$FB,91)</f>
        <v>927</v>
      </c>
      <c r="I79" s="91">
        <f>VLOOKUP($A79,'Data Vlaue (Cr)'!$C:$FB,93)</f>
        <v>96</v>
      </c>
      <c r="J79" s="92">
        <f>VLOOKUP($A79,'Data Vlaue (Cr)'!$C:$FB,94)</f>
        <v>0.115</v>
      </c>
      <c r="K79" s="91">
        <f>VLOOKUP($A79,'Data Vlaue (Cr)'!$C:$FB,95)</f>
        <v>761</v>
      </c>
      <c r="L79" s="91">
        <f>VLOOKUP($A79,'Data Vlaue (Cr)'!$C:$FB,97)</f>
        <v>71</v>
      </c>
      <c r="M79" s="92">
        <f>VLOOKUP($A79,'Data Vlaue (Cr)'!$C:$FB,98)</f>
        <v>0.1037</v>
      </c>
      <c r="N79" s="91">
        <f>VLOOKUP($A79,'Data Vlaue (Cr)'!$C:$FB,79)</f>
        <v>2915</v>
      </c>
      <c r="O79" s="92">
        <f>VLOOKUP($A79,'Data Vlaue (Cr)'!$C:$FB,82)</f>
        <v>-4.5600000000000002E-2</v>
      </c>
    </row>
    <row r="80" spans="1:15" x14ac:dyDescent="0.25">
      <c r="A80" s="97" t="str">
        <f>'Data Vlaue (Cr)'!C75</f>
        <v>HDFCAMC</v>
      </c>
      <c r="B80" s="142">
        <f>VLOOKUP(A80,'Data Vlaue (Cr)'!C75:CW289,99,0)</f>
        <v>1987</v>
      </c>
      <c r="C80" s="90">
        <f>VLOOKUP(A80,'Data Vlaue (Cr)'!C75:CY289,101,0)</f>
        <v>26</v>
      </c>
      <c r="D80" s="139">
        <f>VLOOKUP(A80,'Data Vlaue (Cr)'!C75:CZ289,102,0)</f>
        <v>1.35E-2</v>
      </c>
      <c r="E80" s="91">
        <f>VLOOKUP($A80,'Data Vlaue (Cr)'!$C:$FB,75)</f>
        <v>1234</v>
      </c>
      <c r="F80" s="91">
        <f>VLOOKUP($A80,'Data Vlaue (Cr)'!$C:$FB,77)</f>
        <v>1</v>
      </c>
      <c r="G80" s="92">
        <f>VLOOKUP(A80,'Data Vlaue (Cr)'!C75:CB289,78,0)</f>
        <v>8.9999999999999998E-4</v>
      </c>
      <c r="H80" s="91">
        <f>VLOOKUP($A80,'Data Vlaue (Cr)'!$C:$FB,91)</f>
        <v>427</v>
      </c>
      <c r="I80" s="91">
        <f>VLOOKUP($A80,'Data Vlaue (Cr)'!$C:$FB,93)</f>
        <v>11</v>
      </c>
      <c r="J80" s="92">
        <f>VLOOKUP($A80,'Data Vlaue (Cr)'!$C:$FB,94)</f>
        <v>2.58E-2</v>
      </c>
      <c r="K80" s="91">
        <f>VLOOKUP($A80,'Data Vlaue (Cr)'!$C:$FB,95)</f>
        <v>325</v>
      </c>
      <c r="L80" s="91">
        <f>VLOOKUP($A80,'Data Vlaue (Cr)'!$C:$FB,97)</f>
        <v>15</v>
      </c>
      <c r="M80" s="92">
        <f>VLOOKUP($A80,'Data Vlaue (Cr)'!$C:$FB,98)</f>
        <v>4.6899999999999997E-2</v>
      </c>
      <c r="N80" s="91">
        <f>VLOOKUP($A80,'Data Vlaue (Cr)'!$C:$FB,79)</f>
        <v>1211</v>
      </c>
      <c r="O80" s="92">
        <f>VLOOKUP($A80,'Data Vlaue (Cr)'!$C:$FB,82)</f>
        <v>2.2000000000000001E-3</v>
      </c>
    </row>
    <row r="81" spans="1:15" x14ac:dyDescent="0.25">
      <c r="A81" s="97" t="str">
        <f>'Data Vlaue (Cr)'!C76</f>
        <v>HDFCBANK</v>
      </c>
      <c r="B81" s="142">
        <f>VLOOKUP(A81,'Data Vlaue (Cr)'!C76:CW290,99,0)</f>
        <v>25291</v>
      </c>
      <c r="C81" s="90">
        <f>VLOOKUP(A81,'Data Vlaue (Cr)'!C76:CY290,101,0)</f>
        <v>-29</v>
      </c>
      <c r="D81" s="139">
        <f>VLOOKUP(A81,'Data Vlaue (Cr)'!C76:CZ290,102,0)</f>
        <v>-1.1999999999999999E-3</v>
      </c>
      <c r="E81" s="91">
        <f>VLOOKUP($A81,'Data Vlaue (Cr)'!$C:$FB,75)</f>
        <v>19752</v>
      </c>
      <c r="F81" s="91">
        <f>VLOOKUP($A81,'Data Vlaue (Cr)'!$C:$FB,77)</f>
        <v>13</v>
      </c>
      <c r="G81" s="92">
        <f>VLOOKUP(A81,'Data Vlaue (Cr)'!C76:CB290,78,0)</f>
        <v>5.9999999999999995E-4</v>
      </c>
      <c r="H81" s="91">
        <f>VLOOKUP($A81,'Data Vlaue (Cr)'!$C:$FB,91)</f>
        <v>3136</v>
      </c>
      <c r="I81" s="91">
        <f>VLOOKUP($A81,'Data Vlaue (Cr)'!$C:$FB,93)</f>
        <v>-20</v>
      </c>
      <c r="J81" s="92">
        <f>VLOOKUP($A81,'Data Vlaue (Cr)'!$C:$FB,94)</f>
        <v>-6.3E-3</v>
      </c>
      <c r="K81" s="91">
        <f>VLOOKUP($A81,'Data Vlaue (Cr)'!$C:$FB,95)</f>
        <v>2404</v>
      </c>
      <c r="L81" s="91">
        <f>VLOOKUP($A81,'Data Vlaue (Cr)'!$C:$FB,97)</f>
        <v>-22</v>
      </c>
      <c r="M81" s="92">
        <f>VLOOKUP($A81,'Data Vlaue (Cr)'!$C:$FB,98)</f>
        <v>-9.1000000000000004E-3</v>
      </c>
      <c r="N81" s="91">
        <f>VLOOKUP($A81,'Data Vlaue (Cr)'!$C:$FB,79)</f>
        <v>19162</v>
      </c>
      <c r="O81" s="92">
        <f>VLOOKUP($A81,'Data Vlaue (Cr)'!$C:$FB,82)</f>
        <v>-2.5999999999999999E-3</v>
      </c>
    </row>
    <row r="82" spans="1:15" x14ac:dyDescent="0.25">
      <c r="A82" s="97" t="str">
        <f>'Data Vlaue (Cr)'!C77</f>
        <v>HDFCLIFE</v>
      </c>
      <c r="B82" s="142">
        <f>VLOOKUP(A82,'Data Vlaue (Cr)'!C77:CW291,99,0)</f>
        <v>3442</v>
      </c>
      <c r="C82" s="90">
        <f>VLOOKUP(A82,'Data Vlaue (Cr)'!C77:CY291,101,0)</f>
        <v>148</v>
      </c>
      <c r="D82" s="139">
        <f>VLOOKUP(A82,'Data Vlaue (Cr)'!C77:CZ291,102,0)</f>
        <v>4.48E-2</v>
      </c>
      <c r="E82" s="91">
        <f>VLOOKUP($A82,'Data Vlaue (Cr)'!$C:$FB,75)</f>
        <v>2340</v>
      </c>
      <c r="F82" s="91">
        <f>VLOOKUP($A82,'Data Vlaue (Cr)'!$C:$FB,77)</f>
        <v>55</v>
      </c>
      <c r="G82" s="92">
        <f>VLOOKUP(A82,'Data Vlaue (Cr)'!C77:CB291,78,0)</f>
        <v>2.4199999999999999E-2</v>
      </c>
      <c r="H82" s="91">
        <f>VLOOKUP($A82,'Data Vlaue (Cr)'!$C:$FB,91)</f>
        <v>711</v>
      </c>
      <c r="I82" s="91">
        <f>VLOOKUP($A82,'Data Vlaue (Cr)'!$C:$FB,93)</f>
        <v>84</v>
      </c>
      <c r="J82" s="92">
        <f>VLOOKUP($A82,'Data Vlaue (Cr)'!$C:$FB,94)</f>
        <v>0.13400000000000001</v>
      </c>
      <c r="K82" s="91">
        <f>VLOOKUP($A82,'Data Vlaue (Cr)'!$C:$FB,95)</f>
        <v>391</v>
      </c>
      <c r="L82" s="91">
        <f>VLOOKUP($A82,'Data Vlaue (Cr)'!$C:$FB,97)</f>
        <v>8</v>
      </c>
      <c r="M82" s="92">
        <f>VLOOKUP($A82,'Data Vlaue (Cr)'!$C:$FB,98)</f>
        <v>2.18E-2</v>
      </c>
      <c r="N82" s="91">
        <f>VLOOKUP($A82,'Data Vlaue (Cr)'!$C:$FB,79)</f>
        <v>2305</v>
      </c>
      <c r="O82" s="92">
        <f>VLOOKUP($A82,'Data Vlaue (Cr)'!$C:$FB,82)</f>
        <v>2.1299999999999999E-2</v>
      </c>
    </row>
    <row r="83" spans="1:15" x14ac:dyDescent="0.25">
      <c r="A83" s="97" t="str">
        <f>'Data Vlaue (Cr)'!C78</f>
        <v>HEROMOTOCO</v>
      </c>
      <c r="B83" s="142">
        <f>VLOOKUP(A83,'Data Vlaue (Cr)'!C78:CW292,99,0)</f>
        <v>4999</v>
      </c>
      <c r="C83" s="90">
        <f>VLOOKUP(A83,'Data Vlaue (Cr)'!C78:CY292,101,0)</f>
        <v>266</v>
      </c>
      <c r="D83" s="139">
        <f>VLOOKUP(A83,'Data Vlaue (Cr)'!C78:CZ292,102,0)</f>
        <v>5.6300000000000003E-2</v>
      </c>
      <c r="E83" s="91">
        <f>VLOOKUP($A83,'Data Vlaue (Cr)'!$C:$FB,75)</f>
        <v>2564</v>
      </c>
      <c r="F83" s="91">
        <f>VLOOKUP($A83,'Data Vlaue (Cr)'!$C:$FB,77)</f>
        <v>21</v>
      </c>
      <c r="G83" s="92">
        <f>VLOOKUP(A83,'Data Vlaue (Cr)'!C78:CB292,78,0)</f>
        <v>8.0999999999999996E-3</v>
      </c>
      <c r="H83" s="91">
        <f>VLOOKUP($A83,'Data Vlaue (Cr)'!$C:$FB,91)</f>
        <v>1502</v>
      </c>
      <c r="I83" s="91">
        <f>VLOOKUP($A83,'Data Vlaue (Cr)'!$C:$FB,93)</f>
        <v>211</v>
      </c>
      <c r="J83" s="92">
        <f>VLOOKUP($A83,'Data Vlaue (Cr)'!$C:$FB,94)</f>
        <v>0.16370000000000001</v>
      </c>
      <c r="K83" s="91">
        <f>VLOOKUP($A83,'Data Vlaue (Cr)'!$C:$FB,95)</f>
        <v>932</v>
      </c>
      <c r="L83" s="91">
        <f>VLOOKUP($A83,'Data Vlaue (Cr)'!$C:$FB,97)</f>
        <v>34</v>
      </c>
      <c r="M83" s="92">
        <f>VLOOKUP($A83,'Data Vlaue (Cr)'!$C:$FB,98)</f>
        <v>3.8300000000000001E-2</v>
      </c>
      <c r="N83" s="91">
        <f>VLOOKUP($A83,'Data Vlaue (Cr)'!$C:$FB,79)</f>
        <v>2396</v>
      </c>
      <c r="O83" s="92">
        <f>VLOOKUP($A83,'Data Vlaue (Cr)'!$C:$FB,82)</f>
        <v>6.7000000000000002E-3</v>
      </c>
    </row>
    <row r="84" spans="1:15" x14ac:dyDescent="0.25">
      <c r="A84" s="97" t="str">
        <f>'Data Vlaue (Cr)'!C79</f>
        <v>HFCL</v>
      </c>
      <c r="B84" s="142">
        <f>VLOOKUP(A84,'Data Vlaue (Cr)'!C79:CW293,99,0)</f>
        <v>1388</v>
      </c>
      <c r="C84" s="90">
        <f>VLOOKUP(A84,'Data Vlaue (Cr)'!C79:CY293,101,0)</f>
        <v>24</v>
      </c>
      <c r="D84" s="139">
        <f>VLOOKUP(A84,'Data Vlaue (Cr)'!C79:CZ293,102,0)</f>
        <v>1.7899999999999999E-2</v>
      </c>
      <c r="E84" s="91">
        <f>VLOOKUP($A84,'Data Vlaue (Cr)'!$C:$FB,75)</f>
        <v>922</v>
      </c>
      <c r="F84" s="91">
        <f>VLOOKUP($A84,'Data Vlaue (Cr)'!$C:$FB,77)</f>
        <v>4</v>
      </c>
      <c r="G84" s="92">
        <f>VLOOKUP(A84,'Data Vlaue (Cr)'!C79:CB293,78,0)</f>
        <v>4.1000000000000003E-3</v>
      </c>
      <c r="H84" s="91">
        <f>VLOOKUP($A84,'Data Vlaue (Cr)'!$C:$FB,91)</f>
        <v>296</v>
      </c>
      <c r="I84" s="91">
        <f>VLOOKUP($A84,'Data Vlaue (Cr)'!$C:$FB,93)</f>
        <v>7</v>
      </c>
      <c r="J84" s="92">
        <f>VLOOKUP($A84,'Data Vlaue (Cr)'!$C:$FB,94)</f>
        <v>2.4E-2</v>
      </c>
      <c r="K84" s="91">
        <f>VLOOKUP($A84,'Data Vlaue (Cr)'!$C:$FB,95)</f>
        <v>169</v>
      </c>
      <c r="L84" s="91">
        <f>VLOOKUP($A84,'Data Vlaue (Cr)'!$C:$FB,97)</f>
        <v>14</v>
      </c>
      <c r="M84" s="92">
        <f>VLOOKUP($A84,'Data Vlaue (Cr)'!$C:$FB,98)</f>
        <v>8.8200000000000001E-2</v>
      </c>
      <c r="N84" s="91">
        <f>VLOOKUP($A84,'Data Vlaue (Cr)'!$C:$FB,79)</f>
        <v>856</v>
      </c>
      <c r="O84" s="92">
        <f>VLOOKUP($A84,'Data Vlaue (Cr)'!$C:$FB,82)</f>
        <v>2.5999999999999999E-3</v>
      </c>
    </row>
    <row r="85" spans="1:15" x14ac:dyDescent="0.25">
      <c r="A85" s="97" t="str">
        <f>'Data Vlaue (Cr)'!C80</f>
        <v>HINDALCO</v>
      </c>
      <c r="B85" s="142">
        <f>VLOOKUP(A85,'Data Vlaue (Cr)'!C80:CW294,99,0)</f>
        <v>7494</v>
      </c>
      <c r="C85" s="90">
        <f>VLOOKUP(A85,'Data Vlaue (Cr)'!C80:CY294,101,0)</f>
        <v>39</v>
      </c>
      <c r="D85" s="139">
        <f>VLOOKUP(A85,'Data Vlaue (Cr)'!C80:CZ294,102,0)</f>
        <v>5.1999999999999998E-3</v>
      </c>
      <c r="E85" s="91">
        <f>VLOOKUP($A85,'Data Vlaue (Cr)'!$C:$FB,75)</f>
        <v>5079</v>
      </c>
      <c r="F85" s="91">
        <f>VLOOKUP($A85,'Data Vlaue (Cr)'!$C:$FB,77)</f>
        <v>-26</v>
      </c>
      <c r="G85" s="92">
        <f>VLOOKUP(A85,'Data Vlaue (Cr)'!C80:CB294,78,0)</f>
        <v>-5.1999999999999998E-3</v>
      </c>
      <c r="H85" s="91">
        <f>VLOOKUP($A85,'Data Vlaue (Cr)'!$C:$FB,91)</f>
        <v>1406</v>
      </c>
      <c r="I85" s="91">
        <f>VLOOKUP($A85,'Data Vlaue (Cr)'!$C:$FB,93)</f>
        <v>42</v>
      </c>
      <c r="J85" s="92">
        <f>VLOOKUP($A85,'Data Vlaue (Cr)'!$C:$FB,94)</f>
        <v>3.0700000000000002E-2</v>
      </c>
      <c r="K85" s="91">
        <f>VLOOKUP($A85,'Data Vlaue (Cr)'!$C:$FB,95)</f>
        <v>1009</v>
      </c>
      <c r="L85" s="91">
        <f>VLOOKUP($A85,'Data Vlaue (Cr)'!$C:$FB,97)</f>
        <v>24</v>
      </c>
      <c r="M85" s="92">
        <f>VLOOKUP($A85,'Data Vlaue (Cr)'!$C:$FB,98)</f>
        <v>2.4E-2</v>
      </c>
      <c r="N85" s="91">
        <f>VLOOKUP($A85,'Data Vlaue (Cr)'!$C:$FB,79)</f>
        <v>4991</v>
      </c>
      <c r="O85" s="92">
        <f>VLOOKUP($A85,'Data Vlaue (Cr)'!$C:$FB,82)</f>
        <v>-7.0000000000000001E-3</v>
      </c>
    </row>
    <row r="86" spans="1:15" x14ac:dyDescent="0.25">
      <c r="A86" s="97" t="str">
        <f>'Data Vlaue (Cr)'!C81</f>
        <v>HINDPETRO</v>
      </c>
      <c r="B86" s="142">
        <f>VLOOKUP(A86,'Data Vlaue (Cr)'!C81:CW295,99,0)</f>
        <v>3970</v>
      </c>
      <c r="C86" s="90">
        <f>VLOOKUP(A86,'Data Vlaue (Cr)'!C81:CY295,101,0)</f>
        <v>135</v>
      </c>
      <c r="D86" s="139">
        <f>VLOOKUP(A86,'Data Vlaue (Cr)'!C81:CZ295,102,0)</f>
        <v>3.5099999999999999E-2</v>
      </c>
      <c r="E86" s="91">
        <f>VLOOKUP($A86,'Data Vlaue (Cr)'!$C:$FB,75)</f>
        <v>2320</v>
      </c>
      <c r="F86" s="91">
        <f>VLOOKUP($A86,'Data Vlaue (Cr)'!$C:$FB,77)</f>
        <v>25</v>
      </c>
      <c r="G86" s="92">
        <f>VLOOKUP(A86,'Data Vlaue (Cr)'!C81:CB295,78,0)</f>
        <v>1.0699999999999999E-2</v>
      </c>
      <c r="H86" s="91">
        <f>VLOOKUP($A86,'Data Vlaue (Cr)'!$C:$FB,91)</f>
        <v>1129</v>
      </c>
      <c r="I86" s="91">
        <f>VLOOKUP($A86,'Data Vlaue (Cr)'!$C:$FB,93)</f>
        <v>94</v>
      </c>
      <c r="J86" s="92">
        <f>VLOOKUP($A86,'Data Vlaue (Cr)'!$C:$FB,94)</f>
        <v>9.0800000000000006E-2</v>
      </c>
      <c r="K86" s="91">
        <f>VLOOKUP($A86,'Data Vlaue (Cr)'!$C:$FB,95)</f>
        <v>522</v>
      </c>
      <c r="L86" s="91">
        <f>VLOOKUP($A86,'Data Vlaue (Cr)'!$C:$FB,97)</f>
        <v>16</v>
      </c>
      <c r="M86" s="92">
        <f>VLOOKUP($A86,'Data Vlaue (Cr)'!$C:$FB,98)</f>
        <v>3.1899999999999998E-2</v>
      </c>
      <c r="N86" s="91">
        <f>VLOOKUP($A86,'Data Vlaue (Cr)'!$C:$FB,79)</f>
        <v>2275</v>
      </c>
      <c r="O86" s="92">
        <f>VLOOKUP($A86,'Data Vlaue (Cr)'!$C:$FB,82)</f>
        <v>9.2999999999999992E-3</v>
      </c>
    </row>
    <row r="87" spans="1:15" x14ac:dyDescent="0.25">
      <c r="A87" s="97" t="str">
        <f>'Data Vlaue (Cr)'!C82</f>
        <v>HINDUNILVR</v>
      </c>
      <c r="B87" s="142">
        <f>VLOOKUP(A87,'Data Vlaue (Cr)'!C82:CW296,99,0)</f>
        <v>5500</v>
      </c>
      <c r="C87" s="90">
        <f>VLOOKUP(A87,'Data Vlaue (Cr)'!C82:CY296,101,0)</f>
        <v>94</v>
      </c>
      <c r="D87" s="139">
        <f>VLOOKUP(A87,'Data Vlaue (Cr)'!C82:CZ296,102,0)</f>
        <v>1.7299999999999999E-2</v>
      </c>
      <c r="E87" s="91">
        <f>VLOOKUP($A87,'Data Vlaue (Cr)'!$C:$FB,75)</f>
        <v>3570</v>
      </c>
      <c r="F87" s="91">
        <f>VLOOKUP($A87,'Data Vlaue (Cr)'!$C:$FB,77)</f>
        <v>24</v>
      </c>
      <c r="G87" s="92">
        <f>VLOOKUP(A87,'Data Vlaue (Cr)'!C82:CB296,78,0)</f>
        <v>6.7000000000000002E-3</v>
      </c>
      <c r="H87" s="91">
        <f>VLOOKUP($A87,'Data Vlaue (Cr)'!$C:$FB,91)</f>
        <v>1234</v>
      </c>
      <c r="I87" s="91">
        <f>VLOOKUP($A87,'Data Vlaue (Cr)'!$C:$FB,93)</f>
        <v>67</v>
      </c>
      <c r="J87" s="92">
        <f>VLOOKUP($A87,'Data Vlaue (Cr)'!$C:$FB,94)</f>
        <v>5.7599999999999998E-2</v>
      </c>
      <c r="K87" s="91">
        <f>VLOOKUP($A87,'Data Vlaue (Cr)'!$C:$FB,95)</f>
        <v>696</v>
      </c>
      <c r="L87" s="91">
        <f>VLOOKUP($A87,'Data Vlaue (Cr)'!$C:$FB,97)</f>
        <v>3</v>
      </c>
      <c r="M87" s="92">
        <f>VLOOKUP($A87,'Data Vlaue (Cr)'!$C:$FB,98)</f>
        <v>3.8999999999999998E-3</v>
      </c>
      <c r="N87" s="91">
        <f>VLOOKUP($A87,'Data Vlaue (Cr)'!$C:$FB,79)</f>
        <v>3433</v>
      </c>
      <c r="O87" s="92">
        <f>VLOOKUP($A87,'Data Vlaue (Cr)'!$C:$FB,82)</f>
        <v>5.9999999999999995E-4</v>
      </c>
    </row>
    <row r="88" spans="1:15" x14ac:dyDescent="0.25">
      <c r="A88" s="97" t="str">
        <f>'Data Vlaue (Cr)'!C83</f>
        <v>HINDZINC</v>
      </c>
      <c r="B88" s="142">
        <f>VLOOKUP(A88,'Data Vlaue (Cr)'!C83:CW297,99,0)</f>
        <v>3361</v>
      </c>
      <c r="C88" s="90">
        <f>VLOOKUP(A88,'Data Vlaue (Cr)'!C83:CY297,101,0)</f>
        <v>437</v>
      </c>
      <c r="D88" s="139">
        <f>VLOOKUP(A88,'Data Vlaue (Cr)'!C83:CZ297,102,0)</f>
        <v>0.14940000000000001</v>
      </c>
      <c r="E88" s="91">
        <f>VLOOKUP($A88,'Data Vlaue (Cr)'!$C:$FB,75)</f>
        <v>1725</v>
      </c>
      <c r="F88" s="91">
        <f>VLOOKUP($A88,'Data Vlaue (Cr)'!$C:$FB,77)</f>
        <v>82</v>
      </c>
      <c r="G88" s="92">
        <f>VLOOKUP(A88,'Data Vlaue (Cr)'!C83:CB297,78,0)</f>
        <v>4.99E-2</v>
      </c>
      <c r="H88" s="91">
        <f>VLOOKUP($A88,'Data Vlaue (Cr)'!$C:$FB,91)</f>
        <v>1030</v>
      </c>
      <c r="I88" s="91">
        <f>VLOOKUP($A88,'Data Vlaue (Cr)'!$C:$FB,93)</f>
        <v>296</v>
      </c>
      <c r="J88" s="92">
        <f>VLOOKUP($A88,'Data Vlaue (Cr)'!$C:$FB,94)</f>
        <v>0.40260000000000001</v>
      </c>
      <c r="K88" s="91">
        <f>VLOOKUP($A88,'Data Vlaue (Cr)'!$C:$FB,95)</f>
        <v>606</v>
      </c>
      <c r="L88" s="91">
        <f>VLOOKUP($A88,'Data Vlaue (Cr)'!$C:$FB,97)</f>
        <v>59</v>
      </c>
      <c r="M88" s="92">
        <f>VLOOKUP($A88,'Data Vlaue (Cr)'!$C:$FB,98)</f>
        <v>0.1087</v>
      </c>
      <c r="N88" s="91">
        <f>VLOOKUP($A88,'Data Vlaue (Cr)'!$C:$FB,79)</f>
        <v>1595</v>
      </c>
      <c r="O88" s="92">
        <f>VLOOKUP($A88,'Data Vlaue (Cr)'!$C:$FB,82)</f>
        <v>2.87E-2</v>
      </c>
    </row>
    <row r="89" spans="1:15" x14ac:dyDescent="0.25">
      <c r="A89" s="97" t="str">
        <f>'Data Vlaue (Cr)'!C84</f>
        <v>HUDCO</v>
      </c>
      <c r="B89" s="142">
        <f>VLOOKUP(A89,'Data Vlaue (Cr)'!C84:CW298,99,0)</f>
        <v>1179</v>
      </c>
      <c r="C89" s="90">
        <f>VLOOKUP(A89,'Data Vlaue (Cr)'!C84:CY298,101,0)</f>
        <v>6</v>
      </c>
      <c r="D89" s="139">
        <f>VLOOKUP(A89,'Data Vlaue (Cr)'!C84:CZ298,102,0)</f>
        <v>5.3E-3</v>
      </c>
      <c r="E89" s="91">
        <f>VLOOKUP($A89,'Data Vlaue (Cr)'!$C:$FB,75)</f>
        <v>643</v>
      </c>
      <c r="F89" s="91">
        <f>VLOOKUP($A89,'Data Vlaue (Cr)'!$C:$FB,77)</f>
        <v>-1</v>
      </c>
      <c r="G89" s="92">
        <f>VLOOKUP(A89,'Data Vlaue (Cr)'!C84:CB298,78,0)</f>
        <v>-8.9999999999999998E-4</v>
      </c>
      <c r="H89" s="91">
        <f>VLOOKUP($A89,'Data Vlaue (Cr)'!$C:$FB,91)</f>
        <v>338</v>
      </c>
      <c r="I89" s="91">
        <f>VLOOKUP($A89,'Data Vlaue (Cr)'!$C:$FB,93)</f>
        <v>6</v>
      </c>
      <c r="J89" s="92">
        <f>VLOOKUP($A89,'Data Vlaue (Cr)'!$C:$FB,94)</f>
        <v>1.7600000000000001E-2</v>
      </c>
      <c r="K89" s="91">
        <f>VLOOKUP($A89,'Data Vlaue (Cr)'!$C:$FB,95)</f>
        <v>198</v>
      </c>
      <c r="L89" s="91">
        <f>VLOOKUP($A89,'Data Vlaue (Cr)'!$C:$FB,97)</f>
        <v>1</v>
      </c>
      <c r="M89" s="92">
        <f>VLOOKUP($A89,'Data Vlaue (Cr)'!$C:$FB,98)</f>
        <v>4.8999999999999998E-3</v>
      </c>
      <c r="N89" s="91">
        <f>VLOOKUP($A89,'Data Vlaue (Cr)'!$C:$FB,79)</f>
        <v>618</v>
      </c>
      <c r="O89" s="92">
        <f>VLOOKUP($A89,'Data Vlaue (Cr)'!$C:$FB,82)</f>
        <v>-2E-3</v>
      </c>
    </row>
    <row r="90" spans="1:15" x14ac:dyDescent="0.25">
      <c r="A90" s="97" t="str">
        <f>'Data Vlaue (Cr)'!C85</f>
        <v>ICICIBANK</v>
      </c>
      <c r="B90" s="142">
        <f>VLOOKUP(A90,'Data Vlaue (Cr)'!C85:CW299,99,0)</f>
        <v>21339</v>
      </c>
      <c r="C90" s="90">
        <f>VLOOKUP(A90,'Data Vlaue (Cr)'!C85:CY299,101,0)</f>
        <v>356</v>
      </c>
      <c r="D90" s="139">
        <f>VLOOKUP(A90,'Data Vlaue (Cr)'!C85:CZ299,102,0)</f>
        <v>1.7000000000000001E-2</v>
      </c>
      <c r="E90" s="91">
        <f>VLOOKUP($A90,'Data Vlaue (Cr)'!$C:$FB,75)</f>
        <v>15666</v>
      </c>
      <c r="F90" s="91">
        <f>VLOOKUP($A90,'Data Vlaue (Cr)'!$C:$FB,77)</f>
        <v>246</v>
      </c>
      <c r="G90" s="92">
        <f>VLOOKUP(A90,'Data Vlaue (Cr)'!C85:CB299,78,0)</f>
        <v>1.6E-2</v>
      </c>
      <c r="H90" s="91">
        <f>VLOOKUP($A90,'Data Vlaue (Cr)'!$C:$FB,91)</f>
        <v>3275</v>
      </c>
      <c r="I90" s="91">
        <f>VLOOKUP($A90,'Data Vlaue (Cr)'!$C:$FB,93)</f>
        <v>56</v>
      </c>
      <c r="J90" s="92">
        <f>VLOOKUP($A90,'Data Vlaue (Cr)'!$C:$FB,94)</f>
        <v>1.7399999999999999E-2</v>
      </c>
      <c r="K90" s="91">
        <f>VLOOKUP($A90,'Data Vlaue (Cr)'!$C:$FB,95)</f>
        <v>2397</v>
      </c>
      <c r="L90" s="91">
        <f>VLOOKUP($A90,'Data Vlaue (Cr)'!$C:$FB,97)</f>
        <v>54</v>
      </c>
      <c r="M90" s="92">
        <f>VLOOKUP($A90,'Data Vlaue (Cr)'!$C:$FB,98)</f>
        <v>2.3E-2</v>
      </c>
      <c r="N90" s="91">
        <f>VLOOKUP($A90,'Data Vlaue (Cr)'!$C:$FB,79)</f>
        <v>15007</v>
      </c>
      <c r="O90" s="92">
        <f>VLOOKUP($A90,'Data Vlaue (Cr)'!$C:$FB,82)</f>
        <v>1.1299999999999999E-2</v>
      </c>
    </row>
    <row r="91" spans="1:15" x14ac:dyDescent="0.25">
      <c r="A91" s="97" t="str">
        <f>'Data Vlaue (Cr)'!C86</f>
        <v>ICICIGI</v>
      </c>
      <c r="B91" s="142">
        <f>VLOOKUP(A91,'Data Vlaue (Cr)'!C86:CW300,99,0)</f>
        <v>1384</v>
      </c>
      <c r="C91" s="90">
        <f>VLOOKUP(A91,'Data Vlaue (Cr)'!C86:CY300,101,0)</f>
        <v>47</v>
      </c>
      <c r="D91" s="139">
        <f>VLOOKUP(A91,'Data Vlaue (Cr)'!C86:CZ300,102,0)</f>
        <v>3.5299999999999998E-2</v>
      </c>
      <c r="E91" s="91">
        <f>VLOOKUP($A91,'Data Vlaue (Cr)'!$C:$FB,75)</f>
        <v>1047</v>
      </c>
      <c r="F91" s="91">
        <f>VLOOKUP($A91,'Data Vlaue (Cr)'!$C:$FB,77)</f>
        <v>27</v>
      </c>
      <c r="G91" s="92">
        <f>VLOOKUP(A91,'Data Vlaue (Cr)'!C86:CB300,78,0)</f>
        <v>2.6599999999999999E-2</v>
      </c>
      <c r="H91" s="91">
        <f>VLOOKUP($A91,'Data Vlaue (Cr)'!$C:$FB,91)</f>
        <v>206</v>
      </c>
      <c r="I91" s="91">
        <f>VLOOKUP($A91,'Data Vlaue (Cr)'!$C:$FB,93)</f>
        <v>18</v>
      </c>
      <c r="J91" s="92">
        <f>VLOOKUP($A91,'Data Vlaue (Cr)'!$C:$FB,94)</f>
        <v>9.2999999999999999E-2</v>
      </c>
      <c r="K91" s="91">
        <f>VLOOKUP($A91,'Data Vlaue (Cr)'!$C:$FB,95)</f>
        <v>131</v>
      </c>
      <c r="L91" s="91">
        <f>VLOOKUP($A91,'Data Vlaue (Cr)'!$C:$FB,97)</f>
        <v>3</v>
      </c>
      <c r="M91" s="92">
        <f>VLOOKUP($A91,'Data Vlaue (Cr)'!$C:$FB,98)</f>
        <v>1.9800000000000002E-2</v>
      </c>
      <c r="N91" s="91">
        <f>VLOOKUP($A91,'Data Vlaue (Cr)'!$C:$FB,79)</f>
        <v>1038</v>
      </c>
      <c r="O91" s="92">
        <f>VLOOKUP($A91,'Data Vlaue (Cr)'!$C:$FB,82)</f>
        <v>2.4400000000000002E-2</v>
      </c>
    </row>
    <row r="92" spans="1:15" x14ac:dyDescent="0.25">
      <c r="A92" s="97" t="str">
        <f>'Data Vlaue (Cr)'!C87</f>
        <v>ICICIPRULI</v>
      </c>
      <c r="B92" s="142">
        <f>VLOOKUP(A92,'Data Vlaue (Cr)'!C87:CW301,99,0)</f>
        <v>1014</v>
      </c>
      <c r="C92" s="90">
        <f>VLOOKUP(A92,'Data Vlaue (Cr)'!C87:CY301,101,0)</f>
        <v>7</v>
      </c>
      <c r="D92" s="139">
        <f>VLOOKUP(A92,'Data Vlaue (Cr)'!C87:CZ301,102,0)</f>
        <v>6.7000000000000002E-3</v>
      </c>
      <c r="E92" s="91">
        <f>VLOOKUP($A92,'Data Vlaue (Cr)'!$C:$FB,75)</f>
        <v>700</v>
      </c>
      <c r="F92" s="91">
        <f>VLOOKUP($A92,'Data Vlaue (Cr)'!$C:$FB,77)</f>
        <v>-5</v>
      </c>
      <c r="G92" s="92">
        <f>VLOOKUP(A92,'Data Vlaue (Cr)'!C87:CB301,78,0)</f>
        <v>-6.7999999999999996E-3</v>
      </c>
      <c r="H92" s="91">
        <f>VLOOKUP($A92,'Data Vlaue (Cr)'!$C:$FB,91)</f>
        <v>195</v>
      </c>
      <c r="I92" s="91">
        <f>VLOOKUP($A92,'Data Vlaue (Cr)'!$C:$FB,93)</f>
        <v>16</v>
      </c>
      <c r="J92" s="92">
        <f>VLOOKUP($A92,'Data Vlaue (Cr)'!$C:$FB,94)</f>
        <v>8.7900000000000006E-2</v>
      </c>
      <c r="K92" s="91">
        <f>VLOOKUP($A92,'Data Vlaue (Cr)'!$C:$FB,95)</f>
        <v>119</v>
      </c>
      <c r="L92" s="91">
        <f>VLOOKUP($A92,'Data Vlaue (Cr)'!$C:$FB,97)</f>
        <v>-4</v>
      </c>
      <c r="M92" s="92">
        <f>VLOOKUP($A92,'Data Vlaue (Cr)'!$C:$FB,98)</f>
        <v>-3.4299999999999997E-2</v>
      </c>
      <c r="N92" s="91">
        <f>VLOOKUP($A92,'Data Vlaue (Cr)'!$C:$FB,79)</f>
        <v>685</v>
      </c>
      <c r="O92" s="92">
        <f>VLOOKUP($A92,'Data Vlaue (Cr)'!$C:$FB,82)</f>
        <v>-6.8999999999999999E-3</v>
      </c>
    </row>
    <row r="93" spans="1:15" x14ac:dyDescent="0.25">
      <c r="A93" s="97" t="str">
        <f>'Data Vlaue (Cr)'!C88</f>
        <v>IDEA</v>
      </c>
      <c r="B93" s="142">
        <f>VLOOKUP(A93,'Data Vlaue (Cr)'!C88:CW302,99,0)</f>
        <v>8856</v>
      </c>
      <c r="C93" s="90">
        <f>VLOOKUP(A93,'Data Vlaue (Cr)'!C88:CY302,101,0)</f>
        <v>44</v>
      </c>
      <c r="D93" s="139">
        <f>VLOOKUP(A93,'Data Vlaue (Cr)'!C88:CZ302,102,0)</f>
        <v>5.0000000000000001E-3</v>
      </c>
      <c r="E93" s="91">
        <f>VLOOKUP($A93,'Data Vlaue (Cr)'!$C:$FB,75)</f>
        <v>5709</v>
      </c>
      <c r="F93" s="91">
        <f>VLOOKUP($A93,'Data Vlaue (Cr)'!$C:$FB,77)</f>
        <v>-69</v>
      </c>
      <c r="G93" s="92">
        <f>VLOOKUP(A93,'Data Vlaue (Cr)'!C88:CB302,78,0)</f>
        <v>-1.2E-2</v>
      </c>
      <c r="H93" s="91">
        <f>VLOOKUP($A93,'Data Vlaue (Cr)'!$C:$FB,91)</f>
        <v>2027</v>
      </c>
      <c r="I93" s="91">
        <f>VLOOKUP($A93,'Data Vlaue (Cr)'!$C:$FB,93)</f>
        <v>91</v>
      </c>
      <c r="J93" s="92">
        <f>VLOOKUP($A93,'Data Vlaue (Cr)'!$C:$FB,94)</f>
        <v>4.6800000000000001E-2</v>
      </c>
      <c r="K93" s="91">
        <f>VLOOKUP($A93,'Data Vlaue (Cr)'!$C:$FB,95)</f>
        <v>1120</v>
      </c>
      <c r="L93" s="91">
        <f>VLOOKUP($A93,'Data Vlaue (Cr)'!$C:$FB,97)</f>
        <v>23</v>
      </c>
      <c r="M93" s="92">
        <f>VLOOKUP($A93,'Data Vlaue (Cr)'!$C:$FB,98)</f>
        <v>2.1000000000000001E-2</v>
      </c>
      <c r="N93" s="91">
        <f>VLOOKUP($A93,'Data Vlaue (Cr)'!$C:$FB,79)</f>
        <v>5266</v>
      </c>
      <c r="O93" s="92">
        <f>VLOOKUP($A93,'Data Vlaue (Cr)'!$C:$FB,82)</f>
        <v>-2.07E-2</v>
      </c>
    </row>
    <row r="94" spans="1:15" x14ac:dyDescent="0.25">
      <c r="A94" s="97" t="str">
        <f>'Data Vlaue (Cr)'!C89</f>
        <v>IDFCFIRSTB</v>
      </c>
      <c r="B94" s="142">
        <f>VLOOKUP(A94,'Data Vlaue (Cr)'!C89:CW303,99,0)</f>
        <v>4743</v>
      </c>
      <c r="C94" s="90">
        <f>VLOOKUP(A94,'Data Vlaue (Cr)'!C89:CY303,101,0)</f>
        <v>121</v>
      </c>
      <c r="D94" s="139">
        <f>VLOOKUP(A94,'Data Vlaue (Cr)'!C89:CZ303,102,0)</f>
        <v>2.6200000000000001E-2</v>
      </c>
      <c r="E94" s="91">
        <f>VLOOKUP($A94,'Data Vlaue (Cr)'!$C:$FB,75)</f>
        <v>3020</v>
      </c>
      <c r="F94" s="91">
        <f>VLOOKUP($A94,'Data Vlaue (Cr)'!$C:$FB,77)</f>
        <v>21</v>
      </c>
      <c r="G94" s="92">
        <f>VLOOKUP(A94,'Data Vlaue (Cr)'!C89:CB303,78,0)</f>
        <v>7.1999999999999998E-3</v>
      </c>
      <c r="H94" s="91">
        <f>VLOOKUP($A94,'Data Vlaue (Cr)'!$C:$FB,91)</f>
        <v>1016</v>
      </c>
      <c r="I94" s="91">
        <f>VLOOKUP($A94,'Data Vlaue (Cr)'!$C:$FB,93)</f>
        <v>103</v>
      </c>
      <c r="J94" s="92">
        <f>VLOOKUP($A94,'Data Vlaue (Cr)'!$C:$FB,94)</f>
        <v>0.1123</v>
      </c>
      <c r="K94" s="91">
        <f>VLOOKUP($A94,'Data Vlaue (Cr)'!$C:$FB,95)</f>
        <v>707</v>
      </c>
      <c r="L94" s="91">
        <f>VLOOKUP($A94,'Data Vlaue (Cr)'!$C:$FB,97)</f>
        <v>-3</v>
      </c>
      <c r="M94" s="92">
        <f>VLOOKUP($A94,'Data Vlaue (Cr)'!$C:$FB,98)</f>
        <v>-4.1999999999999997E-3</v>
      </c>
      <c r="N94" s="91">
        <f>VLOOKUP($A94,'Data Vlaue (Cr)'!$C:$FB,79)</f>
        <v>2830</v>
      </c>
      <c r="O94" s="92">
        <f>VLOOKUP($A94,'Data Vlaue (Cr)'!$C:$FB,82)</f>
        <v>3.2000000000000002E-3</v>
      </c>
    </row>
    <row r="95" spans="1:15" x14ac:dyDescent="0.25">
      <c r="A95" s="97" t="str">
        <f>'Data Vlaue (Cr)'!C90</f>
        <v>IEX</v>
      </c>
      <c r="B95" s="142">
        <f>VLOOKUP(A95,'Data Vlaue (Cr)'!C90:CW304,99,0)</f>
        <v>1470</v>
      </c>
      <c r="C95" s="90">
        <f>VLOOKUP(A95,'Data Vlaue (Cr)'!C90:CY304,101,0)</f>
        <v>41</v>
      </c>
      <c r="D95" s="139">
        <f>VLOOKUP(A95,'Data Vlaue (Cr)'!C90:CZ304,102,0)</f>
        <v>2.86E-2</v>
      </c>
      <c r="E95" s="91">
        <f>VLOOKUP($A95,'Data Vlaue (Cr)'!$C:$FB,75)</f>
        <v>789</v>
      </c>
      <c r="F95" s="91">
        <f>VLOOKUP($A95,'Data Vlaue (Cr)'!$C:$FB,77)</f>
        <v>12</v>
      </c>
      <c r="G95" s="92">
        <f>VLOOKUP(A95,'Data Vlaue (Cr)'!C90:CB304,78,0)</f>
        <v>1.54E-2</v>
      </c>
      <c r="H95" s="91">
        <f>VLOOKUP($A95,'Data Vlaue (Cr)'!$C:$FB,91)</f>
        <v>400</v>
      </c>
      <c r="I95" s="91">
        <f>VLOOKUP($A95,'Data Vlaue (Cr)'!$C:$FB,93)</f>
        <v>19</v>
      </c>
      <c r="J95" s="92">
        <f>VLOOKUP($A95,'Data Vlaue (Cr)'!$C:$FB,94)</f>
        <v>5.0900000000000001E-2</v>
      </c>
      <c r="K95" s="91">
        <f>VLOOKUP($A95,'Data Vlaue (Cr)'!$C:$FB,95)</f>
        <v>281</v>
      </c>
      <c r="L95" s="91">
        <f>VLOOKUP($A95,'Data Vlaue (Cr)'!$C:$FB,97)</f>
        <v>10</v>
      </c>
      <c r="M95" s="92">
        <f>VLOOKUP($A95,'Data Vlaue (Cr)'!$C:$FB,98)</f>
        <v>3.5099999999999999E-2</v>
      </c>
      <c r="N95" s="91">
        <f>VLOOKUP($A95,'Data Vlaue (Cr)'!$C:$FB,79)</f>
        <v>737</v>
      </c>
      <c r="O95" s="92">
        <f>VLOOKUP($A95,'Data Vlaue (Cr)'!$C:$FB,82)</f>
        <v>1.0200000000000001E-2</v>
      </c>
    </row>
    <row r="96" spans="1:15" x14ac:dyDescent="0.25">
      <c r="A96" s="97" t="str">
        <f>'Data Vlaue (Cr)'!C91</f>
        <v>IGL</v>
      </c>
      <c r="B96" s="142">
        <f>VLOOKUP(A96,'Data Vlaue (Cr)'!C91:CW305,99,0)</f>
        <v>1010</v>
      </c>
      <c r="C96" s="90">
        <f>VLOOKUP(A96,'Data Vlaue (Cr)'!C91:CY305,101,0)</f>
        <v>-20</v>
      </c>
      <c r="D96" s="139">
        <f>VLOOKUP(A96,'Data Vlaue (Cr)'!C91:CZ305,102,0)</f>
        <v>-1.9900000000000001E-2</v>
      </c>
      <c r="E96" s="91">
        <f>VLOOKUP($A96,'Data Vlaue (Cr)'!$C:$FB,75)</f>
        <v>448</v>
      </c>
      <c r="F96" s="91">
        <f>VLOOKUP($A96,'Data Vlaue (Cr)'!$C:$FB,77)</f>
        <v>-4</v>
      </c>
      <c r="G96" s="92">
        <f>VLOOKUP(A96,'Data Vlaue (Cr)'!C91:CB305,78,0)</f>
        <v>-9.4999999999999998E-3</v>
      </c>
      <c r="H96" s="91">
        <f>VLOOKUP($A96,'Data Vlaue (Cr)'!$C:$FB,91)</f>
        <v>350</v>
      </c>
      <c r="I96" s="91">
        <f>VLOOKUP($A96,'Data Vlaue (Cr)'!$C:$FB,93)</f>
        <v>-12</v>
      </c>
      <c r="J96" s="92">
        <f>VLOOKUP($A96,'Data Vlaue (Cr)'!$C:$FB,94)</f>
        <v>-3.44E-2</v>
      </c>
      <c r="K96" s="91">
        <f>VLOOKUP($A96,'Data Vlaue (Cr)'!$C:$FB,95)</f>
        <v>212</v>
      </c>
      <c r="L96" s="91">
        <f>VLOOKUP($A96,'Data Vlaue (Cr)'!$C:$FB,97)</f>
        <v>-4</v>
      </c>
      <c r="M96" s="92">
        <f>VLOOKUP($A96,'Data Vlaue (Cr)'!$C:$FB,98)</f>
        <v>-1.7100000000000001E-2</v>
      </c>
      <c r="N96" s="91">
        <f>VLOOKUP($A96,'Data Vlaue (Cr)'!$C:$FB,79)</f>
        <v>419</v>
      </c>
      <c r="O96" s="92">
        <f>VLOOKUP($A96,'Data Vlaue (Cr)'!$C:$FB,82)</f>
        <v>-1.3599999999999999E-2</v>
      </c>
    </row>
    <row r="97" spans="1:15" x14ac:dyDescent="0.25">
      <c r="A97" s="97" t="str">
        <f>'Data Vlaue (Cr)'!C92</f>
        <v>IIFL</v>
      </c>
      <c r="B97" s="142">
        <f>VLOOKUP(A97,'Data Vlaue (Cr)'!C92:CW306,99,0)</f>
        <v>1116</v>
      </c>
      <c r="C97" s="90">
        <f>VLOOKUP(A97,'Data Vlaue (Cr)'!C92:CY306,101,0)</f>
        <v>-8</v>
      </c>
      <c r="D97" s="139">
        <f>VLOOKUP(A97,'Data Vlaue (Cr)'!C92:CZ306,102,0)</f>
        <v>-6.7999999999999996E-3</v>
      </c>
      <c r="E97" s="91">
        <f>VLOOKUP($A97,'Data Vlaue (Cr)'!$C:$FB,75)</f>
        <v>788</v>
      </c>
      <c r="F97" s="91">
        <f>VLOOKUP($A97,'Data Vlaue (Cr)'!$C:$FB,77)</f>
        <v>-12</v>
      </c>
      <c r="G97" s="92">
        <f>VLOOKUP(A97,'Data Vlaue (Cr)'!C92:CB306,78,0)</f>
        <v>-1.44E-2</v>
      </c>
      <c r="H97" s="91">
        <f>VLOOKUP($A97,'Data Vlaue (Cr)'!$C:$FB,91)</f>
        <v>195</v>
      </c>
      <c r="I97" s="91">
        <f>VLOOKUP($A97,'Data Vlaue (Cr)'!$C:$FB,93)</f>
        <v>1</v>
      </c>
      <c r="J97" s="92">
        <f>VLOOKUP($A97,'Data Vlaue (Cr)'!$C:$FB,94)</f>
        <v>4.5999999999999999E-3</v>
      </c>
      <c r="K97" s="91">
        <f>VLOOKUP($A97,'Data Vlaue (Cr)'!$C:$FB,95)</f>
        <v>134</v>
      </c>
      <c r="L97" s="91">
        <f>VLOOKUP($A97,'Data Vlaue (Cr)'!$C:$FB,97)</f>
        <v>3</v>
      </c>
      <c r="M97" s="92">
        <f>VLOOKUP($A97,'Data Vlaue (Cr)'!$C:$FB,98)</f>
        <v>2.29E-2</v>
      </c>
      <c r="N97" s="91">
        <f>VLOOKUP($A97,'Data Vlaue (Cr)'!$C:$FB,79)</f>
        <v>772</v>
      </c>
      <c r="O97" s="92">
        <f>VLOOKUP($A97,'Data Vlaue (Cr)'!$C:$FB,82)</f>
        <v>-1.5599999999999999E-2</v>
      </c>
    </row>
    <row r="98" spans="1:15" x14ac:dyDescent="0.25">
      <c r="A98" s="97" t="str">
        <f>'Data Vlaue (Cr)'!C93</f>
        <v>INDHOTEL</v>
      </c>
      <c r="B98" s="142">
        <f>VLOOKUP(A98,'Data Vlaue (Cr)'!C93:CW307,99,0)</f>
        <v>3525</v>
      </c>
      <c r="C98" s="90">
        <f>VLOOKUP(A98,'Data Vlaue (Cr)'!C93:CY307,101,0)</f>
        <v>-22</v>
      </c>
      <c r="D98" s="139">
        <f>VLOOKUP(A98,'Data Vlaue (Cr)'!C93:CZ307,102,0)</f>
        <v>-6.1999999999999998E-3</v>
      </c>
      <c r="E98" s="91">
        <f>VLOOKUP($A98,'Data Vlaue (Cr)'!$C:$FB,75)</f>
        <v>2064</v>
      </c>
      <c r="F98" s="91">
        <f>VLOOKUP($A98,'Data Vlaue (Cr)'!$C:$FB,77)</f>
        <v>9</v>
      </c>
      <c r="G98" s="92">
        <f>VLOOKUP(A98,'Data Vlaue (Cr)'!C93:CB307,78,0)</f>
        <v>4.4000000000000003E-3</v>
      </c>
      <c r="H98" s="91">
        <f>VLOOKUP($A98,'Data Vlaue (Cr)'!$C:$FB,91)</f>
        <v>959</v>
      </c>
      <c r="I98" s="91">
        <f>VLOOKUP($A98,'Data Vlaue (Cr)'!$C:$FB,93)</f>
        <v>-12</v>
      </c>
      <c r="J98" s="92">
        <f>VLOOKUP($A98,'Data Vlaue (Cr)'!$C:$FB,94)</f>
        <v>-1.2200000000000001E-2</v>
      </c>
      <c r="K98" s="91">
        <f>VLOOKUP($A98,'Data Vlaue (Cr)'!$C:$FB,95)</f>
        <v>502</v>
      </c>
      <c r="L98" s="91">
        <f>VLOOKUP($A98,'Data Vlaue (Cr)'!$C:$FB,97)</f>
        <v>-19</v>
      </c>
      <c r="M98" s="92">
        <f>VLOOKUP($A98,'Data Vlaue (Cr)'!$C:$FB,98)</f>
        <v>-3.6900000000000002E-2</v>
      </c>
      <c r="N98" s="91">
        <f>VLOOKUP($A98,'Data Vlaue (Cr)'!$C:$FB,79)</f>
        <v>1972</v>
      </c>
      <c r="O98" s="92">
        <f>VLOOKUP($A98,'Data Vlaue (Cr)'!$C:$FB,82)</f>
        <v>-2.9999999999999997E-4</v>
      </c>
    </row>
    <row r="99" spans="1:15" x14ac:dyDescent="0.25">
      <c r="A99" s="97" t="str">
        <f>'Data Vlaue (Cr)'!C94</f>
        <v>INDIANB</v>
      </c>
      <c r="B99" s="142">
        <f>VLOOKUP(A99,'Data Vlaue (Cr)'!C94:CW308,99,0)</f>
        <v>1025</v>
      </c>
      <c r="C99" s="90">
        <f>VLOOKUP(A99,'Data Vlaue (Cr)'!C94:CY308,101,0)</f>
        <v>26</v>
      </c>
      <c r="D99" s="139">
        <f>VLOOKUP(A99,'Data Vlaue (Cr)'!C94:CZ308,102,0)</f>
        <v>2.64E-2</v>
      </c>
      <c r="E99" s="91">
        <f>VLOOKUP($A99,'Data Vlaue (Cr)'!$C:$FB,75)</f>
        <v>600</v>
      </c>
      <c r="F99" s="91">
        <f>VLOOKUP($A99,'Data Vlaue (Cr)'!$C:$FB,77)</f>
        <v>22</v>
      </c>
      <c r="G99" s="92">
        <f>VLOOKUP(A99,'Data Vlaue (Cr)'!C94:CB308,78,0)</f>
        <v>3.7900000000000003E-2</v>
      </c>
      <c r="H99" s="91">
        <f>VLOOKUP($A99,'Data Vlaue (Cr)'!$C:$FB,91)</f>
        <v>216</v>
      </c>
      <c r="I99" s="91">
        <f>VLOOKUP($A99,'Data Vlaue (Cr)'!$C:$FB,93)</f>
        <v>0</v>
      </c>
      <c r="J99" s="92">
        <f>VLOOKUP($A99,'Data Vlaue (Cr)'!$C:$FB,94)</f>
        <v>4.0000000000000002E-4</v>
      </c>
      <c r="K99" s="91">
        <f>VLOOKUP($A99,'Data Vlaue (Cr)'!$C:$FB,95)</f>
        <v>209</v>
      </c>
      <c r="L99" s="91">
        <f>VLOOKUP($A99,'Data Vlaue (Cr)'!$C:$FB,97)</f>
        <v>4</v>
      </c>
      <c r="M99" s="92">
        <f>VLOOKUP($A99,'Data Vlaue (Cr)'!$C:$FB,98)</f>
        <v>2.1600000000000001E-2</v>
      </c>
      <c r="N99" s="91">
        <f>VLOOKUP($A99,'Data Vlaue (Cr)'!$C:$FB,79)</f>
        <v>584</v>
      </c>
      <c r="O99" s="92">
        <f>VLOOKUP($A99,'Data Vlaue (Cr)'!$C:$FB,82)</f>
        <v>3.5499999999999997E-2</v>
      </c>
    </row>
    <row r="100" spans="1:15" x14ac:dyDescent="0.25">
      <c r="A100" s="97" t="str">
        <f>'Data Vlaue (Cr)'!C95</f>
        <v>INDIAVIX</v>
      </c>
      <c r="B100" s="142">
        <f>VLOOKUP(A100,'Data Vlaue (Cr)'!C95:CW309,99,0)</f>
        <v>0</v>
      </c>
      <c r="C100" s="90">
        <f>VLOOKUP(A100,'Data Vlaue (Cr)'!C95:CY309,101,0)</f>
        <v>0</v>
      </c>
      <c r="D100" s="139">
        <f>VLOOKUP(A100,'Data Vlaue (Cr)'!C95:CZ309,102,0)</f>
        <v>0</v>
      </c>
      <c r="E100" s="91">
        <f>VLOOKUP($A100,'Data Vlaue (Cr)'!$C:$FB,75)</f>
        <v>0</v>
      </c>
      <c r="F100" s="91">
        <f>VLOOKUP($A100,'Data Vlaue (Cr)'!$C:$FB,77)</f>
        <v>0</v>
      </c>
      <c r="G100" s="92">
        <f>VLOOKUP(A100,'Data Vlaue (Cr)'!C95:CB309,78,0)</f>
        <v>0</v>
      </c>
      <c r="H100" s="91">
        <f>VLOOKUP($A100,'Data Vlaue (Cr)'!$C:$FB,91)</f>
        <v>0</v>
      </c>
      <c r="I100" s="91">
        <f>VLOOKUP($A100,'Data Vlaue (Cr)'!$C:$FB,93)</f>
        <v>0</v>
      </c>
      <c r="J100" s="92">
        <f>VLOOKUP($A100,'Data Vlaue (Cr)'!$C:$FB,94)</f>
        <v>0</v>
      </c>
      <c r="K100" s="91">
        <f>VLOOKUP($A100,'Data Vlaue (Cr)'!$C:$FB,95)</f>
        <v>0</v>
      </c>
      <c r="L100" s="91">
        <f>VLOOKUP($A100,'Data Vlaue (Cr)'!$C:$FB,97)</f>
        <v>0</v>
      </c>
      <c r="M100" s="92">
        <f>VLOOKUP($A100,'Data Vlaue (Cr)'!$C:$FB,98)</f>
        <v>0</v>
      </c>
      <c r="N100" s="91">
        <f>VLOOKUP($A100,'Data Vlaue (Cr)'!$C:$FB,79)</f>
        <v>0</v>
      </c>
      <c r="O100" s="92">
        <f>VLOOKUP($A100,'Data Vlaue (Cr)'!$C:$FB,82)</f>
        <v>0</v>
      </c>
    </row>
    <row r="101" spans="1:15" x14ac:dyDescent="0.25">
      <c r="A101" s="97" t="str">
        <f>'Data Vlaue (Cr)'!C96</f>
        <v>INDIGO</v>
      </c>
      <c r="B101" s="142">
        <f>VLOOKUP(A101,'Data Vlaue (Cr)'!C96:CW310,99,0)</f>
        <v>6507</v>
      </c>
      <c r="C101" s="90">
        <f>VLOOKUP(A101,'Data Vlaue (Cr)'!C96:CY310,101,0)</f>
        <v>-10</v>
      </c>
      <c r="D101" s="139">
        <f>VLOOKUP(A101,'Data Vlaue (Cr)'!C96:CZ310,102,0)</f>
        <v>-1.5E-3</v>
      </c>
      <c r="E101" s="91">
        <f>VLOOKUP($A101,'Data Vlaue (Cr)'!$C:$FB,75)</f>
        <v>4663</v>
      </c>
      <c r="F101" s="91">
        <f>VLOOKUP($A101,'Data Vlaue (Cr)'!$C:$FB,77)</f>
        <v>-73</v>
      </c>
      <c r="G101" s="92">
        <f>VLOOKUP(A101,'Data Vlaue (Cr)'!C96:CB310,78,0)</f>
        <v>-1.54E-2</v>
      </c>
      <c r="H101" s="91">
        <f>VLOOKUP($A101,'Data Vlaue (Cr)'!$C:$FB,91)</f>
        <v>1071</v>
      </c>
      <c r="I101" s="91">
        <f>VLOOKUP($A101,'Data Vlaue (Cr)'!$C:$FB,93)</f>
        <v>37</v>
      </c>
      <c r="J101" s="92">
        <f>VLOOKUP($A101,'Data Vlaue (Cr)'!$C:$FB,94)</f>
        <v>3.5400000000000001E-2</v>
      </c>
      <c r="K101" s="91">
        <f>VLOOKUP($A101,'Data Vlaue (Cr)'!$C:$FB,95)</f>
        <v>773</v>
      </c>
      <c r="L101" s="91">
        <f>VLOOKUP($A101,'Data Vlaue (Cr)'!$C:$FB,97)</f>
        <v>26</v>
      </c>
      <c r="M101" s="92">
        <f>VLOOKUP($A101,'Data Vlaue (Cr)'!$C:$FB,98)</f>
        <v>3.5400000000000001E-2</v>
      </c>
      <c r="N101" s="91">
        <f>VLOOKUP($A101,'Data Vlaue (Cr)'!$C:$FB,79)</f>
        <v>4522</v>
      </c>
      <c r="O101" s="92">
        <f>VLOOKUP($A101,'Data Vlaue (Cr)'!$C:$FB,82)</f>
        <v>-1.7600000000000001E-2</v>
      </c>
    </row>
    <row r="102" spans="1:15" x14ac:dyDescent="0.25">
      <c r="A102" s="97" t="str">
        <f>'Data Vlaue (Cr)'!C97</f>
        <v>INDUSINDBK</v>
      </c>
      <c r="B102" s="142">
        <f>VLOOKUP(A102,'Data Vlaue (Cr)'!C97:CW311,99,0)</f>
        <v>5883</v>
      </c>
      <c r="C102" s="90">
        <f>VLOOKUP(A102,'Data Vlaue (Cr)'!C97:CY311,101,0)</f>
        <v>12</v>
      </c>
      <c r="D102" s="139">
        <f>VLOOKUP(A102,'Data Vlaue (Cr)'!C97:CZ311,102,0)</f>
        <v>2.0999999999999999E-3</v>
      </c>
      <c r="E102" s="91">
        <f>VLOOKUP($A102,'Data Vlaue (Cr)'!$C:$FB,75)</f>
        <v>4125</v>
      </c>
      <c r="F102" s="91">
        <f>VLOOKUP($A102,'Data Vlaue (Cr)'!$C:$FB,77)</f>
        <v>-17</v>
      </c>
      <c r="G102" s="92">
        <f>VLOOKUP(A102,'Data Vlaue (Cr)'!C97:CB311,78,0)</f>
        <v>-4.1000000000000003E-3</v>
      </c>
      <c r="H102" s="91">
        <f>VLOOKUP($A102,'Data Vlaue (Cr)'!$C:$FB,91)</f>
        <v>871</v>
      </c>
      <c r="I102" s="91">
        <f>VLOOKUP($A102,'Data Vlaue (Cr)'!$C:$FB,93)</f>
        <v>19</v>
      </c>
      <c r="J102" s="92">
        <f>VLOOKUP($A102,'Data Vlaue (Cr)'!$C:$FB,94)</f>
        <v>2.23E-2</v>
      </c>
      <c r="K102" s="91">
        <f>VLOOKUP($A102,'Data Vlaue (Cr)'!$C:$FB,95)</f>
        <v>887</v>
      </c>
      <c r="L102" s="91">
        <f>VLOOKUP($A102,'Data Vlaue (Cr)'!$C:$FB,97)</f>
        <v>10</v>
      </c>
      <c r="M102" s="92">
        <f>VLOOKUP($A102,'Data Vlaue (Cr)'!$C:$FB,98)</f>
        <v>1.18E-2</v>
      </c>
      <c r="N102" s="91">
        <f>VLOOKUP($A102,'Data Vlaue (Cr)'!$C:$FB,79)</f>
        <v>3975</v>
      </c>
      <c r="O102" s="92">
        <f>VLOOKUP($A102,'Data Vlaue (Cr)'!$C:$FB,82)</f>
        <v>-5.5999999999999999E-3</v>
      </c>
    </row>
    <row r="103" spans="1:15" x14ac:dyDescent="0.25">
      <c r="A103" s="97" t="str">
        <f>'Data Vlaue (Cr)'!C98</f>
        <v>INDUSTOWER</v>
      </c>
      <c r="B103" s="142">
        <f>VLOOKUP(A103,'Data Vlaue (Cr)'!C98:CW312,99,0)</f>
        <v>4455</v>
      </c>
      <c r="C103" s="90">
        <f>VLOOKUP(A103,'Data Vlaue (Cr)'!C98:CY312,101,0)</f>
        <v>206</v>
      </c>
      <c r="D103" s="139">
        <f>VLOOKUP(A103,'Data Vlaue (Cr)'!C98:CZ312,102,0)</f>
        <v>4.8599999999999997E-2</v>
      </c>
      <c r="E103" s="91">
        <f>VLOOKUP($A103,'Data Vlaue (Cr)'!$C:$FB,75)</f>
        <v>3157</v>
      </c>
      <c r="F103" s="91">
        <f>VLOOKUP($A103,'Data Vlaue (Cr)'!$C:$FB,77)</f>
        <v>19</v>
      </c>
      <c r="G103" s="92">
        <f>VLOOKUP(A103,'Data Vlaue (Cr)'!C98:CB312,78,0)</f>
        <v>6.0000000000000001E-3</v>
      </c>
      <c r="H103" s="91">
        <f>VLOOKUP($A103,'Data Vlaue (Cr)'!$C:$FB,91)</f>
        <v>823</v>
      </c>
      <c r="I103" s="91">
        <f>VLOOKUP($A103,'Data Vlaue (Cr)'!$C:$FB,93)</f>
        <v>166</v>
      </c>
      <c r="J103" s="92">
        <f>VLOOKUP($A103,'Data Vlaue (Cr)'!$C:$FB,94)</f>
        <v>0.25219999999999998</v>
      </c>
      <c r="K103" s="91">
        <f>VLOOKUP($A103,'Data Vlaue (Cr)'!$C:$FB,95)</f>
        <v>475</v>
      </c>
      <c r="L103" s="91">
        <f>VLOOKUP($A103,'Data Vlaue (Cr)'!$C:$FB,97)</f>
        <v>22</v>
      </c>
      <c r="M103" s="92">
        <f>VLOOKUP($A103,'Data Vlaue (Cr)'!$C:$FB,98)</f>
        <v>4.8399999999999999E-2</v>
      </c>
      <c r="N103" s="91">
        <f>VLOOKUP($A103,'Data Vlaue (Cr)'!$C:$FB,79)</f>
        <v>3089</v>
      </c>
      <c r="O103" s="92">
        <f>VLOOKUP($A103,'Data Vlaue (Cr)'!$C:$FB,82)</f>
        <v>5.0000000000000001E-3</v>
      </c>
    </row>
    <row r="104" spans="1:15" x14ac:dyDescent="0.25">
      <c r="A104" s="97" t="str">
        <f>'Data Vlaue (Cr)'!C99</f>
        <v>INFY</v>
      </c>
      <c r="B104" s="142">
        <f>VLOOKUP(A104,'Data Vlaue (Cr)'!C99:CW313,99,0)</f>
        <v>14260</v>
      </c>
      <c r="C104" s="90">
        <f>VLOOKUP(A104,'Data Vlaue (Cr)'!C99:CY313,101,0)</f>
        <v>-281</v>
      </c>
      <c r="D104" s="139">
        <f>VLOOKUP(A104,'Data Vlaue (Cr)'!C99:CZ313,102,0)</f>
        <v>-1.9300000000000001E-2</v>
      </c>
      <c r="E104" s="91">
        <f>VLOOKUP($A104,'Data Vlaue (Cr)'!$C:$FB,75)</f>
        <v>8967</v>
      </c>
      <c r="F104" s="91">
        <f>VLOOKUP($A104,'Data Vlaue (Cr)'!$C:$FB,77)</f>
        <v>-252</v>
      </c>
      <c r="G104" s="92">
        <f>VLOOKUP(A104,'Data Vlaue (Cr)'!C99:CB313,78,0)</f>
        <v>-2.7300000000000001E-2</v>
      </c>
      <c r="H104" s="91">
        <f>VLOOKUP($A104,'Data Vlaue (Cr)'!$C:$FB,91)</f>
        <v>2868</v>
      </c>
      <c r="I104" s="91">
        <f>VLOOKUP($A104,'Data Vlaue (Cr)'!$C:$FB,93)</f>
        <v>24</v>
      </c>
      <c r="J104" s="92">
        <f>VLOOKUP($A104,'Data Vlaue (Cr)'!$C:$FB,94)</f>
        <v>8.3999999999999995E-3</v>
      </c>
      <c r="K104" s="91">
        <f>VLOOKUP($A104,'Data Vlaue (Cr)'!$C:$FB,95)</f>
        <v>2425</v>
      </c>
      <c r="L104" s="91">
        <f>VLOOKUP($A104,'Data Vlaue (Cr)'!$C:$FB,97)</f>
        <v>-54</v>
      </c>
      <c r="M104" s="92">
        <f>VLOOKUP($A104,'Data Vlaue (Cr)'!$C:$FB,98)</f>
        <v>-2.1700000000000001E-2</v>
      </c>
      <c r="N104" s="91">
        <f>VLOOKUP($A104,'Data Vlaue (Cr)'!$C:$FB,79)</f>
        <v>5943</v>
      </c>
      <c r="O104" s="92">
        <f>VLOOKUP($A104,'Data Vlaue (Cr)'!$C:$FB,82)</f>
        <v>-3.8600000000000002E-2</v>
      </c>
    </row>
    <row r="105" spans="1:15" x14ac:dyDescent="0.25">
      <c r="A105" s="97" t="str">
        <f>'Data Vlaue (Cr)'!C100</f>
        <v>INOXWIND</v>
      </c>
      <c r="B105" s="142">
        <f>VLOOKUP(A105,'Data Vlaue (Cr)'!C100:CW314,99,0)</f>
        <v>1065</v>
      </c>
      <c r="C105" s="90">
        <f>VLOOKUP(A105,'Data Vlaue (Cr)'!C100:CY314,101,0)</f>
        <v>10</v>
      </c>
      <c r="D105" s="139">
        <f>VLOOKUP(A105,'Data Vlaue (Cr)'!C100:CZ314,102,0)</f>
        <v>8.9999999999999993E-3</v>
      </c>
      <c r="E105" s="91">
        <f>VLOOKUP($A105,'Data Vlaue (Cr)'!$C:$FB,75)</f>
        <v>678</v>
      </c>
      <c r="F105" s="91">
        <f>VLOOKUP($A105,'Data Vlaue (Cr)'!$C:$FB,77)</f>
        <v>-30</v>
      </c>
      <c r="G105" s="92">
        <f>VLOOKUP(A105,'Data Vlaue (Cr)'!C100:CB314,78,0)</f>
        <v>-4.2299999999999997E-2</v>
      </c>
      <c r="H105" s="91">
        <f>VLOOKUP($A105,'Data Vlaue (Cr)'!$C:$FB,91)</f>
        <v>244</v>
      </c>
      <c r="I105" s="91">
        <f>VLOOKUP($A105,'Data Vlaue (Cr)'!$C:$FB,93)</f>
        <v>25</v>
      </c>
      <c r="J105" s="92">
        <f>VLOOKUP($A105,'Data Vlaue (Cr)'!$C:$FB,94)</f>
        <v>0.1142</v>
      </c>
      <c r="K105" s="91">
        <f>VLOOKUP($A105,'Data Vlaue (Cr)'!$C:$FB,95)</f>
        <v>144</v>
      </c>
      <c r="L105" s="91">
        <f>VLOOKUP($A105,'Data Vlaue (Cr)'!$C:$FB,97)</f>
        <v>14</v>
      </c>
      <c r="M105" s="92">
        <f>VLOOKUP($A105,'Data Vlaue (Cr)'!$C:$FB,98)</f>
        <v>0.11169999999999999</v>
      </c>
      <c r="N105" s="91">
        <f>VLOOKUP($A105,'Data Vlaue (Cr)'!$C:$FB,79)</f>
        <v>651</v>
      </c>
      <c r="O105" s="92">
        <f>VLOOKUP($A105,'Data Vlaue (Cr)'!$C:$FB,82)</f>
        <v>-4.6100000000000002E-2</v>
      </c>
    </row>
    <row r="106" spans="1:15" x14ac:dyDescent="0.25">
      <c r="A106" s="97" t="str">
        <f>'Data Vlaue (Cr)'!C101</f>
        <v>IOC</v>
      </c>
      <c r="B106" s="142">
        <f>VLOOKUP(A106,'Data Vlaue (Cr)'!C101:CW315,99,0)</f>
        <v>2590</v>
      </c>
      <c r="C106" s="90">
        <f>VLOOKUP(A106,'Data Vlaue (Cr)'!C101:CY315,101,0)</f>
        <v>62</v>
      </c>
      <c r="D106" s="139">
        <f>VLOOKUP(A106,'Data Vlaue (Cr)'!C101:CZ315,102,0)</f>
        <v>2.4400000000000002E-2</v>
      </c>
      <c r="E106" s="91">
        <f>VLOOKUP($A106,'Data Vlaue (Cr)'!$C:$FB,75)</f>
        <v>1480</v>
      </c>
      <c r="F106" s="91">
        <f>VLOOKUP($A106,'Data Vlaue (Cr)'!$C:$FB,77)</f>
        <v>15</v>
      </c>
      <c r="G106" s="92">
        <f>VLOOKUP(A106,'Data Vlaue (Cr)'!C101:CB315,78,0)</f>
        <v>1.01E-2</v>
      </c>
      <c r="H106" s="91">
        <f>VLOOKUP($A106,'Data Vlaue (Cr)'!$C:$FB,91)</f>
        <v>650</v>
      </c>
      <c r="I106" s="91">
        <f>VLOOKUP($A106,'Data Vlaue (Cr)'!$C:$FB,93)</f>
        <v>40</v>
      </c>
      <c r="J106" s="92">
        <f>VLOOKUP($A106,'Data Vlaue (Cr)'!$C:$FB,94)</f>
        <v>6.6100000000000006E-2</v>
      </c>
      <c r="K106" s="91">
        <f>VLOOKUP($A106,'Data Vlaue (Cr)'!$C:$FB,95)</f>
        <v>460</v>
      </c>
      <c r="L106" s="91">
        <f>VLOOKUP($A106,'Data Vlaue (Cr)'!$C:$FB,97)</f>
        <v>6</v>
      </c>
      <c r="M106" s="92">
        <f>VLOOKUP($A106,'Data Vlaue (Cr)'!$C:$FB,98)</f>
        <v>1.41E-2</v>
      </c>
      <c r="N106" s="91">
        <f>VLOOKUP($A106,'Data Vlaue (Cr)'!$C:$FB,79)</f>
        <v>1417</v>
      </c>
      <c r="O106" s="92">
        <f>VLOOKUP($A106,'Data Vlaue (Cr)'!$C:$FB,82)</f>
        <v>5.4000000000000003E-3</v>
      </c>
    </row>
    <row r="107" spans="1:15" x14ac:dyDescent="0.25">
      <c r="A107" s="97" t="str">
        <f>'Data Vlaue (Cr)'!C102</f>
        <v>IRCTC</v>
      </c>
      <c r="B107" s="142">
        <f>VLOOKUP(A107,'Data Vlaue (Cr)'!C102:CW316,99,0)</f>
        <v>2045</v>
      </c>
      <c r="C107" s="90">
        <f>VLOOKUP(A107,'Data Vlaue (Cr)'!C102:CY316,101,0)</f>
        <v>-20</v>
      </c>
      <c r="D107" s="139">
        <f>VLOOKUP(A107,'Data Vlaue (Cr)'!C102:CZ316,102,0)</f>
        <v>-9.4999999999999998E-3</v>
      </c>
      <c r="E107" s="91">
        <f>VLOOKUP($A107,'Data Vlaue (Cr)'!$C:$FB,75)</f>
        <v>1122</v>
      </c>
      <c r="F107" s="91">
        <f>VLOOKUP($A107,'Data Vlaue (Cr)'!$C:$FB,77)</f>
        <v>-23</v>
      </c>
      <c r="G107" s="92">
        <f>VLOOKUP(A107,'Data Vlaue (Cr)'!C102:CB316,78,0)</f>
        <v>-2.0400000000000001E-2</v>
      </c>
      <c r="H107" s="91">
        <f>VLOOKUP($A107,'Data Vlaue (Cr)'!$C:$FB,91)</f>
        <v>589</v>
      </c>
      <c r="I107" s="91">
        <f>VLOOKUP($A107,'Data Vlaue (Cr)'!$C:$FB,93)</f>
        <v>1</v>
      </c>
      <c r="J107" s="92">
        <f>VLOOKUP($A107,'Data Vlaue (Cr)'!$C:$FB,94)</f>
        <v>2E-3</v>
      </c>
      <c r="K107" s="91">
        <f>VLOOKUP($A107,'Data Vlaue (Cr)'!$C:$FB,95)</f>
        <v>333</v>
      </c>
      <c r="L107" s="91">
        <f>VLOOKUP($A107,'Data Vlaue (Cr)'!$C:$FB,97)</f>
        <v>3</v>
      </c>
      <c r="M107" s="92">
        <f>VLOOKUP($A107,'Data Vlaue (Cr)'!$C:$FB,98)</f>
        <v>8.2000000000000007E-3</v>
      </c>
      <c r="N107" s="91">
        <f>VLOOKUP($A107,'Data Vlaue (Cr)'!$C:$FB,79)</f>
        <v>991</v>
      </c>
      <c r="O107" s="92">
        <f>VLOOKUP($A107,'Data Vlaue (Cr)'!$C:$FB,82)</f>
        <v>-2.4199999999999999E-2</v>
      </c>
    </row>
    <row r="108" spans="1:15" x14ac:dyDescent="0.25">
      <c r="A108" s="97" t="str">
        <f>'Data Vlaue (Cr)'!C103</f>
        <v>IREDA</v>
      </c>
      <c r="B108" s="142">
        <f>VLOOKUP(A108,'Data Vlaue (Cr)'!C103:CW317,99,0)</f>
        <v>1319</v>
      </c>
      <c r="C108" s="90">
        <f>VLOOKUP(A108,'Data Vlaue (Cr)'!C103:CY317,101,0)</f>
        <v>-22</v>
      </c>
      <c r="D108" s="139">
        <f>VLOOKUP(A108,'Data Vlaue (Cr)'!C103:CZ317,102,0)</f>
        <v>-1.61E-2</v>
      </c>
      <c r="E108" s="91">
        <f>VLOOKUP($A108,'Data Vlaue (Cr)'!$C:$FB,75)</f>
        <v>650</v>
      </c>
      <c r="F108" s="91">
        <f>VLOOKUP($A108,'Data Vlaue (Cr)'!$C:$FB,77)</f>
        <v>-6</v>
      </c>
      <c r="G108" s="92">
        <f>VLOOKUP(A108,'Data Vlaue (Cr)'!C103:CB317,78,0)</f>
        <v>-9.4000000000000004E-3</v>
      </c>
      <c r="H108" s="91">
        <f>VLOOKUP($A108,'Data Vlaue (Cr)'!$C:$FB,91)</f>
        <v>459</v>
      </c>
      <c r="I108" s="91">
        <f>VLOOKUP($A108,'Data Vlaue (Cr)'!$C:$FB,93)</f>
        <v>-14</v>
      </c>
      <c r="J108" s="92">
        <f>VLOOKUP($A108,'Data Vlaue (Cr)'!$C:$FB,94)</f>
        <v>-3.0499999999999999E-2</v>
      </c>
      <c r="K108" s="91">
        <f>VLOOKUP($A108,'Data Vlaue (Cr)'!$C:$FB,95)</f>
        <v>210</v>
      </c>
      <c r="L108" s="91">
        <f>VLOOKUP($A108,'Data Vlaue (Cr)'!$C:$FB,97)</f>
        <v>-1</v>
      </c>
      <c r="M108" s="92">
        <f>VLOOKUP($A108,'Data Vlaue (Cr)'!$C:$FB,98)</f>
        <v>-4.4999999999999997E-3</v>
      </c>
      <c r="N108" s="91">
        <f>VLOOKUP($A108,'Data Vlaue (Cr)'!$C:$FB,79)</f>
        <v>545</v>
      </c>
      <c r="O108" s="92">
        <f>VLOOKUP($A108,'Data Vlaue (Cr)'!$C:$FB,82)</f>
        <v>-1.9900000000000001E-2</v>
      </c>
    </row>
    <row r="109" spans="1:15" x14ac:dyDescent="0.25">
      <c r="A109" s="97" t="str">
        <f>'Data Vlaue (Cr)'!C104</f>
        <v>IRFC</v>
      </c>
      <c r="B109" s="142">
        <f>VLOOKUP(A109,'Data Vlaue (Cr)'!C104:CW318,99,0)</f>
        <v>1082</v>
      </c>
      <c r="C109" s="90">
        <f>VLOOKUP(A109,'Data Vlaue (Cr)'!C104:CY318,101,0)</f>
        <v>10</v>
      </c>
      <c r="D109" s="139">
        <f>VLOOKUP(A109,'Data Vlaue (Cr)'!C104:CZ318,102,0)</f>
        <v>9.5999999999999992E-3</v>
      </c>
      <c r="E109" s="91">
        <f>VLOOKUP($A109,'Data Vlaue (Cr)'!$C:$FB,75)</f>
        <v>562</v>
      </c>
      <c r="F109" s="91">
        <f>VLOOKUP($A109,'Data Vlaue (Cr)'!$C:$FB,77)</f>
        <v>-4</v>
      </c>
      <c r="G109" s="92">
        <f>VLOOKUP(A109,'Data Vlaue (Cr)'!C104:CB318,78,0)</f>
        <v>-7.1999999999999998E-3</v>
      </c>
      <c r="H109" s="91">
        <f>VLOOKUP($A109,'Data Vlaue (Cr)'!$C:$FB,91)</f>
        <v>328</v>
      </c>
      <c r="I109" s="91">
        <f>VLOOKUP($A109,'Data Vlaue (Cr)'!$C:$FB,93)</f>
        <v>-5</v>
      </c>
      <c r="J109" s="92">
        <f>VLOOKUP($A109,'Data Vlaue (Cr)'!$C:$FB,94)</f>
        <v>-1.61E-2</v>
      </c>
      <c r="K109" s="91">
        <f>VLOOKUP($A109,'Data Vlaue (Cr)'!$C:$FB,95)</f>
        <v>191</v>
      </c>
      <c r="L109" s="91">
        <f>VLOOKUP($A109,'Data Vlaue (Cr)'!$C:$FB,97)</f>
        <v>20</v>
      </c>
      <c r="M109" s="92">
        <f>VLOOKUP($A109,'Data Vlaue (Cr)'!$C:$FB,98)</f>
        <v>0.11509999999999999</v>
      </c>
      <c r="N109" s="91">
        <f>VLOOKUP($A109,'Data Vlaue (Cr)'!$C:$FB,79)</f>
        <v>499</v>
      </c>
      <c r="O109" s="92">
        <f>VLOOKUP($A109,'Data Vlaue (Cr)'!$C:$FB,82)</f>
        <v>-5.3E-3</v>
      </c>
    </row>
    <row r="110" spans="1:15" x14ac:dyDescent="0.25">
      <c r="A110" s="97" t="str">
        <f>'Data Vlaue (Cr)'!C105</f>
        <v>ITC</v>
      </c>
      <c r="B110" s="142">
        <f>VLOOKUP(A110,'Data Vlaue (Cr)'!C105:CW319,99,0)</f>
        <v>8314</v>
      </c>
      <c r="C110" s="90">
        <f>VLOOKUP(A110,'Data Vlaue (Cr)'!C105:CY319,101,0)</f>
        <v>82</v>
      </c>
      <c r="D110" s="139">
        <f>VLOOKUP(A110,'Data Vlaue (Cr)'!C105:CZ319,102,0)</f>
        <v>0.01</v>
      </c>
      <c r="E110" s="91">
        <f>VLOOKUP($A110,'Data Vlaue (Cr)'!$C:$FB,75)</f>
        <v>5240</v>
      </c>
      <c r="F110" s="91">
        <f>VLOOKUP($A110,'Data Vlaue (Cr)'!$C:$FB,77)</f>
        <v>192</v>
      </c>
      <c r="G110" s="92">
        <f>VLOOKUP(A110,'Data Vlaue (Cr)'!C105:CB319,78,0)</f>
        <v>3.7999999999999999E-2</v>
      </c>
      <c r="H110" s="91">
        <f>VLOOKUP($A110,'Data Vlaue (Cr)'!$C:$FB,91)</f>
        <v>1835</v>
      </c>
      <c r="I110" s="91">
        <f>VLOOKUP($A110,'Data Vlaue (Cr)'!$C:$FB,93)</f>
        <v>-83</v>
      </c>
      <c r="J110" s="92">
        <f>VLOOKUP($A110,'Data Vlaue (Cr)'!$C:$FB,94)</f>
        <v>-4.3499999999999997E-2</v>
      </c>
      <c r="K110" s="91">
        <f>VLOOKUP($A110,'Data Vlaue (Cr)'!$C:$FB,95)</f>
        <v>1238</v>
      </c>
      <c r="L110" s="91">
        <f>VLOOKUP($A110,'Data Vlaue (Cr)'!$C:$FB,97)</f>
        <v>-26</v>
      </c>
      <c r="M110" s="92">
        <f>VLOOKUP($A110,'Data Vlaue (Cr)'!$C:$FB,98)</f>
        <v>-2.0799999999999999E-2</v>
      </c>
      <c r="N110" s="91">
        <f>VLOOKUP($A110,'Data Vlaue (Cr)'!$C:$FB,79)</f>
        <v>4988</v>
      </c>
      <c r="O110" s="92">
        <f>VLOOKUP($A110,'Data Vlaue (Cr)'!$C:$FB,82)</f>
        <v>3.5400000000000001E-2</v>
      </c>
    </row>
    <row r="111" spans="1:15" x14ac:dyDescent="0.25">
      <c r="A111" s="97" t="str">
        <f>'Data Vlaue (Cr)'!C106</f>
        <v>JINDALSTEL</v>
      </c>
      <c r="B111" s="142">
        <f>VLOOKUP(A111,'Data Vlaue (Cr)'!C106:CW320,99,0)</f>
        <v>2635</v>
      </c>
      <c r="C111" s="90">
        <f>VLOOKUP(A111,'Data Vlaue (Cr)'!C106:CY320,101,0)</f>
        <v>167</v>
      </c>
      <c r="D111" s="139">
        <f>VLOOKUP(A111,'Data Vlaue (Cr)'!C106:CZ320,102,0)</f>
        <v>6.7599999999999993E-2</v>
      </c>
      <c r="E111" s="91">
        <f>VLOOKUP($A111,'Data Vlaue (Cr)'!$C:$FB,75)</f>
        <v>1449</v>
      </c>
      <c r="F111" s="91">
        <f>VLOOKUP($A111,'Data Vlaue (Cr)'!$C:$FB,77)</f>
        <v>7</v>
      </c>
      <c r="G111" s="92">
        <f>VLOOKUP(A111,'Data Vlaue (Cr)'!C106:CB320,78,0)</f>
        <v>5.1000000000000004E-3</v>
      </c>
      <c r="H111" s="91">
        <f>VLOOKUP($A111,'Data Vlaue (Cr)'!$C:$FB,91)</f>
        <v>780</v>
      </c>
      <c r="I111" s="91">
        <f>VLOOKUP($A111,'Data Vlaue (Cr)'!$C:$FB,93)</f>
        <v>136</v>
      </c>
      <c r="J111" s="92">
        <f>VLOOKUP($A111,'Data Vlaue (Cr)'!$C:$FB,94)</f>
        <v>0.21160000000000001</v>
      </c>
      <c r="K111" s="91">
        <f>VLOOKUP($A111,'Data Vlaue (Cr)'!$C:$FB,95)</f>
        <v>406</v>
      </c>
      <c r="L111" s="91">
        <f>VLOOKUP($A111,'Data Vlaue (Cr)'!$C:$FB,97)</f>
        <v>23</v>
      </c>
      <c r="M111" s="92">
        <f>VLOOKUP($A111,'Data Vlaue (Cr)'!$C:$FB,98)</f>
        <v>6.0600000000000001E-2</v>
      </c>
      <c r="N111" s="91">
        <f>VLOOKUP($A111,'Data Vlaue (Cr)'!$C:$FB,79)</f>
        <v>1429</v>
      </c>
      <c r="O111" s="92">
        <f>VLOOKUP($A111,'Data Vlaue (Cr)'!$C:$FB,82)</f>
        <v>2.7000000000000001E-3</v>
      </c>
    </row>
    <row r="112" spans="1:15" x14ac:dyDescent="0.25">
      <c r="A112" s="97" t="str">
        <f>'Data Vlaue (Cr)'!C107</f>
        <v>JIOFIN</v>
      </c>
      <c r="B112" s="142">
        <f>VLOOKUP(A112,'Data Vlaue (Cr)'!C107:CW321,99,0)</f>
        <v>7091</v>
      </c>
      <c r="C112" s="90">
        <f>VLOOKUP(A112,'Data Vlaue (Cr)'!C107:CY321,101,0)</f>
        <v>93</v>
      </c>
      <c r="D112" s="139">
        <f>VLOOKUP(A112,'Data Vlaue (Cr)'!C107:CZ321,102,0)</f>
        <v>1.3299999999999999E-2</v>
      </c>
      <c r="E112" s="91">
        <f>VLOOKUP($A112,'Data Vlaue (Cr)'!$C:$FB,75)</f>
        <v>4199</v>
      </c>
      <c r="F112" s="91">
        <f>VLOOKUP($A112,'Data Vlaue (Cr)'!$C:$FB,77)</f>
        <v>22</v>
      </c>
      <c r="G112" s="92">
        <f>VLOOKUP(A112,'Data Vlaue (Cr)'!C107:CB321,78,0)</f>
        <v>5.4000000000000003E-3</v>
      </c>
      <c r="H112" s="91">
        <f>VLOOKUP($A112,'Data Vlaue (Cr)'!$C:$FB,91)</f>
        <v>1691</v>
      </c>
      <c r="I112" s="91">
        <f>VLOOKUP($A112,'Data Vlaue (Cr)'!$C:$FB,93)</f>
        <v>34</v>
      </c>
      <c r="J112" s="92">
        <f>VLOOKUP($A112,'Data Vlaue (Cr)'!$C:$FB,94)</f>
        <v>2.0400000000000001E-2</v>
      </c>
      <c r="K112" s="91">
        <f>VLOOKUP($A112,'Data Vlaue (Cr)'!$C:$FB,95)</f>
        <v>1201</v>
      </c>
      <c r="L112" s="91">
        <f>VLOOKUP($A112,'Data Vlaue (Cr)'!$C:$FB,97)</f>
        <v>37</v>
      </c>
      <c r="M112" s="92">
        <f>VLOOKUP($A112,'Data Vlaue (Cr)'!$C:$FB,98)</f>
        <v>3.1699999999999999E-2</v>
      </c>
      <c r="N112" s="91">
        <f>VLOOKUP($A112,'Data Vlaue (Cr)'!$C:$FB,79)</f>
        <v>3920</v>
      </c>
      <c r="O112" s="92">
        <f>VLOOKUP($A112,'Data Vlaue (Cr)'!$C:$FB,82)</f>
        <v>2.8E-3</v>
      </c>
    </row>
    <row r="113" spans="1:15" x14ac:dyDescent="0.25">
      <c r="A113" s="97" t="str">
        <f>'Data Vlaue (Cr)'!C108</f>
        <v>JSWENERGY</v>
      </c>
      <c r="B113" s="142">
        <f>VLOOKUP(A113,'Data Vlaue (Cr)'!C108:CW322,99,0)</f>
        <v>2747</v>
      </c>
      <c r="C113" s="90">
        <f>VLOOKUP(A113,'Data Vlaue (Cr)'!C108:CY322,101,0)</f>
        <v>-31</v>
      </c>
      <c r="D113" s="139">
        <f>VLOOKUP(A113,'Data Vlaue (Cr)'!C108:CZ322,102,0)</f>
        <v>-1.12E-2</v>
      </c>
      <c r="E113" s="91">
        <f>VLOOKUP($A113,'Data Vlaue (Cr)'!$C:$FB,75)</f>
        <v>2105</v>
      </c>
      <c r="F113" s="91">
        <f>VLOOKUP($A113,'Data Vlaue (Cr)'!$C:$FB,77)</f>
        <v>-9</v>
      </c>
      <c r="G113" s="92">
        <f>VLOOKUP(A113,'Data Vlaue (Cr)'!C108:CB322,78,0)</f>
        <v>-4.1000000000000003E-3</v>
      </c>
      <c r="H113" s="91">
        <f>VLOOKUP($A113,'Data Vlaue (Cr)'!$C:$FB,91)</f>
        <v>429</v>
      </c>
      <c r="I113" s="91">
        <f>VLOOKUP($A113,'Data Vlaue (Cr)'!$C:$FB,93)</f>
        <v>-12</v>
      </c>
      <c r="J113" s="92">
        <f>VLOOKUP($A113,'Data Vlaue (Cr)'!$C:$FB,94)</f>
        <v>-2.8199999999999999E-2</v>
      </c>
      <c r="K113" s="91">
        <f>VLOOKUP($A113,'Data Vlaue (Cr)'!$C:$FB,95)</f>
        <v>212</v>
      </c>
      <c r="L113" s="91">
        <f>VLOOKUP($A113,'Data Vlaue (Cr)'!$C:$FB,97)</f>
        <v>-10</v>
      </c>
      <c r="M113" s="92">
        <f>VLOOKUP($A113,'Data Vlaue (Cr)'!$C:$FB,98)</f>
        <v>-4.4400000000000002E-2</v>
      </c>
      <c r="N113" s="91">
        <f>VLOOKUP($A113,'Data Vlaue (Cr)'!$C:$FB,79)</f>
        <v>2082</v>
      </c>
      <c r="O113" s="92">
        <f>VLOOKUP($A113,'Data Vlaue (Cr)'!$C:$FB,82)</f>
        <v>-4.1999999999999997E-3</v>
      </c>
    </row>
    <row r="114" spans="1:15" x14ac:dyDescent="0.25">
      <c r="A114" s="97" t="str">
        <f>'Data Vlaue (Cr)'!C109</f>
        <v>JSWSTEEL</v>
      </c>
      <c r="B114" s="142">
        <f>VLOOKUP(A114,'Data Vlaue (Cr)'!C109:CW323,99,0)</f>
        <v>6431</v>
      </c>
      <c r="C114" s="90">
        <f>VLOOKUP(A114,'Data Vlaue (Cr)'!C109:CY323,101,0)</f>
        <v>-25</v>
      </c>
      <c r="D114" s="139">
        <f>VLOOKUP(A114,'Data Vlaue (Cr)'!C109:CZ323,102,0)</f>
        <v>-3.8999999999999998E-3</v>
      </c>
      <c r="E114" s="91">
        <f>VLOOKUP($A114,'Data Vlaue (Cr)'!$C:$FB,75)</f>
        <v>5268</v>
      </c>
      <c r="F114" s="91">
        <f>VLOOKUP($A114,'Data Vlaue (Cr)'!$C:$FB,77)</f>
        <v>0</v>
      </c>
      <c r="G114" s="92">
        <f>VLOOKUP(A114,'Data Vlaue (Cr)'!C109:CB323,78,0)</f>
        <v>0</v>
      </c>
      <c r="H114" s="91">
        <f>VLOOKUP($A114,'Data Vlaue (Cr)'!$C:$FB,91)</f>
        <v>704</v>
      </c>
      <c r="I114" s="91">
        <f>VLOOKUP($A114,'Data Vlaue (Cr)'!$C:$FB,93)</f>
        <v>8</v>
      </c>
      <c r="J114" s="92">
        <f>VLOOKUP($A114,'Data Vlaue (Cr)'!$C:$FB,94)</f>
        <v>1.11E-2</v>
      </c>
      <c r="K114" s="91">
        <f>VLOOKUP($A114,'Data Vlaue (Cr)'!$C:$FB,95)</f>
        <v>459</v>
      </c>
      <c r="L114" s="91">
        <f>VLOOKUP($A114,'Data Vlaue (Cr)'!$C:$FB,97)</f>
        <v>-33</v>
      </c>
      <c r="M114" s="92">
        <f>VLOOKUP($A114,'Data Vlaue (Cr)'!$C:$FB,98)</f>
        <v>-6.7699999999999996E-2</v>
      </c>
      <c r="N114" s="91">
        <f>VLOOKUP($A114,'Data Vlaue (Cr)'!$C:$FB,79)</f>
        <v>5225</v>
      </c>
      <c r="O114" s="92">
        <f>VLOOKUP($A114,'Data Vlaue (Cr)'!$C:$FB,82)</f>
        <v>-1.6000000000000001E-3</v>
      </c>
    </row>
    <row r="115" spans="1:15" x14ac:dyDescent="0.25">
      <c r="A115" s="97" t="str">
        <f>'Data Vlaue (Cr)'!C110</f>
        <v>JUBLFOOD</v>
      </c>
      <c r="B115" s="142">
        <f>VLOOKUP(A115,'Data Vlaue (Cr)'!C110:CW324,99,0)</f>
        <v>2104</v>
      </c>
      <c r="C115" s="90">
        <f>VLOOKUP(A115,'Data Vlaue (Cr)'!C110:CY324,101,0)</f>
        <v>60</v>
      </c>
      <c r="D115" s="139">
        <f>VLOOKUP(A115,'Data Vlaue (Cr)'!C110:CZ324,102,0)</f>
        <v>2.9399999999999999E-2</v>
      </c>
      <c r="E115" s="91">
        <f>VLOOKUP($A115,'Data Vlaue (Cr)'!$C:$FB,75)</f>
        <v>1322</v>
      </c>
      <c r="F115" s="91">
        <f>VLOOKUP($A115,'Data Vlaue (Cr)'!$C:$FB,77)</f>
        <v>6</v>
      </c>
      <c r="G115" s="92">
        <f>VLOOKUP(A115,'Data Vlaue (Cr)'!C110:CB324,78,0)</f>
        <v>4.3E-3</v>
      </c>
      <c r="H115" s="91">
        <f>VLOOKUP($A115,'Data Vlaue (Cr)'!$C:$FB,91)</f>
        <v>505</v>
      </c>
      <c r="I115" s="91">
        <f>VLOOKUP($A115,'Data Vlaue (Cr)'!$C:$FB,93)</f>
        <v>39</v>
      </c>
      <c r="J115" s="92">
        <f>VLOOKUP($A115,'Data Vlaue (Cr)'!$C:$FB,94)</f>
        <v>8.3799999999999999E-2</v>
      </c>
      <c r="K115" s="91">
        <f>VLOOKUP($A115,'Data Vlaue (Cr)'!$C:$FB,95)</f>
        <v>277</v>
      </c>
      <c r="L115" s="91">
        <f>VLOOKUP($A115,'Data Vlaue (Cr)'!$C:$FB,97)</f>
        <v>15</v>
      </c>
      <c r="M115" s="92">
        <f>VLOOKUP($A115,'Data Vlaue (Cr)'!$C:$FB,98)</f>
        <v>5.8799999999999998E-2</v>
      </c>
      <c r="N115" s="91">
        <f>VLOOKUP($A115,'Data Vlaue (Cr)'!$C:$FB,79)</f>
        <v>1282</v>
      </c>
      <c r="O115" s="92">
        <f>VLOOKUP($A115,'Data Vlaue (Cr)'!$C:$FB,82)</f>
        <v>4.0000000000000002E-4</v>
      </c>
    </row>
    <row r="116" spans="1:15" x14ac:dyDescent="0.25">
      <c r="A116" s="97" t="str">
        <f>'Data Vlaue (Cr)'!C111</f>
        <v>KALYANKJIL</v>
      </c>
      <c r="B116" s="142">
        <f>VLOOKUP(A116,'Data Vlaue (Cr)'!C111:CW325,99,0)</f>
        <v>2613</v>
      </c>
      <c r="C116" s="90">
        <f>VLOOKUP(A116,'Data Vlaue (Cr)'!C111:CY325,101,0)</f>
        <v>17</v>
      </c>
      <c r="D116" s="139">
        <f>VLOOKUP(A116,'Data Vlaue (Cr)'!C111:CZ325,102,0)</f>
        <v>6.4999999999999997E-3</v>
      </c>
      <c r="E116" s="91">
        <f>VLOOKUP($A116,'Data Vlaue (Cr)'!$C:$FB,75)</f>
        <v>1511</v>
      </c>
      <c r="F116" s="91">
        <f>VLOOKUP($A116,'Data Vlaue (Cr)'!$C:$FB,77)</f>
        <v>-5</v>
      </c>
      <c r="G116" s="92">
        <f>VLOOKUP(A116,'Data Vlaue (Cr)'!C111:CB325,78,0)</f>
        <v>-3.5999999999999999E-3</v>
      </c>
      <c r="H116" s="91">
        <f>VLOOKUP($A116,'Data Vlaue (Cr)'!$C:$FB,91)</f>
        <v>718</v>
      </c>
      <c r="I116" s="91">
        <f>VLOOKUP($A116,'Data Vlaue (Cr)'!$C:$FB,93)</f>
        <v>15</v>
      </c>
      <c r="J116" s="92">
        <f>VLOOKUP($A116,'Data Vlaue (Cr)'!$C:$FB,94)</f>
        <v>2.1899999999999999E-2</v>
      </c>
      <c r="K116" s="91">
        <f>VLOOKUP($A116,'Data Vlaue (Cr)'!$C:$FB,95)</f>
        <v>384</v>
      </c>
      <c r="L116" s="91">
        <f>VLOOKUP($A116,'Data Vlaue (Cr)'!$C:$FB,97)</f>
        <v>7</v>
      </c>
      <c r="M116" s="92">
        <f>VLOOKUP($A116,'Data Vlaue (Cr)'!$C:$FB,98)</f>
        <v>1.8200000000000001E-2</v>
      </c>
      <c r="N116" s="91">
        <f>VLOOKUP($A116,'Data Vlaue (Cr)'!$C:$FB,79)</f>
        <v>1456</v>
      </c>
      <c r="O116" s="92">
        <f>VLOOKUP($A116,'Data Vlaue (Cr)'!$C:$FB,82)</f>
        <v>-3.3E-3</v>
      </c>
    </row>
    <row r="117" spans="1:15" x14ac:dyDescent="0.25">
      <c r="A117" s="97" t="str">
        <f>'Data Vlaue (Cr)'!C112</f>
        <v>KAYNES</v>
      </c>
      <c r="B117" s="142">
        <f>VLOOKUP(A117,'Data Vlaue (Cr)'!C112:CW326,99,0)</f>
        <v>2665</v>
      </c>
      <c r="C117" s="90">
        <f>VLOOKUP(A117,'Data Vlaue (Cr)'!C112:CY326,101,0)</f>
        <v>62</v>
      </c>
      <c r="D117" s="139">
        <f>VLOOKUP(A117,'Data Vlaue (Cr)'!C112:CZ326,102,0)</f>
        <v>2.3800000000000002E-2</v>
      </c>
      <c r="E117" s="91">
        <f>VLOOKUP($A117,'Data Vlaue (Cr)'!$C:$FB,75)</f>
        <v>978</v>
      </c>
      <c r="F117" s="91">
        <f>VLOOKUP($A117,'Data Vlaue (Cr)'!$C:$FB,77)</f>
        <v>12</v>
      </c>
      <c r="G117" s="92">
        <f>VLOOKUP(A117,'Data Vlaue (Cr)'!C112:CB326,78,0)</f>
        <v>1.23E-2</v>
      </c>
      <c r="H117" s="91">
        <f>VLOOKUP($A117,'Data Vlaue (Cr)'!$C:$FB,91)</f>
        <v>1130</v>
      </c>
      <c r="I117" s="91">
        <f>VLOOKUP($A117,'Data Vlaue (Cr)'!$C:$FB,93)</f>
        <v>25</v>
      </c>
      <c r="J117" s="92">
        <f>VLOOKUP($A117,'Data Vlaue (Cr)'!$C:$FB,94)</f>
        <v>2.23E-2</v>
      </c>
      <c r="K117" s="91">
        <f>VLOOKUP($A117,'Data Vlaue (Cr)'!$C:$FB,95)</f>
        <v>556</v>
      </c>
      <c r="L117" s="91">
        <f>VLOOKUP($A117,'Data Vlaue (Cr)'!$C:$FB,97)</f>
        <v>25</v>
      </c>
      <c r="M117" s="92">
        <f>VLOOKUP($A117,'Data Vlaue (Cr)'!$C:$FB,98)</f>
        <v>4.7899999999999998E-2</v>
      </c>
      <c r="N117" s="91">
        <f>VLOOKUP($A117,'Data Vlaue (Cr)'!$C:$FB,79)</f>
        <v>931</v>
      </c>
      <c r="O117" s="92">
        <f>VLOOKUP($A117,'Data Vlaue (Cr)'!$C:$FB,82)</f>
        <v>9.2999999999999992E-3</v>
      </c>
    </row>
    <row r="118" spans="1:15" x14ac:dyDescent="0.25">
      <c r="A118" s="97" t="str">
        <f>'Data Vlaue (Cr)'!C113</f>
        <v>KEI</v>
      </c>
      <c r="B118" s="142">
        <f>VLOOKUP(A118,'Data Vlaue (Cr)'!C113:CW327,99,0)</f>
        <v>908</v>
      </c>
      <c r="C118" s="90">
        <f>VLOOKUP(A118,'Data Vlaue (Cr)'!C113:CY327,101,0)</f>
        <v>-7</v>
      </c>
      <c r="D118" s="139">
        <f>VLOOKUP(A118,'Data Vlaue (Cr)'!C113:CZ327,102,0)</f>
        <v>-7.7999999999999996E-3</v>
      </c>
      <c r="E118" s="91">
        <f>VLOOKUP($A118,'Data Vlaue (Cr)'!$C:$FB,75)</f>
        <v>614</v>
      </c>
      <c r="F118" s="91">
        <f>VLOOKUP($A118,'Data Vlaue (Cr)'!$C:$FB,77)</f>
        <v>-3</v>
      </c>
      <c r="G118" s="92">
        <f>VLOOKUP(A118,'Data Vlaue (Cr)'!C113:CB327,78,0)</f>
        <v>-4.7000000000000002E-3</v>
      </c>
      <c r="H118" s="91">
        <f>VLOOKUP($A118,'Data Vlaue (Cr)'!$C:$FB,91)</f>
        <v>162</v>
      </c>
      <c r="I118" s="91">
        <f>VLOOKUP($A118,'Data Vlaue (Cr)'!$C:$FB,93)</f>
        <v>-8</v>
      </c>
      <c r="J118" s="92">
        <f>VLOOKUP($A118,'Data Vlaue (Cr)'!$C:$FB,94)</f>
        <v>-4.6399999999999997E-2</v>
      </c>
      <c r="K118" s="91">
        <f>VLOOKUP($A118,'Data Vlaue (Cr)'!$C:$FB,95)</f>
        <v>132</v>
      </c>
      <c r="L118" s="91">
        <f>VLOOKUP($A118,'Data Vlaue (Cr)'!$C:$FB,97)</f>
        <v>4</v>
      </c>
      <c r="M118" s="92">
        <f>VLOOKUP($A118,'Data Vlaue (Cr)'!$C:$FB,98)</f>
        <v>2.87E-2</v>
      </c>
      <c r="N118" s="91">
        <f>VLOOKUP($A118,'Data Vlaue (Cr)'!$C:$FB,79)</f>
        <v>608</v>
      </c>
      <c r="O118" s="92">
        <f>VLOOKUP($A118,'Data Vlaue (Cr)'!$C:$FB,82)</f>
        <v>-4.1000000000000003E-3</v>
      </c>
    </row>
    <row r="119" spans="1:15" x14ac:dyDescent="0.25">
      <c r="A119" s="97" t="str">
        <f>'Data Vlaue (Cr)'!C114</f>
        <v>KFINTECH</v>
      </c>
      <c r="B119" s="142">
        <f>VLOOKUP(A119,'Data Vlaue (Cr)'!C114:CW328,99,0)</f>
        <v>471</v>
      </c>
      <c r="C119" s="90">
        <f>VLOOKUP(A119,'Data Vlaue (Cr)'!C114:CY328,101,0)</f>
        <v>-12</v>
      </c>
      <c r="D119" s="139">
        <f>VLOOKUP(A119,'Data Vlaue (Cr)'!C114:CZ328,102,0)</f>
        <v>-2.4299999999999999E-2</v>
      </c>
      <c r="E119" s="91">
        <f>VLOOKUP($A119,'Data Vlaue (Cr)'!$C:$FB,75)</f>
        <v>275</v>
      </c>
      <c r="F119" s="91">
        <f>VLOOKUP($A119,'Data Vlaue (Cr)'!$C:$FB,77)</f>
        <v>-12</v>
      </c>
      <c r="G119" s="92">
        <f>VLOOKUP(A119,'Data Vlaue (Cr)'!C114:CB328,78,0)</f>
        <v>-4.1599999999999998E-2</v>
      </c>
      <c r="H119" s="91">
        <f>VLOOKUP($A119,'Data Vlaue (Cr)'!$C:$FB,91)</f>
        <v>112</v>
      </c>
      <c r="I119" s="91">
        <f>VLOOKUP($A119,'Data Vlaue (Cr)'!$C:$FB,93)</f>
        <v>-16</v>
      </c>
      <c r="J119" s="92">
        <f>VLOOKUP($A119,'Data Vlaue (Cr)'!$C:$FB,94)</f>
        <v>-0.1237</v>
      </c>
      <c r="K119" s="91">
        <f>VLOOKUP($A119,'Data Vlaue (Cr)'!$C:$FB,95)</f>
        <v>84</v>
      </c>
      <c r="L119" s="91">
        <f>VLOOKUP($A119,'Data Vlaue (Cr)'!$C:$FB,97)</f>
        <v>16</v>
      </c>
      <c r="M119" s="92">
        <f>VLOOKUP($A119,'Data Vlaue (Cr)'!$C:$FB,98)</f>
        <v>0.2366</v>
      </c>
      <c r="N119" s="91">
        <f>VLOOKUP($A119,'Data Vlaue (Cr)'!$C:$FB,79)</f>
        <v>260</v>
      </c>
      <c r="O119" s="92">
        <f>VLOOKUP($A119,'Data Vlaue (Cr)'!$C:$FB,82)</f>
        <v>-4.6300000000000001E-2</v>
      </c>
    </row>
    <row r="120" spans="1:15" x14ac:dyDescent="0.25">
      <c r="A120" s="97" t="str">
        <f>'Data Vlaue (Cr)'!C115</f>
        <v>KOTAKBANK</v>
      </c>
      <c r="B120" s="142">
        <f>VLOOKUP(A120,'Data Vlaue (Cr)'!C115:CW329,99,0)</f>
        <v>11026</v>
      </c>
      <c r="C120" s="90">
        <f>VLOOKUP(A120,'Data Vlaue (Cr)'!C115:CY329,101,0)</f>
        <v>-11</v>
      </c>
      <c r="D120" s="139">
        <f>VLOOKUP(A120,'Data Vlaue (Cr)'!C115:CZ329,102,0)</f>
        <v>-1E-3</v>
      </c>
      <c r="E120" s="91">
        <f>VLOOKUP($A120,'Data Vlaue (Cr)'!$C:$FB,75)</f>
        <v>7280</v>
      </c>
      <c r="F120" s="91">
        <f>VLOOKUP($A120,'Data Vlaue (Cr)'!$C:$FB,77)</f>
        <v>-64</v>
      </c>
      <c r="G120" s="92">
        <f>VLOOKUP(A120,'Data Vlaue (Cr)'!C115:CB329,78,0)</f>
        <v>-8.6999999999999994E-3</v>
      </c>
      <c r="H120" s="91">
        <f>VLOOKUP($A120,'Data Vlaue (Cr)'!$C:$FB,91)</f>
        <v>1815</v>
      </c>
      <c r="I120" s="91">
        <f>VLOOKUP($A120,'Data Vlaue (Cr)'!$C:$FB,93)</f>
        <v>18</v>
      </c>
      <c r="J120" s="92">
        <f>VLOOKUP($A120,'Data Vlaue (Cr)'!$C:$FB,94)</f>
        <v>9.7999999999999997E-3</v>
      </c>
      <c r="K120" s="91">
        <f>VLOOKUP($A120,'Data Vlaue (Cr)'!$C:$FB,95)</f>
        <v>1930</v>
      </c>
      <c r="L120" s="91">
        <f>VLOOKUP($A120,'Data Vlaue (Cr)'!$C:$FB,97)</f>
        <v>35</v>
      </c>
      <c r="M120" s="92">
        <f>VLOOKUP($A120,'Data Vlaue (Cr)'!$C:$FB,98)</f>
        <v>1.84E-2</v>
      </c>
      <c r="N120" s="91">
        <f>VLOOKUP($A120,'Data Vlaue (Cr)'!$C:$FB,79)</f>
        <v>6979</v>
      </c>
      <c r="O120" s="92">
        <f>VLOOKUP($A120,'Data Vlaue (Cr)'!$C:$FB,82)</f>
        <v>-1.15E-2</v>
      </c>
    </row>
    <row r="121" spans="1:15" x14ac:dyDescent="0.25">
      <c r="A121" s="97" t="str">
        <f>'Data Vlaue (Cr)'!C116</f>
        <v>KPITTECH</v>
      </c>
      <c r="B121" s="142">
        <f>VLOOKUP(A121,'Data Vlaue (Cr)'!C116:CW330,99,0)</f>
        <v>1208</v>
      </c>
      <c r="C121" s="90">
        <f>VLOOKUP(A121,'Data Vlaue (Cr)'!C116:CY330,101,0)</f>
        <v>26</v>
      </c>
      <c r="D121" s="139">
        <f>VLOOKUP(A121,'Data Vlaue (Cr)'!C116:CZ330,102,0)</f>
        <v>2.1999999999999999E-2</v>
      </c>
      <c r="E121" s="91">
        <f>VLOOKUP($A121,'Data Vlaue (Cr)'!$C:$FB,75)</f>
        <v>555</v>
      </c>
      <c r="F121" s="91">
        <f>VLOOKUP($A121,'Data Vlaue (Cr)'!$C:$FB,77)</f>
        <v>-8</v>
      </c>
      <c r="G121" s="92">
        <f>VLOOKUP(A121,'Data Vlaue (Cr)'!C116:CB330,78,0)</f>
        <v>-1.34E-2</v>
      </c>
      <c r="H121" s="91">
        <f>VLOOKUP($A121,'Data Vlaue (Cr)'!$C:$FB,91)</f>
        <v>394</v>
      </c>
      <c r="I121" s="91">
        <f>VLOOKUP($A121,'Data Vlaue (Cr)'!$C:$FB,93)</f>
        <v>17</v>
      </c>
      <c r="J121" s="92">
        <f>VLOOKUP($A121,'Data Vlaue (Cr)'!$C:$FB,94)</f>
        <v>4.5199999999999997E-2</v>
      </c>
      <c r="K121" s="91">
        <f>VLOOKUP($A121,'Data Vlaue (Cr)'!$C:$FB,95)</f>
        <v>259</v>
      </c>
      <c r="L121" s="91">
        <f>VLOOKUP($A121,'Data Vlaue (Cr)'!$C:$FB,97)</f>
        <v>17</v>
      </c>
      <c r="M121" s="92">
        <f>VLOOKUP($A121,'Data Vlaue (Cr)'!$C:$FB,98)</f>
        <v>6.83E-2</v>
      </c>
      <c r="N121" s="91">
        <f>VLOOKUP($A121,'Data Vlaue (Cr)'!$C:$FB,79)</f>
        <v>516</v>
      </c>
      <c r="O121" s="92">
        <f>VLOOKUP($A121,'Data Vlaue (Cr)'!$C:$FB,82)</f>
        <v>-2.1499999999999998E-2</v>
      </c>
    </row>
    <row r="122" spans="1:15" x14ac:dyDescent="0.25">
      <c r="A122" s="97" t="str">
        <f>'Data Vlaue (Cr)'!C117</f>
        <v>LAURUSLABS</v>
      </c>
      <c r="B122" s="142">
        <f>VLOOKUP(A122,'Data Vlaue (Cr)'!C117:CW331,99,0)</f>
        <v>3748</v>
      </c>
      <c r="C122" s="90">
        <f>VLOOKUP(A122,'Data Vlaue (Cr)'!C117:CY331,101,0)</f>
        <v>264</v>
      </c>
      <c r="D122" s="139">
        <f>VLOOKUP(A122,'Data Vlaue (Cr)'!C117:CZ331,102,0)</f>
        <v>7.5700000000000003E-2</v>
      </c>
      <c r="E122" s="91">
        <f>VLOOKUP($A122,'Data Vlaue (Cr)'!$C:$FB,75)</f>
        <v>1920</v>
      </c>
      <c r="F122" s="91">
        <f>VLOOKUP($A122,'Data Vlaue (Cr)'!$C:$FB,77)</f>
        <v>65</v>
      </c>
      <c r="G122" s="92">
        <f>VLOOKUP(A122,'Data Vlaue (Cr)'!C117:CB331,78,0)</f>
        <v>3.5299999999999998E-2</v>
      </c>
      <c r="H122" s="91">
        <f>VLOOKUP($A122,'Data Vlaue (Cr)'!$C:$FB,91)</f>
        <v>1172</v>
      </c>
      <c r="I122" s="91">
        <f>VLOOKUP($A122,'Data Vlaue (Cr)'!$C:$FB,93)</f>
        <v>118</v>
      </c>
      <c r="J122" s="92">
        <f>VLOOKUP($A122,'Data Vlaue (Cr)'!$C:$FB,94)</f>
        <v>0.1123</v>
      </c>
      <c r="K122" s="91">
        <f>VLOOKUP($A122,'Data Vlaue (Cr)'!$C:$FB,95)</f>
        <v>656</v>
      </c>
      <c r="L122" s="91">
        <f>VLOOKUP($A122,'Data Vlaue (Cr)'!$C:$FB,97)</f>
        <v>80</v>
      </c>
      <c r="M122" s="92">
        <f>VLOOKUP($A122,'Data Vlaue (Cr)'!$C:$FB,98)</f>
        <v>0.13869999999999999</v>
      </c>
      <c r="N122" s="91">
        <f>VLOOKUP($A122,'Data Vlaue (Cr)'!$C:$FB,79)</f>
        <v>1820</v>
      </c>
      <c r="O122" s="92">
        <f>VLOOKUP($A122,'Data Vlaue (Cr)'!$C:$FB,82)</f>
        <v>1.7500000000000002E-2</v>
      </c>
    </row>
    <row r="123" spans="1:15" x14ac:dyDescent="0.25">
      <c r="A123" s="97" t="str">
        <f>'Data Vlaue (Cr)'!C118</f>
        <v>LICHSGFIN</v>
      </c>
      <c r="B123" s="142">
        <f>VLOOKUP(A123,'Data Vlaue (Cr)'!C118:CW332,99,0)</f>
        <v>2740</v>
      </c>
      <c r="C123" s="90">
        <f>VLOOKUP(A123,'Data Vlaue (Cr)'!C118:CY332,101,0)</f>
        <v>7</v>
      </c>
      <c r="D123" s="139">
        <f>VLOOKUP(A123,'Data Vlaue (Cr)'!C118:CZ332,102,0)</f>
        <v>2.3999999999999998E-3</v>
      </c>
      <c r="E123" s="91">
        <f>VLOOKUP($A123,'Data Vlaue (Cr)'!$C:$FB,75)</f>
        <v>1844</v>
      </c>
      <c r="F123" s="91">
        <f>VLOOKUP($A123,'Data Vlaue (Cr)'!$C:$FB,77)</f>
        <v>-1</v>
      </c>
      <c r="G123" s="92">
        <f>VLOOKUP(A123,'Data Vlaue (Cr)'!C118:CB332,78,0)</f>
        <v>-5.0000000000000001E-4</v>
      </c>
      <c r="H123" s="91">
        <f>VLOOKUP($A123,'Data Vlaue (Cr)'!$C:$FB,91)</f>
        <v>518</v>
      </c>
      <c r="I123" s="91">
        <f>VLOOKUP($A123,'Data Vlaue (Cr)'!$C:$FB,93)</f>
        <v>6</v>
      </c>
      <c r="J123" s="92">
        <f>VLOOKUP($A123,'Data Vlaue (Cr)'!$C:$FB,94)</f>
        <v>1.0800000000000001E-2</v>
      </c>
      <c r="K123" s="91">
        <f>VLOOKUP($A123,'Data Vlaue (Cr)'!$C:$FB,95)</f>
        <v>378</v>
      </c>
      <c r="L123" s="91">
        <f>VLOOKUP($A123,'Data Vlaue (Cr)'!$C:$FB,97)</f>
        <v>2</v>
      </c>
      <c r="M123" s="92">
        <f>VLOOKUP($A123,'Data Vlaue (Cr)'!$C:$FB,98)</f>
        <v>5.5999999999999999E-3</v>
      </c>
      <c r="N123" s="91">
        <f>VLOOKUP($A123,'Data Vlaue (Cr)'!$C:$FB,79)</f>
        <v>1773</v>
      </c>
      <c r="O123" s="92">
        <f>VLOOKUP($A123,'Data Vlaue (Cr)'!$C:$FB,82)</f>
        <v>-2.3999999999999998E-3</v>
      </c>
    </row>
    <row r="124" spans="1:15" x14ac:dyDescent="0.25">
      <c r="A124" s="97" t="str">
        <f>'Data Vlaue (Cr)'!C119</f>
        <v>LICI</v>
      </c>
      <c r="B124" s="142">
        <f>VLOOKUP(A124,'Data Vlaue (Cr)'!C119:CW333,99,0)</f>
        <v>1321</v>
      </c>
      <c r="C124" s="90">
        <f>VLOOKUP(A124,'Data Vlaue (Cr)'!C119:CY333,101,0)</f>
        <v>17</v>
      </c>
      <c r="D124" s="139">
        <f>VLOOKUP(A124,'Data Vlaue (Cr)'!C119:CZ333,102,0)</f>
        <v>1.3100000000000001E-2</v>
      </c>
      <c r="E124" s="91">
        <f>VLOOKUP($A124,'Data Vlaue (Cr)'!$C:$FB,75)</f>
        <v>720</v>
      </c>
      <c r="F124" s="91">
        <f>VLOOKUP($A124,'Data Vlaue (Cr)'!$C:$FB,77)</f>
        <v>2</v>
      </c>
      <c r="G124" s="92">
        <f>VLOOKUP(A124,'Data Vlaue (Cr)'!C119:CB333,78,0)</f>
        <v>3.3E-3</v>
      </c>
      <c r="H124" s="91">
        <f>VLOOKUP($A124,'Data Vlaue (Cr)'!$C:$FB,91)</f>
        <v>423</v>
      </c>
      <c r="I124" s="91">
        <f>VLOOKUP($A124,'Data Vlaue (Cr)'!$C:$FB,93)</f>
        <v>12</v>
      </c>
      <c r="J124" s="92">
        <f>VLOOKUP($A124,'Data Vlaue (Cr)'!$C:$FB,94)</f>
        <v>2.9000000000000001E-2</v>
      </c>
      <c r="K124" s="91">
        <f>VLOOKUP($A124,'Data Vlaue (Cr)'!$C:$FB,95)</f>
        <v>178</v>
      </c>
      <c r="L124" s="91">
        <f>VLOOKUP($A124,'Data Vlaue (Cr)'!$C:$FB,97)</f>
        <v>3</v>
      </c>
      <c r="M124" s="92">
        <f>VLOOKUP($A124,'Data Vlaue (Cr)'!$C:$FB,98)</f>
        <v>1.5800000000000002E-2</v>
      </c>
      <c r="N124" s="91">
        <f>VLOOKUP($A124,'Data Vlaue (Cr)'!$C:$FB,79)</f>
        <v>668</v>
      </c>
      <c r="O124" s="92">
        <f>VLOOKUP($A124,'Data Vlaue (Cr)'!$C:$FB,82)</f>
        <v>1.4E-3</v>
      </c>
    </row>
    <row r="125" spans="1:15" x14ac:dyDescent="0.25">
      <c r="A125" s="97" t="str">
        <f>'Data Vlaue (Cr)'!C120</f>
        <v>LODHA</v>
      </c>
      <c r="B125" s="142">
        <f>VLOOKUP(A125,'Data Vlaue (Cr)'!C120:CW334,99,0)</f>
        <v>2098</v>
      </c>
      <c r="C125" s="90">
        <f>VLOOKUP(A125,'Data Vlaue (Cr)'!C120:CY334,101,0)</f>
        <v>-12</v>
      </c>
      <c r="D125" s="139">
        <f>VLOOKUP(A125,'Data Vlaue (Cr)'!C120:CZ334,102,0)</f>
        <v>-5.5999999999999999E-3</v>
      </c>
      <c r="E125" s="91">
        <f>VLOOKUP($A125,'Data Vlaue (Cr)'!$C:$FB,75)</f>
        <v>1446</v>
      </c>
      <c r="F125" s="91">
        <f>VLOOKUP($A125,'Data Vlaue (Cr)'!$C:$FB,77)</f>
        <v>-7</v>
      </c>
      <c r="G125" s="92">
        <f>VLOOKUP(A125,'Data Vlaue (Cr)'!C120:CB334,78,0)</f>
        <v>-4.7999999999999996E-3</v>
      </c>
      <c r="H125" s="91">
        <f>VLOOKUP($A125,'Data Vlaue (Cr)'!$C:$FB,91)</f>
        <v>397</v>
      </c>
      <c r="I125" s="91">
        <f>VLOOKUP($A125,'Data Vlaue (Cr)'!$C:$FB,93)</f>
        <v>-7</v>
      </c>
      <c r="J125" s="92">
        <f>VLOOKUP($A125,'Data Vlaue (Cr)'!$C:$FB,94)</f>
        <v>-1.6199999999999999E-2</v>
      </c>
      <c r="K125" s="91">
        <f>VLOOKUP($A125,'Data Vlaue (Cr)'!$C:$FB,95)</f>
        <v>254</v>
      </c>
      <c r="L125" s="91">
        <f>VLOOKUP($A125,'Data Vlaue (Cr)'!$C:$FB,97)</f>
        <v>2</v>
      </c>
      <c r="M125" s="92">
        <f>VLOOKUP($A125,'Data Vlaue (Cr)'!$C:$FB,98)</f>
        <v>6.6E-3</v>
      </c>
      <c r="N125" s="91">
        <f>VLOOKUP($A125,'Data Vlaue (Cr)'!$C:$FB,79)</f>
        <v>1396</v>
      </c>
      <c r="O125" s="92">
        <f>VLOOKUP($A125,'Data Vlaue (Cr)'!$C:$FB,82)</f>
        <v>-1.8E-3</v>
      </c>
    </row>
    <row r="126" spans="1:15" x14ac:dyDescent="0.25">
      <c r="A126" s="97" t="str">
        <f>'Data Vlaue (Cr)'!C121</f>
        <v>LT</v>
      </c>
      <c r="B126" s="142">
        <f>VLOOKUP(A126,'Data Vlaue (Cr)'!C121:CW335,99,0)</f>
        <v>9684</v>
      </c>
      <c r="C126" s="90">
        <f>VLOOKUP(A126,'Data Vlaue (Cr)'!C121:CY335,101,0)</f>
        <v>224</v>
      </c>
      <c r="D126" s="139">
        <f>VLOOKUP(A126,'Data Vlaue (Cr)'!C121:CZ335,102,0)</f>
        <v>2.3699999999999999E-2</v>
      </c>
      <c r="E126" s="91">
        <f>VLOOKUP($A126,'Data Vlaue (Cr)'!$C:$FB,75)</f>
        <v>6090</v>
      </c>
      <c r="F126" s="91">
        <f>VLOOKUP($A126,'Data Vlaue (Cr)'!$C:$FB,77)</f>
        <v>-53</v>
      </c>
      <c r="G126" s="92">
        <f>VLOOKUP(A126,'Data Vlaue (Cr)'!C121:CB335,78,0)</f>
        <v>-8.6999999999999994E-3</v>
      </c>
      <c r="H126" s="91">
        <f>VLOOKUP($A126,'Data Vlaue (Cr)'!$C:$FB,91)</f>
        <v>2399</v>
      </c>
      <c r="I126" s="91">
        <f>VLOOKUP($A126,'Data Vlaue (Cr)'!$C:$FB,93)</f>
        <v>191</v>
      </c>
      <c r="J126" s="92">
        <f>VLOOKUP($A126,'Data Vlaue (Cr)'!$C:$FB,94)</f>
        <v>8.6300000000000002E-2</v>
      </c>
      <c r="K126" s="91">
        <f>VLOOKUP($A126,'Data Vlaue (Cr)'!$C:$FB,95)</f>
        <v>1195</v>
      </c>
      <c r="L126" s="91">
        <f>VLOOKUP($A126,'Data Vlaue (Cr)'!$C:$FB,97)</f>
        <v>87</v>
      </c>
      <c r="M126" s="92">
        <f>VLOOKUP($A126,'Data Vlaue (Cr)'!$C:$FB,98)</f>
        <v>7.8200000000000006E-2</v>
      </c>
      <c r="N126" s="91">
        <f>VLOOKUP($A126,'Data Vlaue (Cr)'!$C:$FB,79)</f>
        <v>5903</v>
      </c>
      <c r="O126" s="92">
        <f>VLOOKUP($A126,'Data Vlaue (Cr)'!$C:$FB,82)</f>
        <v>-1.4200000000000001E-2</v>
      </c>
    </row>
    <row r="127" spans="1:15" x14ac:dyDescent="0.25">
      <c r="A127" s="97" t="str">
        <f>'Data Vlaue (Cr)'!C122</f>
        <v>LTF</v>
      </c>
      <c r="B127" s="142">
        <f>VLOOKUP(A127,'Data Vlaue (Cr)'!C122:CW336,99,0)</f>
        <v>2612</v>
      </c>
      <c r="C127" s="90">
        <f>VLOOKUP(A127,'Data Vlaue (Cr)'!C122:CY336,101,0)</f>
        <v>71</v>
      </c>
      <c r="D127" s="139">
        <f>VLOOKUP(A127,'Data Vlaue (Cr)'!C122:CZ336,102,0)</f>
        <v>2.7799999999999998E-2</v>
      </c>
      <c r="E127" s="91">
        <f>VLOOKUP($A127,'Data Vlaue (Cr)'!$C:$FB,75)</f>
        <v>1288</v>
      </c>
      <c r="F127" s="91">
        <f>VLOOKUP($A127,'Data Vlaue (Cr)'!$C:$FB,77)</f>
        <v>16</v>
      </c>
      <c r="G127" s="92">
        <f>VLOOKUP(A127,'Data Vlaue (Cr)'!C122:CB336,78,0)</f>
        <v>1.26E-2</v>
      </c>
      <c r="H127" s="91">
        <f>VLOOKUP($A127,'Data Vlaue (Cr)'!$C:$FB,91)</f>
        <v>704</v>
      </c>
      <c r="I127" s="91">
        <f>VLOOKUP($A127,'Data Vlaue (Cr)'!$C:$FB,93)</f>
        <v>40</v>
      </c>
      <c r="J127" s="92">
        <f>VLOOKUP($A127,'Data Vlaue (Cr)'!$C:$FB,94)</f>
        <v>6.0100000000000001E-2</v>
      </c>
      <c r="K127" s="91">
        <f>VLOOKUP($A127,'Data Vlaue (Cr)'!$C:$FB,95)</f>
        <v>620</v>
      </c>
      <c r="L127" s="91">
        <f>VLOOKUP($A127,'Data Vlaue (Cr)'!$C:$FB,97)</f>
        <v>15</v>
      </c>
      <c r="M127" s="92">
        <f>VLOOKUP($A127,'Data Vlaue (Cr)'!$C:$FB,98)</f>
        <v>2.41E-2</v>
      </c>
      <c r="N127" s="91">
        <f>VLOOKUP($A127,'Data Vlaue (Cr)'!$C:$FB,79)</f>
        <v>1231</v>
      </c>
      <c r="O127" s="92">
        <f>VLOOKUP($A127,'Data Vlaue (Cr)'!$C:$FB,82)</f>
        <v>7.1999999999999998E-3</v>
      </c>
    </row>
    <row r="128" spans="1:15" x14ac:dyDescent="0.25">
      <c r="A128" s="97" t="str">
        <f>'Data Vlaue (Cr)'!C123</f>
        <v>LTIM</v>
      </c>
      <c r="B128" s="142">
        <f>VLOOKUP(A128,'Data Vlaue (Cr)'!C123:CW337,99,0)</f>
        <v>2292</v>
      </c>
      <c r="C128" s="90">
        <f>VLOOKUP(A128,'Data Vlaue (Cr)'!C123:CY337,101,0)</f>
        <v>66</v>
      </c>
      <c r="D128" s="139">
        <f>VLOOKUP(A128,'Data Vlaue (Cr)'!C123:CZ337,102,0)</f>
        <v>2.9700000000000001E-2</v>
      </c>
      <c r="E128" s="91">
        <f>VLOOKUP($A128,'Data Vlaue (Cr)'!$C:$FB,75)</f>
        <v>1525</v>
      </c>
      <c r="F128" s="91">
        <f>VLOOKUP($A128,'Data Vlaue (Cr)'!$C:$FB,77)</f>
        <v>50</v>
      </c>
      <c r="G128" s="92">
        <f>VLOOKUP(A128,'Data Vlaue (Cr)'!C123:CB337,78,0)</f>
        <v>3.3700000000000001E-2</v>
      </c>
      <c r="H128" s="91">
        <f>VLOOKUP($A128,'Data Vlaue (Cr)'!$C:$FB,91)</f>
        <v>444</v>
      </c>
      <c r="I128" s="91">
        <f>VLOOKUP($A128,'Data Vlaue (Cr)'!$C:$FB,93)</f>
        <v>8</v>
      </c>
      <c r="J128" s="92">
        <f>VLOOKUP($A128,'Data Vlaue (Cr)'!$C:$FB,94)</f>
        <v>1.7500000000000002E-2</v>
      </c>
      <c r="K128" s="91">
        <f>VLOOKUP($A128,'Data Vlaue (Cr)'!$C:$FB,95)</f>
        <v>324</v>
      </c>
      <c r="L128" s="91">
        <f>VLOOKUP($A128,'Data Vlaue (Cr)'!$C:$FB,97)</f>
        <v>9</v>
      </c>
      <c r="M128" s="92">
        <f>VLOOKUP($A128,'Data Vlaue (Cr)'!$C:$FB,98)</f>
        <v>2.7900000000000001E-2</v>
      </c>
      <c r="N128" s="91">
        <f>VLOOKUP($A128,'Data Vlaue (Cr)'!$C:$FB,79)</f>
        <v>1451</v>
      </c>
      <c r="O128" s="92">
        <f>VLOOKUP($A128,'Data Vlaue (Cr)'!$C:$FB,82)</f>
        <v>2.8500000000000001E-2</v>
      </c>
    </row>
    <row r="129" spans="1:15" x14ac:dyDescent="0.25">
      <c r="A129" s="97" t="str">
        <f>'Data Vlaue (Cr)'!C124</f>
        <v>LUPIN</v>
      </c>
      <c r="B129" s="142">
        <f>VLOOKUP(A129,'Data Vlaue (Cr)'!C124:CW338,99,0)</f>
        <v>3327</v>
      </c>
      <c r="C129" s="90">
        <f>VLOOKUP(A129,'Data Vlaue (Cr)'!C124:CY338,101,0)</f>
        <v>-17</v>
      </c>
      <c r="D129" s="139">
        <f>VLOOKUP(A129,'Data Vlaue (Cr)'!C124:CZ338,102,0)</f>
        <v>-5.1000000000000004E-3</v>
      </c>
      <c r="E129" s="91">
        <f>VLOOKUP($A129,'Data Vlaue (Cr)'!$C:$FB,75)</f>
        <v>2252</v>
      </c>
      <c r="F129" s="91">
        <f>VLOOKUP($A129,'Data Vlaue (Cr)'!$C:$FB,77)</f>
        <v>27</v>
      </c>
      <c r="G129" s="92">
        <f>VLOOKUP(A129,'Data Vlaue (Cr)'!C124:CB338,78,0)</f>
        <v>1.2200000000000001E-2</v>
      </c>
      <c r="H129" s="91">
        <f>VLOOKUP($A129,'Data Vlaue (Cr)'!$C:$FB,91)</f>
        <v>642</v>
      </c>
      <c r="I129" s="91">
        <f>VLOOKUP($A129,'Data Vlaue (Cr)'!$C:$FB,93)</f>
        <v>-28</v>
      </c>
      <c r="J129" s="92">
        <f>VLOOKUP($A129,'Data Vlaue (Cr)'!$C:$FB,94)</f>
        <v>-4.1200000000000001E-2</v>
      </c>
      <c r="K129" s="91">
        <f>VLOOKUP($A129,'Data Vlaue (Cr)'!$C:$FB,95)</f>
        <v>434</v>
      </c>
      <c r="L129" s="91">
        <f>VLOOKUP($A129,'Data Vlaue (Cr)'!$C:$FB,97)</f>
        <v>-17</v>
      </c>
      <c r="M129" s="92">
        <f>VLOOKUP($A129,'Data Vlaue (Cr)'!$C:$FB,98)</f>
        <v>-3.73E-2</v>
      </c>
      <c r="N129" s="91">
        <f>VLOOKUP($A129,'Data Vlaue (Cr)'!$C:$FB,79)</f>
        <v>2217</v>
      </c>
      <c r="O129" s="92">
        <f>VLOOKUP($A129,'Data Vlaue (Cr)'!$C:$FB,82)</f>
        <v>1.17E-2</v>
      </c>
    </row>
    <row r="130" spans="1:15" x14ac:dyDescent="0.25">
      <c r="A130" s="97" t="str">
        <f>'Data Vlaue (Cr)'!C125</f>
        <v>M&amp;M</v>
      </c>
      <c r="B130" s="142">
        <f>VLOOKUP(A130,'Data Vlaue (Cr)'!C125:CW339,99,0)</f>
        <v>10259</v>
      </c>
      <c r="C130" s="90">
        <f>VLOOKUP(A130,'Data Vlaue (Cr)'!C125:CY339,101,0)</f>
        <v>99</v>
      </c>
      <c r="D130" s="139">
        <f>VLOOKUP(A130,'Data Vlaue (Cr)'!C125:CZ339,102,0)</f>
        <v>9.7000000000000003E-3</v>
      </c>
      <c r="E130" s="91">
        <f>VLOOKUP($A130,'Data Vlaue (Cr)'!$C:$FB,75)</f>
        <v>7088</v>
      </c>
      <c r="F130" s="91">
        <f>VLOOKUP($A130,'Data Vlaue (Cr)'!$C:$FB,77)</f>
        <v>54</v>
      </c>
      <c r="G130" s="92">
        <f>VLOOKUP(A130,'Data Vlaue (Cr)'!C125:CB339,78,0)</f>
        <v>7.6E-3</v>
      </c>
      <c r="H130" s="91">
        <f>VLOOKUP($A130,'Data Vlaue (Cr)'!$C:$FB,91)</f>
        <v>2104</v>
      </c>
      <c r="I130" s="91">
        <f>VLOOKUP($A130,'Data Vlaue (Cr)'!$C:$FB,93)</f>
        <v>20</v>
      </c>
      <c r="J130" s="92">
        <f>VLOOKUP($A130,'Data Vlaue (Cr)'!$C:$FB,94)</f>
        <v>9.7000000000000003E-3</v>
      </c>
      <c r="K130" s="91">
        <f>VLOOKUP($A130,'Data Vlaue (Cr)'!$C:$FB,95)</f>
        <v>1067</v>
      </c>
      <c r="L130" s="91">
        <f>VLOOKUP($A130,'Data Vlaue (Cr)'!$C:$FB,97)</f>
        <v>25</v>
      </c>
      <c r="M130" s="92">
        <f>VLOOKUP($A130,'Data Vlaue (Cr)'!$C:$FB,98)</f>
        <v>2.3900000000000001E-2</v>
      </c>
      <c r="N130" s="91">
        <f>VLOOKUP($A130,'Data Vlaue (Cr)'!$C:$FB,79)</f>
        <v>6923</v>
      </c>
      <c r="O130" s="92">
        <f>VLOOKUP($A130,'Data Vlaue (Cr)'!$C:$FB,82)</f>
        <v>4.8999999999999998E-3</v>
      </c>
    </row>
    <row r="131" spans="1:15" x14ac:dyDescent="0.25">
      <c r="A131" s="97" t="str">
        <f>'Data Vlaue (Cr)'!C126</f>
        <v>MANAPPURAM</v>
      </c>
      <c r="B131" s="142">
        <f>VLOOKUP(A131,'Data Vlaue (Cr)'!C126:CW340,99,0)</f>
        <v>1420</v>
      </c>
      <c r="C131" s="90">
        <f>VLOOKUP(A131,'Data Vlaue (Cr)'!C126:CY340,101,0)</f>
        <v>177</v>
      </c>
      <c r="D131" s="139">
        <f>VLOOKUP(A131,'Data Vlaue (Cr)'!C126:CZ340,102,0)</f>
        <v>0.1426</v>
      </c>
      <c r="E131" s="91">
        <f>VLOOKUP($A131,'Data Vlaue (Cr)'!$C:$FB,75)</f>
        <v>836</v>
      </c>
      <c r="F131" s="91">
        <f>VLOOKUP($A131,'Data Vlaue (Cr)'!$C:$FB,77)</f>
        <v>60</v>
      </c>
      <c r="G131" s="92">
        <f>VLOOKUP(A131,'Data Vlaue (Cr)'!C126:CB340,78,0)</f>
        <v>7.7399999999999997E-2</v>
      </c>
      <c r="H131" s="91">
        <f>VLOOKUP($A131,'Data Vlaue (Cr)'!$C:$FB,91)</f>
        <v>358</v>
      </c>
      <c r="I131" s="91">
        <f>VLOOKUP($A131,'Data Vlaue (Cr)'!$C:$FB,93)</f>
        <v>73</v>
      </c>
      <c r="J131" s="92">
        <f>VLOOKUP($A131,'Data Vlaue (Cr)'!$C:$FB,94)</f>
        <v>0.25409999999999999</v>
      </c>
      <c r="K131" s="91">
        <f>VLOOKUP($A131,'Data Vlaue (Cr)'!$C:$FB,95)</f>
        <v>225</v>
      </c>
      <c r="L131" s="91">
        <f>VLOOKUP($A131,'Data Vlaue (Cr)'!$C:$FB,97)</f>
        <v>45</v>
      </c>
      <c r="M131" s="92">
        <f>VLOOKUP($A131,'Data Vlaue (Cr)'!$C:$FB,98)</f>
        <v>0.24640000000000001</v>
      </c>
      <c r="N131" s="91">
        <f>VLOOKUP($A131,'Data Vlaue (Cr)'!$C:$FB,79)</f>
        <v>803</v>
      </c>
      <c r="O131" s="92">
        <f>VLOOKUP($A131,'Data Vlaue (Cr)'!$C:$FB,82)</f>
        <v>6.3399999999999998E-2</v>
      </c>
    </row>
    <row r="132" spans="1:15" x14ac:dyDescent="0.25">
      <c r="A132" s="97" t="str">
        <f>'Data Vlaue (Cr)'!C127</f>
        <v>MANKIND</v>
      </c>
      <c r="B132" s="142">
        <f>VLOOKUP(A132,'Data Vlaue (Cr)'!C127:CW341,99,0)</f>
        <v>672</v>
      </c>
      <c r="C132" s="90">
        <f>VLOOKUP(A132,'Data Vlaue (Cr)'!C127:CY341,101,0)</f>
        <v>37</v>
      </c>
      <c r="D132" s="139">
        <f>VLOOKUP(A132,'Data Vlaue (Cr)'!C127:CZ341,102,0)</f>
        <v>5.8000000000000003E-2</v>
      </c>
      <c r="E132" s="91">
        <f>VLOOKUP($A132,'Data Vlaue (Cr)'!$C:$FB,75)</f>
        <v>414</v>
      </c>
      <c r="F132" s="91">
        <f>VLOOKUP($A132,'Data Vlaue (Cr)'!$C:$FB,77)</f>
        <v>12</v>
      </c>
      <c r="G132" s="92">
        <f>VLOOKUP(A132,'Data Vlaue (Cr)'!C127:CB341,78,0)</f>
        <v>2.8799999999999999E-2</v>
      </c>
      <c r="H132" s="91">
        <f>VLOOKUP($A132,'Data Vlaue (Cr)'!$C:$FB,91)</f>
        <v>173</v>
      </c>
      <c r="I132" s="91">
        <f>VLOOKUP($A132,'Data Vlaue (Cr)'!$C:$FB,93)</f>
        <v>24</v>
      </c>
      <c r="J132" s="92">
        <f>VLOOKUP($A132,'Data Vlaue (Cr)'!$C:$FB,94)</f>
        <v>0.15840000000000001</v>
      </c>
      <c r="K132" s="91">
        <f>VLOOKUP($A132,'Data Vlaue (Cr)'!$C:$FB,95)</f>
        <v>85</v>
      </c>
      <c r="L132" s="91">
        <f>VLOOKUP($A132,'Data Vlaue (Cr)'!$C:$FB,97)</f>
        <v>2</v>
      </c>
      <c r="M132" s="92">
        <f>VLOOKUP($A132,'Data Vlaue (Cr)'!$C:$FB,98)</f>
        <v>1.9199999999999998E-2</v>
      </c>
      <c r="N132" s="91">
        <f>VLOOKUP($A132,'Data Vlaue (Cr)'!$C:$FB,79)</f>
        <v>400</v>
      </c>
      <c r="O132" s="92">
        <f>VLOOKUP($A132,'Data Vlaue (Cr)'!$C:$FB,82)</f>
        <v>2.46E-2</v>
      </c>
    </row>
    <row r="133" spans="1:15" x14ac:dyDescent="0.25">
      <c r="A133" s="97" t="str">
        <f>'Data Vlaue (Cr)'!C128</f>
        <v>MARICO</v>
      </c>
      <c r="B133" s="142">
        <f>VLOOKUP(A133,'Data Vlaue (Cr)'!C128:CW342,99,0)</f>
        <v>2429</v>
      </c>
      <c r="C133" s="90">
        <f>VLOOKUP(A133,'Data Vlaue (Cr)'!C128:CY342,101,0)</f>
        <v>-24</v>
      </c>
      <c r="D133" s="139">
        <f>VLOOKUP(A133,'Data Vlaue (Cr)'!C128:CZ342,102,0)</f>
        <v>-9.9000000000000008E-3</v>
      </c>
      <c r="E133" s="91">
        <f>VLOOKUP($A133,'Data Vlaue (Cr)'!$C:$FB,75)</f>
        <v>2020</v>
      </c>
      <c r="F133" s="91">
        <f>VLOOKUP($A133,'Data Vlaue (Cr)'!$C:$FB,77)</f>
        <v>-30</v>
      </c>
      <c r="G133" s="92">
        <f>VLOOKUP(A133,'Data Vlaue (Cr)'!C128:CB342,78,0)</f>
        <v>-1.44E-2</v>
      </c>
      <c r="H133" s="91">
        <f>VLOOKUP($A133,'Data Vlaue (Cr)'!$C:$FB,91)</f>
        <v>247</v>
      </c>
      <c r="I133" s="91">
        <f>VLOOKUP($A133,'Data Vlaue (Cr)'!$C:$FB,93)</f>
        <v>6</v>
      </c>
      <c r="J133" s="92">
        <f>VLOOKUP($A133,'Data Vlaue (Cr)'!$C:$FB,94)</f>
        <v>2.5100000000000001E-2</v>
      </c>
      <c r="K133" s="91">
        <f>VLOOKUP($A133,'Data Vlaue (Cr)'!$C:$FB,95)</f>
        <v>162</v>
      </c>
      <c r="L133" s="91">
        <f>VLOOKUP($A133,'Data Vlaue (Cr)'!$C:$FB,97)</f>
        <v>-1</v>
      </c>
      <c r="M133" s="92">
        <f>VLOOKUP($A133,'Data Vlaue (Cr)'!$C:$FB,98)</f>
        <v>-5.3E-3</v>
      </c>
      <c r="N133" s="91">
        <f>VLOOKUP($A133,'Data Vlaue (Cr)'!$C:$FB,79)</f>
        <v>2011</v>
      </c>
      <c r="O133" s="92">
        <f>VLOOKUP($A133,'Data Vlaue (Cr)'!$C:$FB,82)</f>
        <v>-1.47E-2</v>
      </c>
    </row>
    <row r="134" spans="1:15" x14ac:dyDescent="0.25">
      <c r="A134" s="97" t="str">
        <f>'Data Vlaue (Cr)'!C129</f>
        <v>MARUTI</v>
      </c>
      <c r="B134" s="142">
        <f>VLOOKUP(A134,'Data Vlaue (Cr)'!C129:CW343,99,0)</f>
        <v>12060</v>
      </c>
      <c r="C134" s="90">
        <f>VLOOKUP(A134,'Data Vlaue (Cr)'!C129:CY343,101,0)</f>
        <v>563</v>
      </c>
      <c r="D134" s="139">
        <f>VLOOKUP(A134,'Data Vlaue (Cr)'!C129:CZ343,102,0)</f>
        <v>4.9000000000000002E-2</v>
      </c>
      <c r="E134" s="91">
        <f>VLOOKUP($A134,'Data Vlaue (Cr)'!$C:$FB,75)</f>
        <v>4676</v>
      </c>
      <c r="F134" s="91">
        <f>VLOOKUP($A134,'Data Vlaue (Cr)'!$C:$FB,77)</f>
        <v>289</v>
      </c>
      <c r="G134" s="92">
        <f>VLOOKUP(A134,'Data Vlaue (Cr)'!C129:CB343,78,0)</f>
        <v>6.5799999999999997E-2</v>
      </c>
      <c r="H134" s="91">
        <f>VLOOKUP($A134,'Data Vlaue (Cr)'!$C:$FB,91)</f>
        <v>4550</v>
      </c>
      <c r="I134" s="91">
        <f>VLOOKUP($A134,'Data Vlaue (Cr)'!$C:$FB,93)</f>
        <v>-205</v>
      </c>
      <c r="J134" s="92">
        <f>VLOOKUP($A134,'Data Vlaue (Cr)'!$C:$FB,94)</f>
        <v>-4.3099999999999999E-2</v>
      </c>
      <c r="K134" s="91">
        <f>VLOOKUP($A134,'Data Vlaue (Cr)'!$C:$FB,95)</f>
        <v>2834</v>
      </c>
      <c r="L134" s="91">
        <f>VLOOKUP($A134,'Data Vlaue (Cr)'!$C:$FB,97)</f>
        <v>479</v>
      </c>
      <c r="M134" s="92">
        <f>VLOOKUP($A134,'Data Vlaue (Cr)'!$C:$FB,98)</f>
        <v>0.20349999999999999</v>
      </c>
      <c r="N134" s="91">
        <f>VLOOKUP($A134,'Data Vlaue (Cr)'!$C:$FB,79)</f>
        <v>4504</v>
      </c>
      <c r="O134" s="92">
        <f>VLOOKUP($A134,'Data Vlaue (Cr)'!$C:$FB,82)</f>
        <v>5.8400000000000001E-2</v>
      </c>
    </row>
    <row r="135" spans="1:15" x14ac:dyDescent="0.25">
      <c r="A135" s="97" t="str">
        <f>'Data Vlaue (Cr)'!C130</f>
        <v>MAXHEALTH</v>
      </c>
      <c r="B135" s="142">
        <f>VLOOKUP(A135,'Data Vlaue (Cr)'!C130:CW344,99,0)</f>
        <v>2625</v>
      </c>
      <c r="C135" s="90">
        <f>VLOOKUP(A135,'Data Vlaue (Cr)'!C130:CY344,101,0)</f>
        <v>-14</v>
      </c>
      <c r="D135" s="139">
        <f>VLOOKUP(A135,'Data Vlaue (Cr)'!C130:CZ344,102,0)</f>
        <v>-5.3E-3</v>
      </c>
      <c r="E135" s="91">
        <f>VLOOKUP($A135,'Data Vlaue (Cr)'!$C:$FB,75)</f>
        <v>1932</v>
      </c>
      <c r="F135" s="91">
        <f>VLOOKUP($A135,'Data Vlaue (Cr)'!$C:$FB,77)</f>
        <v>-19</v>
      </c>
      <c r="G135" s="92">
        <f>VLOOKUP(A135,'Data Vlaue (Cr)'!C130:CB344,78,0)</f>
        <v>-9.7000000000000003E-3</v>
      </c>
      <c r="H135" s="91">
        <f>VLOOKUP($A135,'Data Vlaue (Cr)'!$C:$FB,91)</f>
        <v>367</v>
      </c>
      <c r="I135" s="91">
        <f>VLOOKUP($A135,'Data Vlaue (Cr)'!$C:$FB,93)</f>
        <v>4</v>
      </c>
      <c r="J135" s="92">
        <f>VLOOKUP($A135,'Data Vlaue (Cr)'!$C:$FB,94)</f>
        <v>1.21E-2</v>
      </c>
      <c r="K135" s="91">
        <f>VLOOKUP($A135,'Data Vlaue (Cr)'!$C:$FB,95)</f>
        <v>326</v>
      </c>
      <c r="L135" s="91">
        <f>VLOOKUP($A135,'Data Vlaue (Cr)'!$C:$FB,97)</f>
        <v>1</v>
      </c>
      <c r="M135" s="92">
        <f>VLOOKUP($A135,'Data Vlaue (Cr)'!$C:$FB,98)</f>
        <v>1.9E-3</v>
      </c>
      <c r="N135" s="91">
        <f>VLOOKUP($A135,'Data Vlaue (Cr)'!$C:$FB,79)</f>
        <v>1897</v>
      </c>
      <c r="O135" s="92">
        <f>VLOOKUP($A135,'Data Vlaue (Cr)'!$C:$FB,82)</f>
        <v>-1.18E-2</v>
      </c>
    </row>
    <row r="136" spans="1:15" x14ac:dyDescent="0.25">
      <c r="A136" s="97" t="str">
        <f>'Data Vlaue (Cr)'!C131</f>
        <v>MAZDOCK</v>
      </c>
      <c r="B136" s="142">
        <f>VLOOKUP(A136,'Data Vlaue (Cr)'!C131:CW345,99,0)</f>
        <v>2164</v>
      </c>
      <c r="C136" s="90">
        <f>VLOOKUP(A136,'Data Vlaue (Cr)'!C131:CY345,101,0)</f>
        <v>175</v>
      </c>
      <c r="D136" s="139">
        <f>VLOOKUP(A136,'Data Vlaue (Cr)'!C131:CZ345,102,0)</f>
        <v>8.7800000000000003E-2</v>
      </c>
      <c r="E136" s="91">
        <f>VLOOKUP($A136,'Data Vlaue (Cr)'!$C:$FB,75)</f>
        <v>1054</v>
      </c>
      <c r="F136" s="91">
        <f>VLOOKUP($A136,'Data Vlaue (Cr)'!$C:$FB,77)</f>
        <v>42</v>
      </c>
      <c r="G136" s="92">
        <f>VLOOKUP(A136,'Data Vlaue (Cr)'!C131:CB345,78,0)</f>
        <v>4.1599999999999998E-2</v>
      </c>
      <c r="H136" s="91">
        <f>VLOOKUP($A136,'Data Vlaue (Cr)'!$C:$FB,91)</f>
        <v>714</v>
      </c>
      <c r="I136" s="91">
        <f>VLOOKUP($A136,'Data Vlaue (Cr)'!$C:$FB,93)</f>
        <v>100</v>
      </c>
      <c r="J136" s="92">
        <f>VLOOKUP($A136,'Data Vlaue (Cr)'!$C:$FB,94)</f>
        <v>0.16320000000000001</v>
      </c>
      <c r="K136" s="91">
        <f>VLOOKUP($A136,'Data Vlaue (Cr)'!$C:$FB,95)</f>
        <v>396</v>
      </c>
      <c r="L136" s="91">
        <f>VLOOKUP($A136,'Data Vlaue (Cr)'!$C:$FB,97)</f>
        <v>32</v>
      </c>
      <c r="M136" s="92">
        <f>VLOOKUP($A136,'Data Vlaue (Cr)'!$C:$FB,98)</f>
        <v>8.9200000000000002E-2</v>
      </c>
      <c r="N136" s="91">
        <f>VLOOKUP($A136,'Data Vlaue (Cr)'!$C:$FB,79)</f>
        <v>994</v>
      </c>
      <c r="O136" s="92">
        <f>VLOOKUP($A136,'Data Vlaue (Cr)'!$C:$FB,82)</f>
        <v>2.9399999999999999E-2</v>
      </c>
    </row>
    <row r="137" spans="1:15" x14ac:dyDescent="0.25">
      <c r="A137" s="97" t="str">
        <f>'Data Vlaue (Cr)'!C132</f>
        <v>MCX</v>
      </c>
      <c r="B137" s="142">
        <f>VLOOKUP(A137,'Data Vlaue (Cr)'!C132:CW346,99,0)</f>
        <v>5580</v>
      </c>
      <c r="C137" s="90">
        <f>VLOOKUP(A137,'Data Vlaue (Cr)'!C132:CY346,101,0)</f>
        <v>433</v>
      </c>
      <c r="D137" s="139">
        <f>VLOOKUP(A137,'Data Vlaue (Cr)'!C132:CZ346,102,0)</f>
        <v>8.4099999999999994E-2</v>
      </c>
      <c r="E137" s="91">
        <f>VLOOKUP($A137,'Data Vlaue (Cr)'!$C:$FB,75)</f>
        <v>2193</v>
      </c>
      <c r="F137" s="91">
        <f>VLOOKUP($A137,'Data Vlaue (Cr)'!$C:$FB,77)</f>
        <v>-59</v>
      </c>
      <c r="G137" s="92">
        <f>VLOOKUP(A137,'Data Vlaue (Cr)'!C132:CB346,78,0)</f>
        <v>-2.6200000000000001E-2</v>
      </c>
      <c r="H137" s="91">
        <f>VLOOKUP($A137,'Data Vlaue (Cr)'!$C:$FB,91)</f>
        <v>1862</v>
      </c>
      <c r="I137" s="91">
        <f>VLOOKUP($A137,'Data Vlaue (Cr)'!$C:$FB,93)</f>
        <v>382</v>
      </c>
      <c r="J137" s="92">
        <f>VLOOKUP($A137,'Data Vlaue (Cr)'!$C:$FB,94)</f>
        <v>0.25840000000000002</v>
      </c>
      <c r="K137" s="91">
        <f>VLOOKUP($A137,'Data Vlaue (Cr)'!$C:$FB,95)</f>
        <v>1524</v>
      </c>
      <c r="L137" s="91">
        <f>VLOOKUP($A137,'Data Vlaue (Cr)'!$C:$FB,97)</f>
        <v>110</v>
      </c>
      <c r="M137" s="92">
        <f>VLOOKUP($A137,'Data Vlaue (Cr)'!$C:$FB,98)</f>
        <v>7.7499999999999999E-2</v>
      </c>
      <c r="N137" s="91">
        <f>VLOOKUP($A137,'Data Vlaue (Cr)'!$C:$FB,79)</f>
        <v>2121</v>
      </c>
      <c r="O137" s="92">
        <f>VLOOKUP($A137,'Data Vlaue (Cr)'!$C:$FB,82)</f>
        <v>-3.04E-2</v>
      </c>
    </row>
    <row r="138" spans="1:15" x14ac:dyDescent="0.25">
      <c r="A138" s="97" t="str">
        <f>'Data Vlaue (Cr)'!C133</f>
        <v>MFSL</v>
      </c>
      <c r="B138" s="142">
        <f>VLOOKUP(A138,'Data Vlaue (Cr)'!C133:CW347,99,0)</f>
        <v>1257</v>
      </c>
      <c r="C138" s="90">
        <f>VLOOKUP(A138,'Data Vlaue (Cr)'!C133:CY347,101,0)</f>
        <v>26</v>
      </c>
      <c r="D138" s="139">
        <f>VLOOKUP(A138,'Data Vlaue (Cr)'!C133:CZ347,102,0)</f>
        <v>2.0799999999999999E-2</v>
      </c>
      <c r="E138" s="91">
        <f>VLOOKUP($A138,'Data Vlaue (Cr)'!$C:$FB,75)</f>
        <v>944</v>
      </c>
      <c r="F138" s="91">
        <f>VLOOKUP($A138,'Data Vlaue (Cr)'!$C:$FB,77)</f>
        <v>8</v>
      </c>
      <c r="G138" s="92">
        <f>VLOOKUP(A138,'Data Vlaue (Cr)'!C133:CB347,78,0)</f>
        <v>8.8000000000000005E-3</v>
      </c>
      <c r="H138" s="91">
        <f>VLOOKUP($A138,'Data Vlaue (Cr)'!$C:$FB,91)</f>
        <v>193</v>
      </c>
      <c r="I138" s="91">
        <f>VLOOKUP($A138,'Data Vlaue (Cr)'!$C:$FB,93)</f>
        <v>15</v>
      </c>
      <c r="J138" s="92">
        <f>VLOOKUP($A138,'Data Vlaue (Cr)'!$C:$FB,94)</f>
        <v>8.3400000000000002E-2</v>
      </c>
      <c r="K138" s="91">
        <f>VLOOKUP($A138,'Data Vlaue (Cr)'!$C:$FB,95)</f>
        <v>119</v>
      </c>
      <c r="L138" s="91">
        <f>VLOOKUP($A138,'Data Vlaue (Cr)'!$C:$FB,97)</f>
        <v>2</v>
      </c>
      <c r="M138" s="92">
        <f>VLOOKUP($A138,'Data Vlaue (Cr)'!$C:$FB,98)</f>
        <v>2.07E-2</v>
      </c>
      <c r="N138" s="91">
        <f>VLOOKUP($A138,'Data Vlaue (Cr)'!$C:$FB,79)</f>
        <v>934</v>
      </c>
      <c r="O138" s="92">
        <f>VLOOKUP($A138,'Data Vlaue (Cr)'!$C:$FB,82)</f>
        <v>9.1999999999999998E-3</v>
      </c>
    </row>
    <row r="139" spans="1:15" x14ac:dyDescent="0.25">
      <c r="A139" s="97" t="str">
        <f>'Data Vlaue (Cr)'!C134</f>
        <v>MIDCPNIFTY</v>
      </c>
      <c r="B139" s="142">
        <f>VLOOKUP(A139,'Data Vlaue (Cr)'!C134:CW348,99,0)</f>
        <v>21623</v>
      </c>
      <c r="C139" s="90">
        <f>VLOOKUP(A139,'Data Vlaue (Cr)'!C134:CY348,101,0)</f>
        <v>555</v>
      </c>
      <c r="D139" s="139">
        <f>VLOOKUP(A139,'Data Vlaue (Cr)'!C134:CZ348,102,0)</f>
        <v>2.63E-2</v>
      </c>
      <c r="E139" s="91">
        <f>VLOOKUP($A139,'Data Vlaue (Cr)'!$C:$FB,75)</f>
        <v>3564</v>
      </c>
      <c r="F139" s="91">
        <f>VLOOKUP($A139,'Data Vlaue (Cr)'!$C:$FB,77)</f>
        <v>-56</v>
      </c>
      <c r="G139" s="92">
        <f>VLOOKUP(A139,'Data Vlaue (Cr)'!C134:CB348,78,0)</f>
        <v>-1.55E-2</v>
      </c>
      <c r="H139" s="91">
        <f>VLOOKUP($A139,'Data Vlaue (Cr)'!$C:$FB,91)</f>
        <v>7901</v>
      </c>
      <c r="I139" s="91">
        <f>VLOOKUP($A139,'Data Vlaue (Cr)'!$C:$FB,93)</f>
        <v>156</v>
      </c>
      <c r="J139" s="92">
        <f>VLOOKUP($A139,'Data Vlaue (Cr)'!$C:$FB,94)</f>
        <v>2.01E-2</v>
      </c>
      <c r="K139" s="91">
        <f>VLOOKUP($A139,'Data Vlaue (Cr)'!$C:$FB,95)</f>
        <v>10158</v>
      </c>
      <c r="L139" s="91">
        <f>VLOOKUP($A139,'Data Vlaue (Cr)'!$C:$FB,97)</f>
        <v>455</v>
      </c>
      <c r="M139" s="92">
        <f>VLOOKUP($A139,'Data Vlaue (Cr)'!$C:$FB,98)</f>
        <v>4.6899999999999997E-2</v>
      </c>
      <c r="N139" s="91">
        <f>VLOOKUP($A139,'Data Vlaue (Cr)'!$C:$FB,79)</f>
        <v>3440</v>
      </c>
      <c r="O139" s="92">
        <f>VLOOKUP($A139,'Data Vlaue (Cr)'!$C:$FB,82)</f>
        <v>-1.5800000000000002E-2</v>
      </c>
    </row>
    <row r="140" spans="1:15" x14ac:dyDescent="0.25">
      <c r="A140" s="97" t="str">
        <f>'Data Vlaue (Cr)'!C135</f>
        <v>MOTHERSON</v>
      </c>
      <c r="B140" s="142">
        <f>VLOOKUP(A140,'Data Vlaue (Cr)'!C135:CW349,99,0)</f>
        <v>2657</v>
      </c>
      <c r="C140" s="90">
        <f>VLOOKUP(A140,'Data Vlaue (Cr)'!C135:CY349,101,0)</f>
        <v>28</v>
      </c>
      <c r="D140" s="139">
        <f>VLOOKUP(A140,'Data Vlaue (Cr)'!C135:CZ349,102,0)</f>
        <v>1.0699999999999999E-2</v>
      </c>
      <c r="E140" s="91">
        <f>VLOOKUP($A140,'Data Vlaue (Cr)'!$C:$FB,75)</f>
        <v>1733</v>
      </c>
      <c r="F140" s="91">
        <f>VLOOKUP($A140,'Data Vlaue (Cr)'!$C:$FB,77)</f>
        <v>4</v>
      </c>
      <c r="G140" s="92">
        <f>VLOOKUP(A140,'Data Vlaue (Cr)'!C135:CB349,78,0)</f>
        <v>2.2000000000000001E-3</v>
      </c>
      <c r="H140" s="91">
        <f>VLOOKUP($A140,'Data Vlaue (Cr)'!$C:$FB,91)</f>
        <v>609</v>
      </c>
      <c r="I140" s="91">
        <f>VLOOKUP($A140,'Data Vlaue (Cr)'!$C:$FB,93)</f>
        <v>14</v>
      </c>
      <c r="J140" s="92">
        <f>VLOOKUP($A140,'Data Vlaue (Cr)'!$C:$FB,94)</f>
        <v>2.4199999999999999E-2</v>
      </c>
      <c r="K140" s="91">
        <f>VLOOKUP($A140,'Data Vlaue (Cr)'!$C:$FB,95)</f>
        <v>315</v>
      </c>
      <c r="L140" s="91">
        <f>VLOOKUP($A140,'Data Vlaue (Cr)'!$C:$FB,97)</f>
        <v>10</v>
      </c>
      <c r="M140" s="92">
        <f>VLOOKUP($A140,'Data Vlaue (Cr)'!$C:$FB,98)</f>
        <v>3.2899999999999999E-2</v>
      </c>
      <c r="N140" s="91">
        <f>VLOOKUP($A140,'Data Vlaue (Cr)'!$C:$FB,79)</f>
        <v>1662</v>
      </c>
      <c r="O140" s="92">
        <f>VLOOKUP($A140,'Data Vlaue (Cr)'!$C:$FB,82)</f>
        <v>1.6000000000000001E-3</v>
      </c>
    </row>
    <row r="141" spans="1:15" x14ac:dyDescent="0.25">
      <c r="A141" s="97" t="str">
        <f>'Data Vlaue (Cr)'!C136</f>
        <v>MPHASIS</v>
      </c>
      <c r="B141" s="142">
        <f>VLOOKUP(A141,'Data Vlaue (Cr)'!C136:CW350,99,0)</f>
        <v>1676</v>
      </c>
      <c r="C141" s="90">
        <f>VLOOKUP(A141,'Data Vlaue (Cr)'!C136:CY350,101,0)</f>
        <v>17</v>
      </c>
      <c r="D141" s="139">
        <f>VLOOKUP(A141,'Data Vlaue (Cr)'!C136:CZ350,102,0)</f>
        <v>1.04E-2</v>
      </c>
      <c r="E141" s="91">
        <f>VLOOKUP($A141,'Data Vlaue (Cr)'!$C:$FB,75)</f>
        <v>1197</v>
      </c>
      <c r="F141" s="91">
        <f>VLOOKUP($A141,'Data Vlaue (Cr)'!$C:$FB,77)</f>
        <v>10</v>
      </c>
      <c r="G141" s="92">
        <f>VLOOKUP(A141,'Data Vlaue (Cr)'!C136:CB350,78,0)</f>
        <v>8.6999999999999994E-3</v>
      </c>
      <c r="H141" s="91">
        <f>VLOOKUP($A141,'Data Vlaue (Cr)'!$C:$FB,91)</f>
        <v>302</v>
      </c>
      <c r="I141" s="91">
        <f>VLOOKUP($A141,'Data Vlaue (Cr)'!$C:$FB,93)</f>
        <v>8</v>
      </c>
      <c r="J141" s="92">
        <f>VLOOKUP($A141,'Data Vlaue (Cr)'!$C:$FB,94)</f>
        <v>2.8199999999999999E-2</v>
      </c>
      <c r="K141" s="91">
        <f>VLOOKUP($A141,'Data Vlaue (Cr)'!$C:$FB,95)</f>
        <v>176</v>
      </c>
      <c r="L141" s="91">
        <f>VLOOKUP($A141,'Data Vlaue (Cr)'!$C:$FB,97)</f>
        <v>-1</v>
      </c>
      <c r="M141" s="92">
        <f>VLOOKUP($A141,'Data Vlaue (Cr)'!$C:$FB,98)</f>
        <v>-8.2000000000000007E-3</v>
      </c>
      <c r="N141" s="91">
        <f>VLOOKUP($A141,'Data Vlaue (Cr)'!$C:$FB,79)</f>
        <v>1180</v>
      </c>
      <c r="O141" s="92">
        <f>VLOOKUP($A141,'Data Vlaue (Cr)'!$C:$FB,82)</f>
        <v>7.4999999999999997E-3</v>
      </c>
    </row>
    <row r="142" spans="1:15" x14ac:dyDescent="0.25">
      <c r="A142" s="97" t="str">
        <f>'Data Vlaue (Cr)'!C137</f>
        <v>MUTHOOTFIN</v>
      </c>
      <c r="B142" s="142">
        <f>VLOOKUP(A142,'Data Vlaue (Cr)'!C137:CW351,99,0)</f>
        <v>2002</v>
      </c>
      <c r="C142" s="90">
        <f>VLOOKUP(A142,'Data Vlaue (Cr)'!C137:CY351,101,0)</f>
        <v>47</v>
      </c>
      <c r="D142" s="139">
        <f>VLOOKUP(A142,'Data Vlaue (Cr)'!C137:CZ351,102,0)</f>
        <v>2.4E-2</v>
      </c>
      <c r="E142" s="91">
        <f>VLOOKUP($A142,'Data Vlaue (Cr)'!$C:$FB,75)</f>
        <v>864</v>
      </c>
      <c r="F142" s="91">
        <f>VLOOKUP($A142,'Data Vlaue (Cr)'!$C:$FB,77)</f>
        <v>1</v>
      </c>
      <c r="G142" s="92">
        <f>VLOOKUP(A142,'Data Vlaue (Cr)'!C137:CB351,78,0)</f>
        <v>1.6000000000000001E-3</v>
      </c>
      <c r="H142" s="91">
        <f>VLOOKUP($A142,'Data Vlaue (Cr)'!$C:$FB,91)</f>
        <v>703</v>
      </c>
      <c r="I142" s="91">
        <f>VLOOKUP($A142,'Data Vlaue (Cr)'!$C:$FB,93)</f>
        <v>63</v>
      </c>
      <c r="J142" s="92">
        <f>VLOOKUP($A142,'Data Vlaue (Cr)'!$C:$FB,94)</f>
        <v>9.8199999999999996E-2</v>
      </c>
      <c r="K142" s="91">
        <f>VLOOKUP($A142,'Data Vlaue (Cr)'!$C:$FB,95)</f>
        <v>436</v>
      </c>
      <c r="L142" s="91">
        <f>VLOOKUP($A142,'Data Vlaue (Cr)'!$C:$FB,97)</f>
        <v>-17</v>
      </c>
      <c r="M142" s="92">
        <f>VLOOKUP($A142,'Data Vlaue (Cr)'!$C:$FB,98)</f>
        <v>-3.8399999999999997E-2</v>
      </c>
      <c r="N142" s="91">
        <f>VLOOKUP($A142,'Data Vlaue (Cr)'!$C:$FB,79)</f>
        <v>825</v>
      </c>
      <c r="O142" s="92">
        <f>VLOOKUP($A142,'Data Vlaue (Cr)'!$C:$FB,82)</f>
        <v>5.3E-3</v>
      </c>
    </row>
    <row r="143" spans="1:15" x14ac:dyDescent="0.25">
      <c r="A143" s="97" t="str">
        <f>'Data Vlaue (Cr)'!C138</f>
        <v>NATIONALUM</v>
      </c>
      <c r="B143" s="142">
        <f>VLOOKUP(A143,'Data Vlaue (Cr)'!C138:CW352,99,0)</f>
        <v>3104</v>
      </c>
      <c r="C143" s="90">
        <f>VLOOKUP(A143,'Data Vlaue (Cr)'!C138:CY352,101,0)</f>
        <v>68</v>
      </c>
      <c r="D143" s="139">
        <f>VLOOKUP(A143,'Data Vlaue (Cr)'!C138:CZ352,102,0)</f>
        <v>2.24E-2</v>
      </c>
      <c r="E143" s="91">
        <f>VLOOKUP($A143,'Data Vlaue (Cr)'!$C:$FB,75)</f>
        <v>1820</v>
      </c>
      <c r="F143" s="91">
        <f>VLOOKUP($A143,'Data Vlaue (Cr)'!$C:$FB,77)</f>
        <v>29</v>
      </c>
      <c r="G143" s="92">
        <f>VLOOKUP(A143,'Data Vlaue (Cr)'!C138:CB352,78,0)</f>
        <v>1.6299999999999999E-2</v>
      </c>
      <c r="H143" s="91">
        <f>VLOOKUP($A143,'Data Vlaue (Cr)'!$C:$FB,91)</f>
        <v>717</v>
      </c>
      <c r="I143" s="91">
        <f>VLOOKUP($A143,'Data Vlaue (Cr)'!$C:$FB,93)</f>
        <v>59</v>
      </c>
      <c r="J143" s="92">
        <f>VLOOKUP($A143,'Data Vlaue (Cr)'!$C:$FB,94)</f>
        <v>8.9899999999999994E-2</v>
      </c>
      <c r="K143" s="91">
        <f>VLOOKUP($A143,'Data Vlaue (Cr)'!$C:$FB,95)</f>
        <v>567</v>
      </c>
      <c r="L143" s="91">
        <f>VLOOKUP($A143,'Data Vlaue (Cr)'!$C:$FB,97)</f>
        <v>-20</v>
      </c>
      <c r="M143" s="92">
        <f>VLOOKUP($A143,'Data Vlaue (Cr)'!$C:$FB,98)</f>
        <v>-3.4500000000000003E-2</v>
      </c>
      <c r="N143" s="91">
        <f>VLOOKUP($A143,'Data Vlaue (Cr)'!$C:$FB,79)</f>
        <v>1745</v>
      </c>
      <c r="O143" s="92">
        <f>VLOOKUP($A143,'Data Vlaue (Cr)'!$C:$FB,82)</f>
        <v>1.03E-2</v>
      </c>
    </row>
    <row r="144" spans="1:15" x14ac:dyDescent="0.25">
      <c r="A144" s="97" t="str">
        <f>'Data Vlaue (Cr)'!C139</f>
        <v>NAUKRI</v>
      </c>
      <c r="B144" s="142">
        <f>VLOOKUP(A144,'Data Vlaue (Cr)'!C139:CW353,99,0)</f>
        <v>1817</v>
      </c>
      <c r="C144" s="90">
        <f>VLOOKUP(A144,'Data Vlaue (Cr)'!C139:CY353,101,0)</f>
        <v>41</v>
      </c>
      <c r="D144" s="139">
        <f>VLOOKUP(A144,'Data Vlaue (Cr)'!C139:CZ353,102,0)</f>
        <v>2.3199999999999998E-2</v>
      </c>
      <c r="E144" s="91">
        <f>VLOOKUP($A144,'Data Vlaue (Cr)'!$C:$FB,75)</f>
        <v>1396</v>
      </c>
      <c r="F144" s="91">
        <f>VLOOKUP($A144,'Data Vlaue (Cr)'!$C:$FB,77)</f>
        <v>21</v>
      </c>
      <c r="G144" s="92">
        <f>VLOOKUP(A144,'Data Vlaue (Cr)'!C139:CB353,78,0)</f>
        <v>1.52E-2</v>
      </c>
      <c r="H144" s="91">
        <f>VLOOKUP($A144,'Data Vlaue (Cr)'!$C:$FB,91)</f>
        <v>273</v>
      </c>
      <c r="I144" s="91">
        <f>VLOOKUP($A144,'Data Vlaue (Cr)'!$C:$FB,93)</f>
        <v>18</v>
      </c>
      <c r="J144" s="92">
        <f>VLOOKUP($A144,'Data Vlaue (Cr)'!$C:$FB,94)</f>
        <v>6.9599999999999995E-2</v>
      </c>
      <c r="K144" s="91">
        <f>VLOOKUP($A144,'Data Vlaue (Cr)'!$C:$FB,95)</f>
        <v>148</v>
      </c>
      <c r="L144" s="91">
        <f>VLOOKUP($A144,'Data Vlaue (Cr)'!$C:$FB,97)</f>
        <v>3</v>
      </c>
      <c r="M144" s="92">
        <f>VLOOKUP($A144,'Data Vlaue (Cr)'!$C:$FB,98)</f>
        <v>1.7899999999999999E-2</v>
      </c>
      <c r="N144" s="91">
        <f>VLOOKUP($A144,'Data Vlaue (Cr)'!$C:$FB,79)</f>
        <v>1377</v>
      </c>
      <c r="O144" s="92">
        <f>VLOOKUP($A144,'Data Vlaue (Cr)'!$C:$FB,82)</f>
        <v>1.23E-2</v>
      </c>
    </row>
    <row r="145" spans="1:15" x14ac:dyDescent="0.25">
      <c r="A145" s="97" t="str">
        <f>'Data Vlaue (Cr)'!C140</f>
        <v>NBCC</v>
      </c>
      <c r="B145" s="142">
        <f>VLOOKUP(A145,'Data Vlaue (Cr)'!C140:CW354,99,0)</f>
        <v>1198</v>
      </c>
      <c r="C145" s="90">
        <f>VLOOKUP(A145,'Data Vlaue (Cr)'!C140:CY354,101,0)</f>
        <v>43</v>
      </c>
      <c r="D145" s="139">
        <f>VLOOKUP(A145,'Data Vlaue (Cr)'!C140:CZ354,102,0)</f>
        <v>3.6900000000000002E-2</v>
      </c>
      <c r="E145" s="91">
        <f>VLOOKUP($A145,'Data Vlaue (Cr)'!$C:$FB,75)</f>
        <v>703</v>
      </c>
      <c r="F145" s="91">
        <f>VLOOKUP($A145,'Data Vlaue (Cr)'!$C:$FB,77)</f>
        <v>8</v>
      </c>
      <c r="G145" s="92">
        <f>VLOOKUP(A145,'Data Vlaue (Cr)'!C140:CB354,78,0)</f>
        <v>1.1299999999999999E-2</v>
      </c>
      <c r="H145" s="91">
        <f>VLOOKUP($A145,'Data Vlaue (Cr)'!$C:$FB,91)</f>
        <v>332</v>
      </c>
      <c r="I145" s="91">
        <f>VLOOKUP($A145,'Data Vlaue (Cr)'!$C:$FB,93)</f>
        <v>13</v>
      </c>
      <c r="J145" s="92">
        <f>VLOOKUP($A145,'Data Vlaue (Cr)'!$C:$FB,94)</f>
        <v>4.19E-2</v>
      </c>
      <c r="K145" s="91">
        <f>VLOOKUP($A145,'Data Vlaue (Cr)'!$C:$FB,95)</f>
        <v>164</v>
      </c>
      <c r="L145" s="91">
        <f>VLOOKUP($A145,'Data Vlaue (Cr)'!$C:$FB,97)</f>
        <v>21</v>
      </c>
      <c r="M145" s="92">
        <f>VLOOKUP($A145,'Data Vlaue (Cr)'!$C:$FB,98)</f>
        <v>0.15010000000000001</v>
      </c>
      <c r="N145" s="91">
        <f>VLOOKUP($A145,'Data Vlaue (Cr)'!$C:$FB,79)</f>
        <v>677</v>
      </c>
      <c r="O145" s="92">
        <f>VLOOKUP($A145,'Data Vlaue (Cr)'!$C:$FB,82)</f>
        <v>6.1000000000000004E-3</v>
      </c>
    </row>
    <row r="146" spans="1:15" x14ac:dyDescent="0.25">
      <c r="A146" s="97" t="str">
        <f>'Data Vlaue (Cr)'!C141</f>
        <v>NCC</v>
      </c>
      <c r="B146" s="142">
        <f>VLOOKUP(A146,'Data Vlaue (Cr)'!C141:CW355,99,0)</f>
        <v>599</v>
      </c>
      <c r="C146" s="90">
        <f>VLOOKUP(A146,'Data Vlaue (Cr)'!C141:CY355,101,0)</f>
        <v>6</v>
      </c>
      <c r="D146" s="139">
        <f>VLOOKUP(A146,'Data Vlaue (Cr)'!C141:CZ355,102,0)</f>
        <v>9.5999999999999992E-3</v>
      </c>
      <c r="E146" s="91">
        <f>VLOOKUP($A146,'Data Vlaue (Cr)'!$C:$FB,75)</f>
        <v>387</v>
      </c>
      <c r="F146" s="91">
        <f>VLOOKUP($A146,'Data Vlaue (Cr)'!$C:$FB,77)</f>
        <v>-2</v>
      </c>
      <c r="G146" s="92">
        <f>VLOOKUP(A146,'Data Vlaue (Cr)'!C141:CB355,78,0)</f>
        <v>-4.5999999999999999E-3</v>
      </c>
      <c r="H146" s="91">
        <f>VLOOKUP($A146,'Data Vlaue (Cr)'!$C:$FB,91)</f>
        <v>133</v>
      </c>
      <c r="I146" s="91">
        <f>VLOOKUP($A146,'Data Vlaue (Cr)'!$C:$FB,93)</f>
        <v>9</v>
      </c>
      <c r="J146" s="92">
        <f>VLOOKUP($A146,'Data Vlaue (Cr)'!$C:$FB,94)</f>
        <v>6.8500000000000005E-2</v>
      </c>
      <c r="K146" s="91">
        <f>VLOOKUP($A146,'Data Vlaue (Cr)'!$C:$FB,95)</f>
        <v>78</v>
      </c>
      <c r="L146" s="91">
        <f>VLOOKUP($A146,'Data Vlaue (Cr)'!$C:$FB,97)</f>
        <v>-1</v>
      </c>
      <c r="M146" s="92">
        <f>VLOOKUP($A146,'Data Vlaue (Cr)'!$C:$FB,98)</f>
        <v>-1.37E-2</v>
      </c>
      <c r="N146" s="91">
        <f>VLOOKUP($A146,'Data Vlaue (Cr)'!$C:$FB,79)</f>
        <v>367</v>
      </c>
      <c r="O146" s="92">
        <f>VLOOKUP($A146,'Data Vlaue (Cr)'!$C:$FB,82)</f>
        <v>-5.0000000000000001E-3</v>
      </c>
    </row>
    <row r="147" spans="1:15" x14ac:dyDescent="0.25">
      <c r="A147" s="97" t="str">
        <f>'Data Vlaue (Cr)'!C142</f>
        <v>NESTLEIND</v>
      </c>
      <c r="B147" s="142">
        <f>VLOOKUP(A147,'Data Vlaue (Cr)'!C142:CW356,99,0)</f>
        <v>2962</v>
      </c>
      <c r="C147" s="90">
        <f>VLOOKUP(A147,'Data Vlaue (Cr)'!C142:CY356,101,0)</f>
        <v>149</v>
      </c>
      <c r="D147" s="139">
        <f>VLOOKUP(A147,'Data Vlaue (Cr)'!C142:CZ356,102,0)</f>
        <v>5.2999999999999999E-2</v>
      </c>
      <c r="E147" s="91">
        <f>VLOOKUP($A147,'Data Vlaue (Cr)'!$C:$FB,75)</f>
        <v>2240</v>
      </c>
      <c r="F147" s="91">
        <f>VLOOKUP($A147,'Data Vlaue (Cr)'!$C:$FB,77)</f>
        <v>74</v>
      </c>
      <c r="G147" s="92">
        <f>VLOOKUP(A147,'Data Vlaue (Cr)'!C142:CB356,78,0)</f>
        <v>3.4299999999999997E-2</v>
      </c>
      <c r="H147" s="91">
        <f>VLOOKUP($A147,'Data Vlaue (Cr)'!$C:$FB,91)</f>
        <v>395</v>
      </c>
      <c r="I147" s="91">
        <f>VLOOKUP($A147,'Data Vlaue (Cr)'!$C:$FB,93)</f>
        <v>30</v>
      </c>
      <c r="J147" s="92">
        <f>VLOOKUP($A147,'Data Vlaue (Cr)'!$C:$FB,94)</f>
        <v>8.2600000000000007E-2</v>
      </c>
      <c r="K147" s="91">
        <f>VLOOKUP($A147,'Data Vlaue (Cr)'!$C:$FB,95)</f>
        <v>327</v>
      </c>
      <c r="L147" s="91">
        <f>VLOOKUP($A147,'Data Vlaue (Cr)'!$C:$FB,97)</f>
        <v>45</v>
      </c>
      <c r="M147" s="92">
        <f>VLOOKUP($A147,'Data Vlaue (Cr)'!$C:$FB,98)</f>
        <v>0.158</v>
      </c>
      <c r="N147" s="91">
        <f>VLOOKUP($A147,'Data Vlaue (Cr)'!$C:$FB,79)</f>
        <v>2194</v>
      </c>
      <c r="O147" s="92">
        <f>VLOOKUP($A147,'Data Vlaue (Cr)'!$C:$FB,82)</f>
        <v>3.2599999999999997E-2</v>
      </c>
    </row>
    <row r="148" spans="1:15" x14ac:dyDescent="0.25">
      <c r="A148" s="97" t="str">
        <f>'Data Vlaue (Cr)'!C143</f>
        <v>NHPC</v>
      </c>
      <c r="B148" s="142">
        <f>VLOOKUP(A148,'Data Vlaue (Cr)'!C143:CW357,99,0)</f>
        <v>646</v>
      </c>
      <c r="C148" s="90">
        <f>VLOOKUP(A148,'Data Vlaue (Cr)'!C143:CY357,101,0)</f>
        <v>9</v>
      </c>
      <c r="D148" s="139">
        <f>VLOOKUP(A148,'Data Vlaue (Cr)'!C143:CZ357,102,0)</f>
        <v>1.34E-2</v>
      </c>
      <c r="E148" s="91">
        <f>VLOOKUP($A148,'Data Vlaue (Cr)'!$C:$FB,75)</f>
        <v>416</v>
      </c>
      <c r="F148" s="91">
        <f>VLOOKUP($A148,'Data Vlaue (Cr)'!$C:$FB,77)</f>
        <v>-4</v>
      </c>
      <c r="G148" s="92">
        <f>VLOOKUP(A148,'Data Vlaue (Cr)'!C143:CB357,78,0)</f>
        <v>-8.8999999999999999E-3</v>
      </c>
      <c r="H148" s="91">
        <f>VLOOKUP($A148,'Data Vlaue (Cr)'!$C:$FB,91)</f>
        <v>147</v>
      </c>
      <c r="I148" s="91">
        <f>VLOOKUP($A148,'Data Vlaue (Cr)'!$C:$FB,93)</f>
        <v>3</v>
      </c>
      <c r="J148" s="92">
        <f>VLOOKUP($A148,'Data Vlaue (Cr)'!$C:$FB,94)</f>
        <v>2.41E-2</v>
      </c>
      <c r="K148" s="91">
        <f>VLOOKUP($A148,'Data Vlaue (Cr)'!$C:$FB,95)</f>
        <v>82</v>
      </c>
      <c r="L148" s="91">
        <f>VLOOKUP($A148,'Data Vlaue (Cr)'!$C:$FB,97)</f>
        <v>9</v>
      </c>
      <c r="M148" s="92">
        <f>VLOOKUP($A148,'Data Vlaue (Cr)'!$C:$FB,98)</f>
        <v>0.1205</v>
      </c>
      <c r="N148" s="91">
        <f>VLOOKUP($A148,'Data Vlaue (Cr)'!$C:$FB,79)</f>
        <v>401</v>
      </c>
      <c r="O148" s="92">
        <f>VLOOKUP($A148,'Data Vlaue (Cr)'!$C:$FB,82)</f>
        <v>-1.0500000000000001E-2</v>
      </c>
    </row>
    <row r="149" spans="1:15" x14ac:dyDescent="0.25">
      <c r="A149" s="97" t="str">
        <f>'Data Vlaue (Cr)'!C144</f>
        <v>NIFTY</v>
      </c>
      <c r="B149" s="142">
        <f>VLOOKUP(A149,'Data Vlaue (Cr)'!C144:CW358,99,0)</f>
        <v>1465094</v>
      </c>
      <c r="C149" s="90">
        <f>VLOOKUP(A149,'Data Vlaue (Cr)'!C144:CY358,101,0)</f>
        <v>194532</v>
      </c>
      <c r="D149" s="139">
        <f>VLOOKUP(A149,'Data Vlaue (Cr)'!C144:CZ358,102,0)</f>
        <v>0.15310000000000001</v>
      </c>
      <c r="E149" s="91">
        <f>VLOOKUP($A149,'Data Vlaue (Cr)'!$C:$FB,75)</f>
        <v>47824</v>
      </c>
      <c r="F149" s="91">
        <f>VLOOKUP($A149,'Data Vlaue (Cr)'!$C:$FB,77)</f>
        <v>-245</v>
      </c>
      <c r="G149" s="92">
        <f>VLOOKUP(A149,'Data Vlaue (Cr)'!C144:CB358,78,0)</f>
        <v>-5.1000000000000004E-3</v>
      </c>
      <c r="H149" s="91">
        <f>VLOOKUP($A149,'Data Vlaue (Cr)'!$C:$FB,91)</f>
        <v>610958</v>
      </c>
      <c r="I149" s="91">
        <f>VLOOKUP($A149,'Data Vlaue (Cr)'!$C:$FB,93)</f>
        <v>17104</v>
      </c>
      <c r="J149" s="92">
        <f>VLOOKUP($A149,'Data Vlaue (Cr)'!$C:$FB,94)</f>
        <v>2.8799999999999999E-2</v>
      </c>
      <c r="K149" s="91">
        <f>VLOOKUP($A149,'Data Vlaue (Cr)'!$C:$FB,95)</f>
        <v>806312</v>
      </c>
      <c r="L149" s="91">
        <f>VLOOKUP($A149,'Data Vlaue (Cr)'!$C:$FB,97)</f>
        <v>177673</v>
      </c>
      <c r="M149" s="92">
        <f>VLOOKUP($A149,'Data Vlaue (Cr)'!$C:$FB,98)</f>
        <v>0.28260000000000002</v>
      </c>
      <c r="N149" s="91">
        <f>VLOOKUP($A149,'Data Vlaue (Cr)'!$C:$FB,79)</f>
        <v>43933</v>
      </c>
      <c r="O149" s="92">
        <f>VLOOKUP($A149,'Data Vlaue (Cr)'!$C:$FB,82)</f>
        <v>-1.26E-2</v>
      </c>
    </row>
    <row r="150" spans="1:15" x14ac:dyDescent="0.25">
      <c r="A150" s="97" t="str">
        <f>'Data Vlaue (Cr)'!C145</f>
        <v>NIFTYNXT50</v>
      </c>
      <c r="B150" s="142">
        <f>VLOOKUP(A150,'Data Vlaue (Cr)'!C145:CW359,99,0)</f>
        <v>223</v>
      </c>
      <c r="C150" s="90">
        <f>VLOOKUP(A150,'Data Vlaue (Cr)'!C145:CY359,101,0)</f>
        <v>5</v>
      </c>
      <c r="D150" s="139">
        <f>VLOOKUP(A150,'Data Vlaue (Cr)'!C145:CZ359,102,0)</f>
        <v>2.2100000000000002E-2</v>
      </c>
      <c r="E150" s="91">
        <f>VLOOKUP($A150,'Data Vlaue (Cr)'!$C:$FB,75)</f>
        <v>164</v>
      </c>
      <c r="F150" s="91">
        <f>VLOOKUP($A150,'Data Vlaue (Cr)'!$C:$FB,77)</f>
        <v>-8</v>
      </c>
      <c r="G150" s="92">
        <f>VLOOKUP(A150,'Data Vlaue (Cr)'!C145:CB359,78,0)</f>
        <v>-4.4200000000000003E-2</v>
      </c>
      <c r="H150" s="91">
        <f>VLOOKUP($A150,'Data Vlaue (Cr)'!$C:$FB,91)</f>
        <v>44</v>
      </c>
      <c r="I150" s="91">
        <f>VLOOKUP($A150,'Data Vlaue (Cr)'!$C:$FB,93)</f>
        <v>12</v>
      </c>
      <c r="J150" s="92">
        <f>VLOOKUP($A150,'Data Vlaue (Cr)'!$C:$FB,94)</f>
        <v>0.35639999999999999</v>
      </c>
      <c r="K150" s="91">
        <f>VLOOKUP($A150,'Data Vlaue (Cr)'!$C:$FB,95)</f>
        <v>15</v>
      </c>
      <c r="L150" s="91">
        <f>VLOOKUP($A150,'Data Vlaue (Cr)'!$C:$FB,97)</f>
        <v>1</v>
      </c>
      <c r="M150" s="92">
        <f>VLOOKUP($A150,'Data Vlaue (Cr)'!$C:$FB,98)</f>
        <v>6.0999999999999999E-2</v>
      </c>
      <c r="N150" s="91">
        <f>VLOOKUP($A150,'Data Vlaue (Cr)'!$C:$FB,79)</f>
        <v>142</v>
      </c>
      <c r="O150" s="92">
        <f>VLOOKUP($A150,'Data Vlaue (Cr)'!$C:$FB,82)</f>
        <v>-6.0400000000000002E-2</v>
      </c>
    </row>
    <row r="151" spans="1:15" x14ac:dyDescent="0.25">
      <c r="A151" s="97" t="str">
        <f>'Data Vlaue (Cr)'!C146</f>
        <v>NMDC</v>
      </c>
      <c r="B151" s="142">
        <f>VLOOKUP(A151,'Data Vlaue (Cr)'!C146:CW360,99,0)</f>
        <v>3830</v>
      </c>
      <c r="C151" s="90">
        <f>VLOOKUP(A151,'Data Vlaue (Cr)'!C146:CY360,101,0)</f>
        <v>189</v>
      </c>
      <c r="D151" s="139">
        <f>VLOOKUP(A151,'Data Vlaue (Cr)'!C146:CZ360,102,0)</f>
        <v>5.1799999999999999E-2</v>
      </c>
      <c r="E151" s="91">
        <f>VLOOKUP($A151,'Data Vlaue (Cr)'!$C:$FB,75)</f>
        <v>2223</v>
      </c>
      <c r="F151" s="91">
        <f>VLOOKUP($A151,'Data Vlaue (Cr)'!$C:$FB,77)</f>
        <v>49</v>
      </c>
      <c r="G151" s="92">
        <f>VLOOKUP(A151,'Data Vlaue (Cr)'!C146:CB360,78,0)</f>
        <v>2.2499999999999999E-2</v>
      </c>
      <c r="H151" s="91">
        <f>VLOOKUP($A151,'Data Vlaue (Cr)'!$C:$FB,91)</f>
        <v>1021</v>
      </c>
      <c r="I151" s="91">
        <f>VLOOKUP($A151,'Data Vlaue (Cr)'!$C:$FB,93)</f>
        <v>153</v>
      </c>
      <c r="J151" s="92">
        <f>VLOOKUP($A151,'Data Vlaue (Cr)'!$C:$FB,94)</f>
        <v>0.17610000000000001</v>
      </c>
      <c r="K151" s="91">
        <f>VLOOKUP($A151,'Data Vlaue (Cr)'!$C:$FB,95)</f>
        <v>585</v>
      </c>
      <c r="L151" s="91">
        <f>VLOOKUP($A151,'Data Vlaue (Cr)'!$C:$FB,97)</f>
        <v>-13</v>
      </c>
      <c r="M151" s="92">
        <f>VLOOKUP($A151,'Data Vlaue (Cr)'!$C:$FB,98)</f>
        <v>-2.23E-2</v>
      </c>
      <c r="N151" s="91">
        <f>VLOOKUP($A151,'Data Vlaue (Cr)'!$C:$FB,79)</f>
        <v>2119</v>
      </c>
      <c r="O151" s="92">
        <f>VLOOKUP($A151,'Data Vlaue (Cr)'!$C:$FB,82)</f>
        <v>6.4000000000000003E-3</v>
      </c>
    </row>
    <row r="152" spans="1:15" x14ac:dyDescent="0.25">
      <c r="A152" s="97" t="str">
        <f>'Data Vlaue (Cr)'!C147</f>
        <v>NTPC</v>
      </c>
      <c r="B152" s="142">
        <f>VLOOKUP(A152,'Data Vlaue (Cr)'!C147:CW361,99,0)</f>
        <v>5242</v>
      </c>
      <c r="C152" s="90">
        <f>VLOOKUP(A152,'Data Vlaue (Cr)'!C147:CY361,101,0)</f>
        <v>41</v>
      </c>
      <c r="D152" s="139">
        <f>VLOOKUP(A152,'Data Vlaue (Cr)'!C147:CZ361,102,0)</f>
        <v>7.7999999999999996E-3</v>
      </c>
      <c r="E152" s="91">
        <f>VLOOKUP($A152,'Data Vlaue (Cr)'!$C:$FB,75)</f>
        <v>3382</v>
      </c>
      <c r="F152" s="91">
        <f>VLOOKUP($A152,'Data Vlaue (Cr)'!$C:$FB,77)</f>
        <v>-11</v>
      </c>
      <c r="G152" s="92">
        <f>VLOOKUP(A152,'Data Vlaue (Cr)'!C147:CB361,78,0)</f>
        <v>-3.0999999999999999E-3</v>
      </c>
      <c r="H152" s="91">
        <f>VLOOKUP($A152,'Data Vlaue (Cr)'!$C:$FB,91)</f>
        <v>1271</v>
      </c>
      <c r="I152" s="91">
        <f>VLOOKUP($A152,'Data Vlaue (Cr)'!$C:$FB,93)</f>
        <v>62</v>
      </c>
      <c r="J152" s="92">
        <f>VLOOKUP($A152,'Data Vlaue (Cr)'!$C:$FB,94)</f>
        <v>5.0999999999999997E-2</v>
      </c>
      <c r="K152" s="91">
        <f>VLOOKUP($A152,'Data Vlaue (Cr)'!$C:$FB,95)</f>
        <v>589</v>
      </c>
      <c r="L152" s="91">
        <f>VLOOKUP($A152,'Data Vlaue (Cr)'!$C:$FB,97)</f>
        <v>-11</v>
      </c>
      <c r="M152" s="92">
        <f>VLOOKUP($A152,'Data Vlaue (Cr)'!$C:$FB,98)</f>
        <v>-1.77E-2</v>
      </c>
      <c r="N152" s="91">
        <f>VLOOKUP($A152,'Data Vlaue (Cr)'!$C:$FB,79)</f>
        <v>3215</v>
      </c>
      <c r="O152" s="92">
        <f>VLOOKUP($A152,'Data Vlaue (Cr)'!$C:$FB,82)</f>
        <v>-4.1000000000000003E-3</v>
      </c>
    </row>
    <row r="153" spans="1:15" x14ac:dyDescent="0.25">
      <c r="A153" s="97" t="str">
        <f>'Data Vlaue (Cr)'!C148</f>
        <v>NUVAMA</v>
      </c>
      <c r="B153" s="142">
        <f>VLOOKUP(A153,'Data Vlaue (Cr)'!C148:CW362,99,0)</f>
        <v>614</v>
      </c>
      <c r="C153" s="90">
        <f>VLOOKUP(A153,'Data Vlaue (Cr)'!C148:CY362,101,0)</f>
        <v>61</v>
      </c>
      <c r="D153" s="139">
        <f>VLOOKUP(A153,'Data Vlaue (Cr)'!C148:CZ362,102,0)</f>
        <v>0.1104</v>
      </c>
      <c r="E153" s="91">
        <f>VLOOKUP($A153,'Data Vlaue (Cr)'!$C:$FB,75)</f>
        <v>247</v>
      </c>
      <c r="F153" s="91">
        <f>VLOOKUP($A153,'Data Vlaue (Cr)'!$C:$FB,77)</f>
        <v>3</v>
      </c>
      <c r="G153" s="92">
        <f>VLOOKUP(A153,'Data Vlaue (Cr)'!C148:CB362,78,0)</f>
        <v>1.3599999999999999E-2</v>
      </c>
      <c r="H153" s="91">
        <f>VLOOKUP($A153,'Data Vlaue (Cr)'!$C:$FB,91)</f>
        <v>179</v>
      </c>
      <c r="I153" s="91">
        <f>VLOOKUP($A153,'Data Vlaue (Cr)'!$C:$FB,93)</f>
        <v>22</v>
      </c>
      <c r="J153" s="92">
        <f>VLOOKUP($A153,'Data Vlaue (Cr)'!$C:$FB,94)</f>
        <v>0.13919999999999999</v>
      </c>
      <c r="K153" s="91">
        <f>VLOOKUP($A153,'Data Vlaue (Cr)'!$C:$FB,95)</f>
        <v>187</v>
      </c>
      <c r="L153" s="91">
        <f>VLOOKUP($A153,'Data Vlaue (Cr)'!$C:$FB,97)</f>
        <v>36</v>
      </c>
      <c r="M153" s="92">
        <f>VLOOKUP($A153,'Data Vlaue (Cr)'!$C:$FB,98)</f>
        <v>0.2369</v>
      </c>
      <c r="N153" s="91">
        <f>VLOOKUP($A153,'Data Vlaue (Cr)'!$C:$FB,79)</f>
        <v>230</v>
      </c>
      <c r="O153" s="92">
        <f>VLOOKUP($A153,'Data Vlaue (Cr)'!$C:$FB,82)</f>
        <v>1.5100000000000001E-2</v>
      </c>
    </row>
    <row r="154" spans="1:15" x14ac:dyDescent="0.25">
      <c r="A154" s="97" t="str">
        <f>'Data Vlaue (Cr)'!C149</f>
        <v>NYKAA</v>
      </c>
      <c r="B154" s="142">
        <f>VLOOKUP(A154,'Data Vlaue (Cr)'!C149:CW363,99,0)</f>
        <v>2438</v>
      </c>
      <c r="C154" s="90">
        <f>VLOOKUP(A154,'Data Vlaue (Cr)'!C149:CY363,101,0)</f>
        <v>33</v>
      </c>
      <c r="D154" s="139">
        <f>VLOOKUP(A154,'Data Vlaue (Cr)'!C149:CZ363,102,0)</f>
        <v>1.37E-2</v>
      </c>
      <c r="E154" s="91">
        <f>VLOOKUP($A154,'Data Vlaue (Cr)'!$C:$FB,75)</f>
        <v>1778</v>
      </c>
      <c r="F154" s="91">
        <f>VLOOKUP($A154,'Data Vlaue (Cr)'!$C:$FB,77)</f>
        <v>11</v>
      </c>
      <c r="G154" s="92">
        <f>VLOOKUP(A154,'Data Vlaue (Cr)'!C149:CB363,78,0)</f>
        <v>6.3E-3</v>
      </c>
      <c r="H154" s="91">
        <f>VLOOKUP($A154,'Data Vlaue (Cr)'!$C:$FB,91)</f>
        <v>374</v>
      </c>
      <c r="I154" s="91">
        <f>VLOOKUP($A154,'Data Vlaue (Cr)'!$C:$FB,93)</f>
        <v>1</v>
      </c>
      <c r="J154" s="92">
        <f>VLOOKUP($A154,'Data Vlaue (Cr)'!$C:$FB,94)</f>
        <v>2.8999999999999998E-3</v>
      </c>
      <c r="K154" s="91">
        <f>VLOOKUP($A154,'Data Vlaue (Cr)'!$C:$FB,95)</f>
        <v>286</v>
      </c>
      <c r="L154" s="91">
        <f>VLOOKUP($A154,'Data Vlaue (Cr)'!$C:$FB,97)</f>
        <v>21</v>
      </c>
      <c r="M154" s="92">
        <f>VLOOKUP($A154,'Data Vlaue (Cr)'!$C:$FB,98)</f>
        <v>7.7899999999999997E-2</v>
      </c>
      <c r="N154" s="91">
        <f>VLOOKUP($A154,'Data Vlaue (Cr)'!$C:$FB,79)</f>
        <v>1719</v>
      </c>
      <c r="O154" s="92">
        <f>VLOOKUP($A154,'Data Vlaue (Cr)'!$C:$FB,82)</f>
        <v>1E-4</v>
      </c>
    </row>
    <row r="155" spans="1:15" x14ac:dyDescent="0.25">
      <c r="A155" s="97" t="str">
        <f>'Data Vlaue (Cr)'!C150</f>
        <v>OBEROIRLTY</v>
      </c>
      <c r="B155" s="142">
        <f>VLOOKUP(A155,'Data Vlaue (Cr)'!C150:CW364,99,0)</f>
        <v>1114</v>
      </c>
      <c r="C155" s="90">
        <f>VLOOKUP(A155,'Data Vlaue (Cr)'!C150:CY364,101,0)</f>
        <v>-8</v>
      </c>
      <c r="D155" s="139">
        <f>VLOOKUP(A155,'Data Vlaue (Cr)'!C150:CZ364,102,0)</f>
        <v>-7.0000000000000001E-3</v>
      </c>
      <c r="E155" s="91">
        <f>VLOOKUP($A155,'Data Vlaue (Cr)'!$C:$FB,75)</f>
        <v>790</v>
      </c>
      <c r="F155" s="91">
        <f>VLOOKUP($A155,'Data Vlaue (Cr)'!$C:$FB,77)</f>
        <v>-3</v>
      </c>
      <c r="G155" s="92">
        <f>VLOOKUP(A155,'Data Vlaue (Cr)'!C150:CB364,78,0)</f>
        <v>-3.8E-3</v>
      </c>
      <c r="H155" s="91">
        <f>VLOOKUP($A155,'Data Vlaue (Cr)'!$C:$FB,91)</f>
        <v>181</v>
      </c>
      <c r="I155" s="91">
        <f>VLOOKUP($A155,'Data Vlaue (Cr)'!$C:$FB,93)</f>
        <v>-7</v>
      </c>
      <c r="J155" s="92">
        <f>VLOOKUP($A155,'Data Vlaue (Cr)'!$C:$FB,94)</f>
        <v>-3.5999999999999997E-2</v>
      </c>
      <c r="K155" s="91">
        <f>VLOOKUP($A155,'Data Vlaue (Cr)'!$C:$FB,95)</f>
        <v>144</v>
      </c>
      <c r="L155" s="91">
        <f>VLOOKUP($A155,'Data Vlaue (Cr)'!$C:$FB,97)</f>
        <v>2</v>
      </c>
      <c r="M155" s="92">
        <f>VLOOKUP($A155,'Data Vlaue (Cr)'!$C:$FB,98)</f>
        <v>1.2999999999999999E-2</v>
      </c>
      <c r="N155" s="91">
        <f>VLOOKUP($A155,'Data Vlaue (Cr)'!$C:$FB,79)</f>
        <v>771</v>
      </c>
      <c r="O155" s="92">
        <f>VLOOKUP($A155,'Data Vlaue (Cr)'!$C:$FB,82)</f>
        <v>-4.5999999999999999E-3</v>
      </c>
    </row>
    <row r="156" spans="1:15" x14ac:dyDescent="0.25">
      <c r="A156" s="97" t="str">
        <f>'Data Vlaue (Cr)'!C151</f>
        <v>OFSS</v>
      </c>
      <c r="B156" s="142">
        <f>VLOOKUP(A156,'Data Vlaue (Cr)'!C151:CW365,99,0)</f>
        <v>1800</v>
      </c>
      <c r="C156" s="90">
        <f>VLOOKUP(A156,'Data Vlaue (Cr)'!C151:CY365,101,0)</f>
        <v>110</v>
      </c>
      <c r="D156" s="139">
        <f>VLOOKUP(A156,'Data Vlaue (Cr)'!C151:CZ365,102,0)</f>
        <v>6.5299999999999997E-2</v>
      </c>
      <c r="E156" s="91">
        <f>VLOOKUP($A156,'Data Vlaue (Cr)'!$C:$FB,75)</f>
        <v>1026</v>
      </c>
      <c r="F156" s="91">
        <f>VLOOKUP($A156,'Data Vlaue (Cr)'!$C:$FB,77)</f>
        <v>35</v>
      </c>
      <c r="G156" s="92">
        <f>VLOOKUP(A156,'Data Vlaue (Cr)'!C151:CB365,78,0)</f>
        <v>3.5000000000000003E-2</v>
      </c>
      <c r="H156" s="91">
        <f>VLOOKUP($A156,'Data Vlaue (Cr)'!$C:$FB,91)</f>
        <v>490</v>
      </c>
      <c r="I156" s="91">
        <f>VLOOKUP($A156,'Data Vlaue (Cr)'!$C:$FB,93)</f>
        <v>70</v>
      </c>
      <c r="J156" s="92">
        <f>VLOOKUP($A156,'Data Vlaue (Cr)'!$C:$FB,94)</f>
        <v>0.16639999999999999</v>
      </c>
      <c r="K156" s="91">
        <f>VLOOKUP($A156,'Data Vlaue (Cr)'!$C:$FB,95)</f>
        <v>283</v>
      </c>
      <c r="L156" s="91">
        <f>VLOOKUP($A156,'Data Vlaue (Cr)'!$C:$FB,97)</f>
        <v>6</v>
      </c>
      <c r="M156" s="92">
        <f>VLOOKUP($A156,'Data Vlaue (Cr)'!$C:$FB,98)</f>
        <v>2.0799999999999999E-2</v>
      </c>
      <c r="N156" s="91">
        <f>VLOOKUP($A156,'Data Vlaue (Cr)'!$C:$FB,79)</f>
        <v>995</v>
      </c>
      <c r="O156" s="92">
        <f>VLOOKUP($A156,'Data Vlaue (Cr)'!$C:$FB,82)</f>
        <v>3.1199999999999999E-2</v>
      </c>
    </row>
    <row r="157" spans="1:15" x14ac:dyDescent="0.25">
      <c r="A157" s="97" t="str">
        <f>'Data Vlaue (Cr)'!C152</f>
        <v>OIL</v>
      </c>
      <c r="B157" s="142">
        <f>VLOOKUP(A157,'Data Vlaue (Cr)'!C152:CW366,99,0)</f>
        <v>804</v>
      </c>
      <c r="C157" s="90">
        <f>VLOOKUP(A157,'Data Vlaue (Cr)'!C152:CY366,101,0)</f>
        <v>21</v>
      </c>
      <c r="D157" s="139">
        <f>VLOOKUP(A157,'Data Vlaue (Cr)'!C152:CZ366,102,0)</f>
        <v>2.7300000000000001E-2</v>
      </c>
      <c r="E157" s="91">
        <f>VLOOKUP($A157,'Data Vlaue (Cr)'!$C:$FB,75)</f>
        <v>421</v>
      </c>
      <c r="F157" s="91">
        <f>VLOOKUP($A157,'Data Vlaue (Cr)'!$C:$FB,77)</f>
        <v>4</v>
      </c>
      <c r="G157" s="92">
        <f>VLOOKUP(A157,'Data Vlaue (Cr)'!C152:CB366,78,0)</f>
        <v>8.9999999999999993E-3</v>
      </c>
      <c r="H157" s="91">
        <f>VLOOKUP($A157,'Data Vlaue (Cr)'!$C:$FB,91)</f>
        <v>240</v>
      </c>
      <c r="I157" s="91">
        <f>VLOOKUP($A157,'Data Vlaue (Cr)'!$C:$FB,93)</f>
        <v>11</v>
      </c>
      <c r="J157" s="92">
        <f>VLOOKUP($A157,'Data Vlaue (Cr)'!$C:$FB,94)</f>
        <v>4.7699999999999999E-2</v>
      </c>
      <c r="K157" s="91">
        <f>VLOOKUP($A157,'Data Vlaue (Cr)'!$C:$FB,95)</f>
        <v>143</v>
      </c>
      <c r="L157" s="91">
        <f>VLOOKUP($A157,'Data Vlaue (Cr)'!$C:$FB,97)</f>
        <v>7</v>
      </c>
      <c r="M157" s="92">
        <f>VLOOKUP($A157,'Data Vlaue (Cr)'!$C:$FB,98)</f>
        <v>4.8800000000000003E-2</v>
      </c>
      <c r="N157" s="91">
        <f>VLOOKUP($A157,'Data Vlaue (Cr)'!$C:$FB,79)</f>
        <v>399</v>
      </c>
      <c r="O157" s="92">
        <f>VLOOKUP($A157,'Data Vlaue (Cr)'!$C:$FB,82)</f>
        <v>5.8999999999999999E-3</v>
      </c>
    </row>
    <row r="158" spans="1:15" x14ac:dyDescent="0.25">
      <c r="A158" s="97" t="str">
        <f>'Data Vlaue (Cr)'!C153</f>
        <v>ONGC</v>
      </c>
      <c r="B158" s="142">
        <f>VLOOKUP(A158,'Data Vlaue (Cr)'!C153:CW367,99,0)</f>
        <v>4249</v>
      </c>
      <c r="C158" s="90">
        <f>VLOOKUP(A158,'Data Vlaue (Cr)'!C153:CY367,101,0)</f>
        <v>-27</v>
      </c>
      <c r="D158" s="139">
        <f>VLOOKUP(A158,'Data Vlaue (Cr)'!C153:CZ367,102,0)</f>
        <v>-6.4000000000000003E-3</v>
      </c>
      <c r="E158" s="91">
        <f>VLOOKUP($A158,'Data Vlaue (Cr)'!$C:$FB,75)</f>
        <v>2441</v>
      </c>
      <c r="F158" s="91">
        <f>VLOOKUP($A158,'Data Vlaue (Cr)'!$C:$FB,77)</f>
        <v>-16</v>
      </c>
      <c r="G158" s="92">
        <f>VLOOKUP(A158,'Data Vlaue (Cr)'!C153:CB367,78,0)</f>
        <v>-6.7000000000000002E-3</v>
      </c>
      <c r="H158" s="91">
        <f>VLOOKUP($A158,'Data Vlaue (Cr)'!$C:$FB,91)</f>
        <v>1338</v>
      </c>
      <c r="I158" s="91">
        <f>VLOOKUP($A158,'Data Vlaue (Cr)'!$C:$FB,93)</f>
        <v>-27</v>
      </c>
      <c r="J158" s="92">
        <f>VLOOKUP($A158,'Data Vlaue (Cr)'!$C:$FB,94)</f>
        <v>-1.95E-2</v>
      </c>
      <c r="K158" s="91">
        <f>VLOOKUP($A158,'Data Vlaue (Cr)'!$C:$FB,95)</f>
        <v>471</v>
      </c>
      <c r="L158" s="91">
        <f>VLOOKUP($A158,'Data Vlaue (Cr)'!$C:$FB,97)</f>
        <v>16</v>
      </c>
      <c r="M158" s="92">
        <f>VLOOKUP($A158,'Data Vlaue (Cr)'!$C:$FB,98)</f>
        <v>3.49E-2</v>
      </c>
      <c r="N158" s="91">
        <f>VLOOKUP($A158,'Data Vlaue (Cr)'!$C:$FB,79)</f>
        <v>2387</v>
      </c>
      <c r="O158" s="92">
        <f>VLOOKUP($A158,'Data Vlaue (Cr)'!$C:$FB,82)</f>
        <v>-8.3000000000000001E-3</v>
      </c>
    </row>
    <row r="159" spans="1:15" x14ac:dyDescent="0.25">
      <c r="A159" s="97" t="str">
        <f>'Data Vlaue (Cr)'!C154</f>
        <v>PAGEIND</v>
      </c>
      <c r="B159" s="142">
        <f>VLOOKUP(A159,'Data Vlaue (Cr)'!C154:CW368,99,0)</f>
        <v>1410</v>
      </c>
      <c r="C159" s="90">
        <f>VLOOKUP(A159,'Data Vlaue (Cr)'!C154:CY368,101,0)</f>
        <v>34</v>
      </c>
      <c r="D159" s="139">
        <f>VLOOKUP(A159,'Data Vlaue (Cr)'!C154:CZ368,102,0)</f>
        <v>2.47E-2</v>
      </c>
      <c r="E159" s="91">
        <f>VLOOKUP($A159,'Data Vlaue (Cr)'!$C:$FB,75)</f>
        <v>946</v>
      </c>
      <c r="F159" s="91">
        <f>VLOOKUP($A159,'Data Vlaue (Cr)'!$C:$FB,77)</f>
        <v>9</v>
      </c>
      <c r="G159" s="92">
        <f>VLOOKUP(A159,'Data Vlaue (Cr)'!C154:CB368,78,0)</f>
        <v>9.2999999999999992E-3</v>
      </c>
      <c r="H159" s="91">
        <f>VLOOKUP($A159,'Data Vlaue (Cr)'!$C:$FB,91)</f>
        <v>330</v>
      </c>
      <c r="I159" s="91">
        <f>VLOOKUP($A159,'Data Vlaue (Cr)'!$C:$FB,93)</f>
        <v>22</v>
      </c>
      <c r="J159" s="92">
        <f>VLOOKUP($A159,'Data Vlaue (Cr)'!$C:$FB,94)</f>
        <v>7.17E-2</v>
      </c>
      <c r="K159" s="91">
        <f>VLOOKUP($A159,'Data Vlaue (Cr)'!$C:$FB,95)</f>
        <v>134</v>
      </c>
      <c r="L159" s="91">
        <f>VLOOKUP($A159,'Data Vlaue (Cr)'!$C:$FB,97)</f>
        <v>3</v>
      </c>
      <c r="M159" s="92">
        <f>VLOOKUP($A159,'Data Vlaue (Cr)'!$C:$FB,98)</f>
        <v>2.4299999999999999E-2</v>
      </c>
      <c r="N159" s="91">
        <f>VLOOKUP($A159,'Data Vlaue (Cr)'!$C:$FB,79)</f>
        <v>899</v>
      </c>
      <c r="O159" s="92">
        <f>VLOOKUP($A159,'Data Vlaue (Cr)'!$C:$FB,82)</f>
        <v>2.3999999999999998E-3</v>
      </c>
    </row>
    <row r="160" spans="1:15" x14ac:dyDescent="0.25">
      <c r="A160" s="97" t="str">
        <f>'Data Vlaue (Cr)'!C155</f>
        <v>PATANJALI</v>
      </c>
      <c r="B160" s="142">
        <f>VLOOKUP(A160,'Data Vlaue (Cr)'!C155:CW369,99,0)</f>
        <v>2457</v>
      </c>
      <c r="C160" s="90">
        <f>VLOOKUP(A160,'Data Vlaue (Cr)'!C155:CY369,101,0)</f>
        <v>34</v>
      </c>
      <c r="D160" s="139">
        <f>VLOOKUP(A160,'Data Vlaue (Cr)'!C155:CZ369,102,0)</f>
        <v>1.4E-2</v>
      </c>
      <c r="E160" s="91">
        <f>VLOOKUP($A160,'Data Vlaue (Cr)'!$C:$FB,75)</f>
        <v>1943</v>
      </c>
      <c r="F160" s="91">
        <f>VLOOKUP($A160,'Data Vlaue (Cr)'!$C:$FB,77)</f>
        <v>-8</v>
      </c>
      <c r="G160" s="92">
        <f>VLOOKUP(A160,'Data Vlaue (Cr)'!C155:CB369,78,0)</f>
        <v>-4.0000000000000001E-3</v>
      </c>
      <c r="H160" s="91">
        <f>VLOOKUP($A160,'Data Vlaue (Cr)'!$C:$FB,91)</f>
        <v>359</v>
      </c>
      <c r="I160" s="91">
        <f>VLOOKUP($A160,'Data Vlaue (Cr)'!$C:$FB,93)</f>
        <v>40</v>
      </c>
      <c r="J160" s="92">
        <f>VLOOKUP($A160,'Data Vlaue (Cr)'!$C:$FB,94)</f>
        <v>0.1249</v>
      </c>
      <c r="K160" s="91">
        <f>VLOOKUP($A160,'Data Vlaue (Cr)'!$C:$FB,95)</f>
        <v>155</v>
      </c>
      <c r="L160" s="91">
        <f>VLOOKUP($A160,'Data Vlaue (Cr)'!$C:$FB,97)</f>
        <v>2</v>
      </c>
      <c r="M160" s="92">
        <f>VLOOKUP($A160,'Data Vlaue (Cr)'!$C:$FB,98)</f>
        <v>1.12E-2</v>
      </c>
      <c r="N160" s="91">
        <f>VLOOKUP($A160,'Data Vlaue (Cr)'!$C:$FB,79)</f>
        <v>1927</v>
      </c>
      <c r="O160" s="92">
        <f>VLOOKUP($A160,'Data Vlaue (Cr)'!$C:$FB,82)</f>
        <v>-4.1999999999999997E-3</v>
      </c>
    </row>
    <row r="161" spans="1:15" x14ac:dyDescent="0.25">
      <c r="A161" s="97" t="str">
        <f>'Data Vlaue (Cr)'!C156</f>
        <v>PAYTM</v>
      </c>
      <c r="B161" s="142">
        <f>VLOOKUP(A161,'Data Vlaue (Cr)'!C156:CW370,99,0)</f>
        <v>4880</v>
      </c>
      <c r="C161" s="90">
        <f>VLOOKUP(A161,'Data Vlaue (Cr)'!C156:CY370,101,0)</f>
        <v>-37</v>
      </c>
      <c r="D161" s="139">
        <f>VLOOKUP(A161,'Data Vlaue (Cr)'!C156:CZ370,102,0)</f>
        <v>-7.4000000000000003E-3</v>
      </c>
      <c r="E161" s="91">
        <f>VLOOKUP($A161,'Data Vlaue (Cr)'!$C:$FB,75)</f>
        <v>3332</v>
      </c>
      <c r="F161" s="91">
        <f>VLOOKUP($A161,'Data Vlaue (Cr)'!$C:$FB,77)</f>
        <v>-32</v>
      </c>
      <c r="G161" s="92">
        <f>VLOOKUP(A161,'Data Vlaue (Cr)'!C156:CB370,78,0)</f>
        <v>-9.4999999999999998E-3</v>
      </c>
      <c r="H161" s="91">
        <f>VLOOKUP($A161,'Data Vlaue (Cr)'!$C:$FB,91)</f>
        <v>827</v>
      </c>
      <c r="I161" s="91">
        <f>VLOOKUP($A161,'Data Vlaue (Cr)'!$C:$FB,93)</f>
        <v>-1</v>
      </c>
      <c r="J161" s="92">
        <f>VLOOKUP($A161,'Data Vlaue (Cr)'!$C:$FB,94)</f>
        <v>-8.9999999999999998E-4</v>
      </c>
      <c r="K161" s="91">
        <f>VLOOKUP($A161,'Data Vlaue (Cr)'!$C:$FB,95)</f>
        <v>721</v>
      </c>
      <c r="L161" s="91">
        <f>VLOOKUP($A161,'Data Vlaue (Cr)'!$C:$FB,97)</f>
        <v>-4</v>
      </c>
      <c r="M161" s="92">
        <f>VLOOKUP($A161,'Data Vlaue (Cr)'!$C:$FB,98)</f>
        <v>-5.1999999999999998E-3</v>
      </c>
      <c r="N161" s="91">
        <f>VLOOKUP($A161,'Data Vlaue (Cr)'!$C:$FB,79)</f>
        <v>3289</v>
      </c>
      <c r="O161" s="92">
        <f>VLOOKUP($A161,'Data Vlaue (Cr)'!$C:$FB,82)</f>
        <v>-9.7000000000000003E-3</v>
      </c>
    </row>
    <row r="162" spans="1:15" x14ac:dyDescent="0.25">
      <c r="A162" s="97" t="str">
        <f>'Data Vlaue (Cr)'!C157</f>
        <v>PERSISTENT</v>
      </c>
      <c r="B162" s="142">
        <f>VLOOKUP(A162,'Data Vlaue (Cr)'!C157:CW371,99,0)</f>
        <v>2501</v>
      </c>
      <c r="C162" s="90">
        <f>VLOOKUP(A162,'Data Vlaue (Cr)'!C157:CY371,101,0)</f>
        <v>-12</v>
      </c>
      <c r="D162" s="139">
        <f>VLOOKUP(A162,'Data Vlaue (Cr)'!C157:CZ371,102,0)</f>
        <v>-4.5999999999999999E-3</v>
      </c>
      <c r="E162" s="91">
        <f>VLOOKUP($A162,'Data Vlaue (Cr)'!$C:$FB,75)</f>
        <v>1709</v>
      </c>
      <c r="F162" s="91">
        <f>VLOOKUP($A162,'Data Vlaue (Cr)'!$C:$FB,77)</f>
        <v>-20</v>
      </c>
      <c r="G162" s="92">
        <f>VLOOKUP(A162,'Data Vlaue (Cr)'!C157:CB371,78,0)</f>
        <v>-1.1299999999999999E-2</v>
      </c>
      <c r="H162" s="91">
        <f>VLOOKUP($A162,'Data Vlaue (Cr)'!$C:$FB,91)</f>
        <v>468</v>
      </c>
      <c r="I162" s="91">
        <f>VLOOKUP($A162,'Data Vlaue (Cr)'!$C:$FB,93)</f>
        <v>6</v>
      </c>
      <c r="J162" s="92">
        <f>VLOOKUP($A162,'Data Vlaue (Cr)'!$C:$FB,94)</f>
        <v>1.2200000000000001E-2</v>
      </c>
      <c r="K162" s="91">
        <f>VLOOKUP($A162,'Data Vlaue (Cr)'!$C:$FB,95)</f>
        <v>324</v>
      </c>
      <c r="L162" s="91">
        <f>VLOOKUP($A162,'Data Vlaue (Cr)'!$C:$FB,97)</f>
        <v>2</v>
      </c>
      <c r="M162" s="92">
        <f>VLOOKUP($A162,'Data Vlaue (Cr)'!$C:$FB,98)</f>
        <v>7.1999999999999998E-3</v>
      </c>
      <c r="N162" s="91">
        <f>VLOOKUP($A162,'Data Vlaue (Cr)'!$C:$FB,79)</f>
        <v>1678</v>
      </c>
      <c r="O162" s="92">
        <f>VLOOKUP($A162,'Data Vlaue (Cr)'!$C:$FB,82)</f>
        <v>-1.15E-2</v>
      </c>
    </row>
    <row r="163" spans="1:15" x14ac:dyDescent="0.25">
      <c r="A163" s="97" t="str">
        <f>'Data Vlaue (Cr)'!C158</f>
        <v>PETRONET</v>
      </c>
      <c r="B163" s="142">
        <f>VLOOKUP(A163,'Data Vlaue (Cr)'!C158:CW372,99,0)</f>
        <v>2077</v>
      </c>
      <c r="C163" s="90">
        <f>VLOOKUP(A163,'Data Vlaue (Cr)'!C158:CY372,101,0)</f>
        <v>21</v>
      </c>
      <c r="D163" s="139">
        <f>VLOOKUP(A163,'Data Vlaue (Cr)'!C158:CZ372,102,0)</f>
        <v>1.0200000000000001E-2</v>
      </c>
      <c r="E163" s="91">
        <f>VLOOKUP($A163,'Data Vlaue (Cr)'!$C:$FB,75)</f>
        <v>1211</v>
      </c>
      <c r="F163" s="91">
        <f>VLOOKUP($A163,'Data Vlaue (Cr)'!$C:$FB,77)</f>
        <v>9</v>
      </c>
      <c r="G163" s="92">
        <f>VLOOKUP(A163,'Data Vlaue (Cr)'!C158:CB372,78,0)</f>
        <v>7.4000000000000003E-3</v>
      </c>
      <c r="H163" s="91">
        <f>VLOOKUP($A163,'Data Vlaue (Cr)'!$C:$FB,91)</f>
        <v>430</v>
      </c>
      <c r="I163" s="91">
        <f>VLOOKUP($A163,'Data Vlaue (Cr)'!$C:$FB,93)</f>
        <v>10</v>
      </c>
      <c r="J163" s="92">
        <f>VLOOKUP($A163,'Data Vlaue (Cr)'!$C:$FB,94)</f>
        <v>2.4199999999999999E-2</v>
      </c>
      <c r="K163" s="91">
        <f>VLOOKUP($A163,'Data Vlaue (Cr)'!$C:$FB,95)</f>
        <v>436</v>
      </c>
      <c r="L163" s="91">
        <f>VLOOKUP($A163,'Data Vlaue (Cr)'!$C:$FB,97)</f>
        <v>2</v>
      </c>
      <c r="M163" s="92">
        <f>VLOOKUP($A163,'Data Vlaue (Cr)'!$C:$FB,98)</f>
        <v>4.7000000000000002E-3</v>
      </c>
      <c r="N163" s="91">
        <f>VLOOKUP($A163,'Data Vlaue (Cr)'!$C:$FB,79)</f>
        <v>1187</v>
      </c>
      <c r="O163" s="92">
        <f>VLOOKUP($A163,'Data Vlaue (Cr)'!$C:$FB,82)</f>
        <v>4.8999999999999998E-3</v>
      </c>
    </row>
    <row r="164" spans="1:15" x14ac:dyDescent="0.25">
      <c r="A164" s="97" t="str">
        <f>'Data Vlaue (Cr)'!C159</f>
        <v>PFC</v>
      </c>
      <c r="B164" s="142">
        <f>VLOOKUP(A164,'Data Vlaue (Cr)'!C159:CW373,99,0)</f>
        <v>3875</v>
      </c>
      <c r="C164" s="90">
        <f>VLOOKUP(A164,'Data Vlaue (Cr)'!C159:CY373,101,0)</f>
        <v>-50</v>
      </c>
      <c r="D164" s="139">
        <f>VLOOKUP(A164,'Data Vlaue (Cr)'!C159:CZ373,102,0)</f>
        <v>-1.26E-2</v>
      </c>
      <c r="E164" s="91">
        <f>VLOOKUP($A164,'Data Vlaue (Cr)'!$C:$FB,75)</f>
        <v>2211</v>
      </c>
      <c r="F164" s="91">
        <f>VLOOKUP($A164,'Data Vlaue (Cr)'!$C:$FB,77)</f>
        <v>-9</v>
      </c>
      <c r="G164" s="92">
        <f>VLOOKUP(A164,'Data Vlaue (Cr)'!C159:CB373,78,0)</f>
        <v>-3.8999999999999998E-3</v>
      </c>
      <c r="H164" s="91">
        <f>VLOOKUP($A164,'Data Vlaue (Cr)'!$C:$FB,91)</f>
        <v>945</v>
      </c>
      <c r="I164" s="91">
        <f>VLOOKUP($A164,'Data Vlaue (Cr)'!$C:$FB,93)</f>
        <v>-29</v>
      </c>
      <c r="J164" s="92">
        <f>VLOOKUP($A164,'Data Vlaue (Cr)'!$C:$FB,94)</f>
        <v>-2.9399999999999999E-2</v>
      </c>
      <c r="K164" s="91">
        <f>VLOOKUP($A164,'Data Vlaue (Cr)'!$C:$FB,95)</f>
        <v>719</v>
      </c>
      <c r="L164" s="91">
        <f>VLOOKUP($A164,'Data Vlaue (Cr)'!$C:$FB,97)</f>
        <v>-12</v>
      </c>
      <c r="M164" s="92">
        <f>VLOOKUP($A164,'Data Vlaue (Cr)'!$C:$FB,98)</f>
        <v>-1.67E-2</v>
      </c>
      <c r="N164" s="91">
        <f>VLOOKUP($A164,'Data Vlaue (Cr)'!$C:$FB,79)</f>
        <v>2037</v>
      </c>
      <c r="O164" s="92">
        <f>VLOOKUP($A164,'Data Vlaue (Cr)'!$C:$FB,82)</f>
        <v>-3.0000000000000001E-3</v>
      </c>
    </row>
    <row r="165" spans="1:15" x14ac:dyDescent="0.25">
      <c r="A165" s="97" t="str">
        <f>'Data Vlaue (Cr)'!C160</f>
        <v>PGEL</v>
      </c>
      <c r="B165" s="142">
        <f>VLOOKUP(A165,'Data Vlaue (Cr)'!C160:CW374,99,0)</f>
        <v>1426</v>
      </c>
      <c r="C165" s="90">
        <f>VLOOKUP(A165,'Data Vlaue (Cr)'!C160:CY374,101,0)</f>
        <v>303</v>
      </c>
      <c r="D165" s="139">
        <f>VLOOKUP(A165,'Data Vlaue (Cr)'!C160:CZ374,102,0)</f>
        <v>0.2702</v>
      </c>
      <c r="E165" s="91">
        <f>VLOOKUP($A165,'Data Vlaue (Cr)'!$C:$FB,75)</f>
        <v>658</v>
      </c>
      <c r="F165" s="91">
        <f>VLOOKUP($A165,'Data Vlaue (Cr)'!$C:$FB,77)</f>
        <v>102</v>
      </c>
      <c r="G165" s="92">
        <f>VLOOKUP(A165,'Data Vlaue (Cr)'!C160:CB374,78,0)</f>
        <v>0.1832</v>
      </c>
      <c r="H165" s="91">
        <f>VLOOKUP($A165,'Data Vlaue (Cr)'!$C:$FB,91)</f>
        <v>400</v>
      </c>
      <c r="I165" s="91">
        <f>VLOOKUP($A165,'Data Vlaue (Cr)'!$C:$FB,93)</f>
        <v>60</v>
      </c>
      <c r="J165" s="92">
        <f>VLOOKUP($A165,'Data Vlaue (Cr)'!$C:$FB,94)</f>
        <v>0.17680000000000001</v>
      </c>
      <c r="K165" s="91">
        <f>VLOOKUP($A165,'Data Vlaue (Cr)'!$C:$FB,95)</f>
        <v>368</v>
      </c>
      <c r="L165" s="91">
        <f>VLOOKUP($A165,'Data Vlaue (Cr)'!$C:$FB,97)</f>
        <v>141</v>
      </c>
      <c r="M165" s="92">
        <f>VLOOKUP($A165,'Data Vlaue (Cr)'!$C:$FB,98)</f>
        <v>0.62409999999999999</v>
      </c>
      <c r="N165" s="91">
        <f>VLOOKUP($A165,'Data Vlaue (Cr)'!$C:$FB,79)</f>
        <v>638</v>
      </c>
      <c r="O165" s="92">
        <f>VLOOKUP($A165,'Data Vlaue (Cr)'!$C:$FB,82)</f>
        <v>0.192</v>
      </c>
    </row>
    <row r="166" spans="1:15" x14ac:dyDescent="0.25">
      <c r="A166" s="97" t="str">
        <f>'Data Vlaue (Cr)'!C161</f>
        <v>PHOENIXLTD</v>
      </c>
      <c r="B166" s="142">
        <f>VLOOKUP(A166,'Data Vlaue (Cr)'!C161:CW375,99,0)</f>
        <v>874</v>
      </c>
      <c r="C166" s="90">
        <f>VLOOKUP(A166,'Data Vlaue (Cr)'!C161:CY375,101,0)</f>
        <v>3</v>
      </c>
      <c r="D166" s="139">
        <f>VLOOKUP(A166,'Data Vlaue (Cr)'!C161:CZ375,102,0)</f>
        <v>3.0000000000000001E-3</v>
      </c>
      <c r="E166" s="91">
        <f>VLOOKUP($A166,'Data Vlaue (Cr)'!$C:$FB,75)</f>
        <v>660</v>
      </c>
      <c r="F166" s="91">
        <f>VLOOKUP($A166,'Data Vlaue (Cr)'!$C:$FB,77)</f>
        <v>-6</v>
      </c>
      <c r="G166" s="92">
        <f>VLOOKUP(A166,'Data Vlaue (Cr)'!C161:CB375,78,0)</f>
        <v>-9.4999999999999998E-3</v>
      </c>
      <c r="H166" s="91">
        <f>VLOOKUP($A166,'Data Vlaue (Cr)'!$C:$FB,91)</f>
        <v>131</v>
      </c>
      <c r="I166" s="91">
        <f>VLOOKUP($A166,'Data Vlaue (Cr)'!$C:$FB,93)</f>
        <v>2</v>
      </c>
      <c r="J166" s="92">
        <f>VLOOKUP($A166,'Data Vlaue (Cr)'!$C:$FB,94)</f>
        <v>1.3899999999999999E-2</v>
      </c>
      <c r="K166" s="91">
        <f>VLOOKUP($A166,'Data Vlaue (Cr)'!$C:$FB,95)</f>
        <v>82</v>
      </c>
      <c r="L166" s="91">
        <f>VLOOKUP($A166,'Data Vlaue (Cr)'!$C:$FB,97)</f>
        <v>7</v>
      </c>
      <c r="M166" s="92">
        <f>VLOOKUP($A166,'Data Vlaue (Cr)'!$C:$FB,98)</f>
        <v>9.4600000000000004E-2</v>
      </c>
      <c r="N166" s="91">
        <f>VLOOKUP($A166,'Data Vlaue (Cr)'!$C:$FB,79)</f>
        <v>648</v>
      </c>
      <c r="O166" s="92">
        <f>VLOOKUP($A166,'Data Vlaue (Cr)'!$C:$FB,82)</f>
        <v>-1.04E-2</v>
      </c>
    </row>
    <row r="167" spans="1:15" x14ac:dyDescent="0.25">
      <c r="A167" s="97" t="str">
        <f>'Data Vlaue (Cr)'!C162</f>
        <v>PIDILITIND</v>
      </c>
      <c r="B167" s="142">
        <f>VLOOKUP(A167,'Data Vlaue (Cr)'!C162:CW376,99,0)</f>
        <v>1803</v>
      </c>
      <c r="C167" s="90">
        <f>VLOOKUP(A167,'Data Vlaue (Cr)'!C162:CY376,101,0)</f>
        <v>0</v>
      </c>
      <c r="D167" s="139">
        <f>VLOOKUP(A167,'Data Vlaue (Cr)'!C162:CZ376,102,0)</f>
        <v>2.0000000000000001E-4</v>
      </c>
      <c r="E167" s="91">
        <f>VLOOKUP($A167,'Data Vlaue (Cr)'!$C:$FB,75)</f>
        <v>1462</v>
      </c>
      <c r="F167" s="91">
        <f>VLOOKUP($A167,'Data Vlaue (Cr)'!$C:$FB,77)</f>
        <v>10</v>
      </c>
      <c r="G167" s="92">
        <f>VLOOKUP(A167,'Data Vlaue (Cr)'!C162:CB376,78,0)</f>
        <v>7.1000000000000004E-3</v>
      </c>
      <c r="H167" s="91">
        <f>VLOOKUP($A167,'Data Vlaue (Cr)'!$C:$FB,91)</f>
        <v>206</v>
      </c>
      <c r="I167" s="91">
        <f>VLOOKUP($A167,'Data Vlaue (Cr)'!$C:$FB,93)</f>
        <v>-7</v>
      </c>
      <c r="J167" s="92">
        <f>VLOOKUP($A167,'Data Vlaue (Cr)'!$C:$FB,94)</f>
        <v>-3.3500000000000002E-2</v>
      </c>
      <c r="K167" s="91">
        <f>VLOOKUP($A167,'Data Vlaue (Cr)'!$C:$FB,95)</f>
        <v>135</v>
      </c>
      <c r="L167" s="91">
        <f>VLOOKUP($A167,'Data Vlaue (Cr)'!$C:$FB,97)</f>
        <v>-3</v>
      </c>
      <c r="M167" s="92">
        <f>VLOOKUP($A167,'Data Vlaue (Cr)'!$C:$FB,98)</f>
        <v>-2.1399999999999999E-2</v>
      </c>
      <c r="N167" s="91">
        <f>VLOOKUP($A167,'Data Vlaue (Cr)'!$C:$FB,79)</f>
        <v>1449</v>
      </c>
      <c r="O167" s="92">
        <f>VLOOKUP($A167,'Data Vlaue (Cr)'!$C:$FB,82)</f>
        <v>6.7000000000000002E-3</v>
      </c>
    </row>
    <row r="168" spans="1:15" x14ac:dyDescent="0.25">
      <c r="A168" s="97" t="str">
        <f>'Data Vlaue (Cr)'!C163</f>
        <v>PIIND</v>
      </c>
      <c r="B168" s="142">
        <f>VLOOKUP(A168,'Data Vlaue (Cr)'!C163:CW377,99,0)</f>
        <v>878</v>
      </c>
      <c r="C168" s="90">
        <f>VLOOKUP(A168,'Data Vlaue (Cr)'!C163:CY377,101,0)</f>
        <v>-5</v>
      </c>
      <c r="D168" s="139">
        <f>VLOOKUP(A168,'Data Vlaue (Cr)'!C163:CZ377,102,0)</f>
        <v>-5.4000000000000003E-3</v>
      </c>
      <c r="E168" s="91">
        <f>VLOOKUP($A168,'Data Vlaue (Cr)'!$C:$FB,75)</f>
        <v>644</v>
      </c>
      <c r="F168" s="91">
        <f>VLOOKUP($A168,'Data Vlaue (Cr)'!$C:$FB,77)</f>
        <v>-9</v>
      </c>
      <c r="G168" s="92">
        <f>VLOOKUP(A168,'Data Vlaue (Cr)'!C163:CB377,78,0)</f>
        <v>-1.38E-2</v>
      </c>
      <c r="H168" s="91">
        <f>VLOOKUP($A168,'Data Vlaue (Cr)'!$C:$FB,91)</f>
        <v>133</v>
      </c>
      <c r="I168" s="91">
        <f>VLOOKUP($A168,'Data Vlaue (Cr)'!$C:$FB,93)</f>
        <v>0</v>
      </c>
      <c r="J168" s="92">
        <f>VLOOKUP($A168,'Data Vlaue (Cr)'!$C:$FB,94)</f>
        <v>0</v>
      </c>
      <c r="K168" s="91">
        <f>VLOOKUP($A168,'Data Vlaue (Cr)'!$C:$FB,95)</f>
        <v>101</v>
      </c>
      <c r="L168" s="91">
        <f>VLOOKUP($A168,'Data Vlaue (Cr)'!$C:$FB,97)</f>
        <v>4</v>
      </c>
      <c r="M168" s="92">
        <f>VLOOKUP($A168,'Data Vlaue (Cr)'!$C:$FB,98)</f>
        <v>4.3999999999999997E-2</v>
      </c>
      <c r="N168" s="91">
        <f>VLOOKUP($A168,'Data Vlaue (Cr)'!$C:$FB,79)</f>
        <v>627</v>
      </c>
      <c r="O168" s="92">
        <f>VLOOKUP($A168,'Data Vlaue (Cr)'!$C:$FB,82)</f>
        <v>-1.4500000000000001E-2</v>
      </c>
    </row>
    <row r="169" spans="1:15" x14ac:dyDescent="0.25">
      <c r="A169" s="97" t="str">
        <f>'Data Vlaue (Cr)'!C164</f>
        <v>PNB</v>
      </c>
      <c r="B169" s="142">
        <f>VLOOKUP(A169,'Data Vlaue (Cr)'!C164:CW378,99,0)</f>
        <v>5448</v>
      </c>
      <c r="C169" s="90">
        <f>VLOOKUP(A169,'Data Vlaue (Cr)'!C164:CY378,101,0)</f>
        <v>32</v>
      </c>
      <c r="D169" s="139">
        <f>VLOOKUP(A169,'Data Vlaue (Cr)'!C164:CZ378,102,0)</f>
        <v>5.7999999999999996E-3</v>
      </c>
      <c r="E169" s="91">
        <f>VLOOKUP($A169,'Data Vlaue (Cr)'!$C:$FB,75)</f>
        <v>3015</v>
      </c>
      <c r="F169" s="91">
        <f>VLOOKUP($A169,'Data Vlaue (Cr)'!$C:$FB,77)</f>
        <v>-6</v>
      </c>
      <c r="G169" s="92">
        <f>VLOOKUP(A169,'Data Vlaue (Cr)'!C164:CB378,78,0)</f>
        <v>-2E-3</v>
      </c>
      <c r="H169" s="91">
        <f>VLOOKUP($A169,'Data Vlaue (Cr)'!$C:$FB,91)</f>
        <v>1329</v>
      </c>
      <c r="I169" s="91">
        <f>VLOOKUP($A169,'Data Vlaue (Cr)'!$C:$FB,93)</f>
        <v>-96</v>
      </c>
      <c r="J169" s="92">
        <f>VLOOKUP($A169,'Data Vlaue (Cr)'!$C:$FB,94)</f>
        <v>-6.7100000000000007E-2</v>
      </c>
      <c r="K169" s="91">
        <f>VLOOKUP($A169,'Data Vlaue (Cr)'!$C:$FB,95)</f>
        <v>1104</v>
      </c>
      <c r="L169" s="91">
        <f>VLOOKUP($A169,'Data Vlaue (Cr)'!$C:$FB,97)</f>
        <v>133</v>
      </c>
      <c r="M169" s="92">
        <f>VLOOKUP($A169,'Data Vlaue (Cr)'!$C:$FB,98)</f>
        <v>0.1371</v>
      </c>
      <c r="N169" s="91">
        <f>VLOOKUP($A169,'Data Vlaue (Cr)'!$C:$FB,79)</f>
        <v>2860</v>
      </c>
      <c r="O169" s="92">
        <f>VLOOKUP($A169,'Data Vlaue (Cr)'!$C:$FB,82)</f>
        <v>-6.1999999999999998E-3</v>
      </c>
    </row>
    <row r="170" spans="1:15" x14ac:dyDescent="0.25">
      <c r="A170" s="97" t="str">
        <f>'Data Vlaue (Cr)'!C165</f>
        <v>PNBHOUSING</v>
      </c>
      <c r="B170" s="142">
        <f>VLOOKUP(A170,'Data Vlaue (Cr)'!C165:CW379,99,0)</f>
        <v>1909</v>
      </c>
      <c r="C170" s="90">
        <f>VLOOKUP(A170,'Data Vlaue (Cr)'!C165:CY379,101,0)</f>
        <v>101</v>
      </c>
      <c r="D170" s="139">
        <f>VLOOKUP(A170,'Data Vlaue (Cr)'!C165:CZ379,102,0)</f>
        <v>5.5899999999999998E-2</v>
      </c>
      <c r="E170" s="91">
        <f>VLOOKUP($A170,'Data Vlaue (Cr)'!$C:$FB,75)</f>
        <v>1304</v>
      </c>
      <c r="F170" s="91">
        <f>VLOOKUP($A170,'Data Vlaue (Cr)'!$C:$FB,77)</f>
        <v>19</v>
      </c>
      <c r="G170" s="92">
        <f>VLOOKUP(A170,'Data Vlaue (Cr)'!C165:CB379,78,0)</f>
        <v>1.46E-2</v>
      </c>
      <c r="H170" s="91">
        <f>VLOOKUP($A170,'Data Vlaue (Cr)'!$C:$FB,91)</f>
        <v>349</v>
      </c>
      <c r="I170" s="91">
        <f>VLOOKUP($A170,'Data Vlaue (Cr)'!$C:$FB,93)</f>
        <v>38</v>
      </c>
      <c r="J170" s="92">
        <f>VLOOKUP($A170,'Data Vlaue (Cr)'!$C:$FB,94)</f>
        <v>0.12180000000000001</v>
      </c>
      <c r="K170" s="91">
        <f>VLOOKUP($A170,'Data Vlaue (Cr)'!$C:$FB,95)</f>
        <v>256</v>
      </c>
      <c r="L170" s="91">
        <f>VLOOKUP($A170,'Data Vlaue (Cr)'!$C:$FB,97)</f>
        <v>44</v>
      </c>
      <c r="M170" s="92">
        <f>VLOOKUP($A170,'Data Vlaue (Cr)'!$C:$FB,98)</f>
        <v>0.2099</v>
      </c>
      <c r="N170" s="91">
        <f>VLOOKUP($A170,'Data Vlaue (Cr)'!$C:$FB,79)</f>
        <v>1267</v>
      </c>
      <c r="O170" s="92">
        <f>VLOOKUP($A170,'Data Vlaue (Cr)'!$C:$FB,82)</f>
        <v>8.8000000000000005E-3</v>
      </c>
    </row>
    <row r="171" spans="1:15" x14ac:dyDescent="0.25">
      <c r="A171" s="97" t="str">
        <f>'Data Vlaue (Cr)'!C166</f>
        <v>POLICYBZR</v>
      </c>
      <c r="B171" s="142">
        <f>VLOOKUP(A171,'Data Vlaue (Cr)'!C166:CW380,99,0)</f>
        <v>1574</v>
      </c>
      <c r="C171" s="90">
        <f>VLOOKUP(A171,'Data Vlaue (Cr)'!C166:CY380,101,0)</f>
        <v>-37</v>
      </c>
      <c r="D171" s="139">
        <f>VLOOKUP(A171,'Data Vlaue (Cr)'!C166:CZ380,102,0)</f>
        <v>-2.2700000000000001E-2</v>
      </c>
      <c r="E171" s="91">
        <f>VLOOKUP($A171,'Data Vlaue (Cr)'!$C:$FB,75)</f>
        <v>1206</v>
      </c>
      <c r="F171" s="91">
        <f>VLOOKUP($A171,'Data Vlaue (Cr)'!$C:$FB,77)</f>
        <v>-33</v>
      </c>
      <c r="G171" s="92">
        <f>VLOOKUP(A171,'Data Vlaue (Cr)'!C166:CB380,78,0)</f>
        <v>-2.6599999999999999E-2</v>
      </c>
      <c r="H171" s="91">
        <f>VLOOKUP($A171,'Data Vlaue (Cr)'!$C:$FB,91)</f>
        <v>209</v>
      </c>
      <c r="I171" s="91">
        <f>VLOOKUP($A171,'Data Vlaue (Cr)'!$C:$FB,93)</f>
        <v>-4</v>
      </c>
      <c r="J171" s="92">
        <f>VLOOKUP($A171,'Data Vlaue (Cr)'!$C:$FB,94)</f>
        <v>-2.1000000000000001E-2</v>
      </c>
      <c r="K171" s="91">
        <f>VLOOKUP($A171,'Data Vlaue (Cr)'!$C:$FB,95)</f>
        <v>159</v>
      </c>
      <c r="L171" s="91">
        <f>VLOOKUP($A171,'Data Vlaue (Cr)'!$C:$FB,97)</f>
        <v>1</v>
      </c>
      <c r="M171" s="92">
        <f>VLOOKUP($A171,'Data Vlaue (Cr)'!$C:$FB,98)</f>
        <v>5.4000000000000003E-3</v>
      </c>
      <c r="N171" s="91">
        <f>VLOOKUP($A171,'Data Vlaue (Cr)'!$C:$FB,79)</f>
        <v>1196</v>
      </c>
      <c r="O171" s="92">
        <f>VLOOKUP($A171,'Data Vlaue (Cr)'!$C:$FB,82)</f>
        <v>-2.7099999999999999E-2</v>
      </c>
    </row>
    <row r="172" spans="1:15" x14ac:dyDescent="0.25">
      <c r="A172" s="97" t="str">
        <f>'Data Vlaue (Cr)'!C167</f>
        <v>POLYCAB</v>
      </c>
      <c r="B172" s="142">
        <f>VLOOKUP(A172,'Data Vlaue (Cr)'!C167:CW381,99,0)</f>
        <v>2369</v>
      </c>
      <c r="C172" s="90">
        <f>VLOOKUP(A172,'Data Vlaue (Cr)'!C167:CY381,101,0)</f>
        <v>224</v>
      </c>
      <c r="D172" s="139">
        <f>VLOOKUP(A172,'Data Vlaue (Cr)'!C167:CZ381,102,0)</f>
        <v>0.1045</v>
      </c>
      <c r="E172" s="91">
        <f>VLOOKUP($A172,'Data Vlaue (Cr)'!$C:$FB,75)</f>
        <v>1361</v>
      </c>
      <c r="F172" s="91">
        <f>VLOOKUP($A172,'Data Vlaue (Cr)'!$C:$FB,77)</f>
        <v>21</v>
      </c>
      <c r="G172" s="92">
        <f>VLOOKUP(A172,'Data Vlaue (Cr)'!C167:CB381,78,0)</f>
        <v>1.5699999999999999E-2</v>
      </c>
      <c r="H172" s="91">
        <f>VLOOKUP($A172,'Data Vlaue (Cr)'!$C:$FB,91)</f>
        <v>680</v>
      </c>
      <c r="I172" s="91">
        <f>VLOOKUP($A172,'Data Vlaue (Cr)'!$C:$FB,93)</f>
        <v>170</v>
      </c>
      <c r="J172" s="92">
        <f>VLOOKUP($A172,'Data Vlaue (Cr)'!$C:$FB,94)</f>
        <v>0.33400000000000002</v>
      </c>
      <c r="K172" s="91">
        <f>VLOOKUP($A172,'Data Vlaue (Cr)'!$C:$FB,95)</f>
        <v>328</v>
      </c>
      <c r="L172" s="91">
        <f>VLOOKUP($A172,'Data Vlaue (Cr)'!$C:$FB,97)</f>
        <v>33</v>
      </c>
      <c r="M172" s="92">
        <f>VLOOKUP($A172,'Data Vlaue (Cr)'!$C:$FB,98)</f>
        <v>0.1106</v>
      </c>
      <c r="N172" s="91">
        <f>VLOOKUP($A172,'Data Vlaue (Cr)'!$C:$FB,79)</f>
        <v>1323</v>
      </c>
      <c r="O172" s="92">
        <f>VLOOKUP($A172,'Data Vlaue (Cr)'!$C:$FB,82)</f>
        <v>9.5999999999999992E-3</v>
      </c>
    </row>
    <row r="173" spans="1:15" x14ac:dyDescent="0.25">
      <c r="A173" s="97" t="str">
        <f>'Data Vlaue (Cr)'!C168</f>
        <v>POWERGRID</v>
      </c>
      <c r="B173" s="142">
        <f>VLOOKUP(A173,'Data Vlaue (Cr)'!C168:CW382,99,0)</f>
        <v>3482</v>
      </c>
      <c r="C173" s="90">
        <f>VLOOKUP(A173,'Data Vlaue (Cr)'!C168:CY382,101,0)</f>
        <v>-1</v>
      </c>
      <c r="D173" s="139">
        <f>VLOOKUP(A173,'Data Vlaue (Cr)'!C168:CZ382,102,0)</f>
        <v>-2.0000000000000001E-4</v>
      </c>
      <c r="E173" s="91">
        <f>VLOOKUP($A173,'Data Vlaue (Cr)'!$C:$FB,75)</f>
        <v>2125</v>
      </c>
      <c r="F173" s="91">
        <f>VLOOKUP($A173,'Data Vlaue (Cr)'!$C:$FB,77)</f>
        <v>7</v>
      </c>
      <c r="G173" s="92">
        <f>VLOOKUP(A173,'Data Vlaue (Cr)'!C168:CB382,78,0)</f>
        <v>3.5000000000000001E-3</v>
      </c>
      <c r="H173" s="91">
        <f>VLOOKUP($A173,'Data Vlaue (Cr)'!$C:$FB,91)</f>
        <v>899</v>
      </c>
      <c r="I173" s="91">
        <f>VLOOKUP($A173,'Data Vlaue (Cr)'!$C:$FB,93)</f>
        <v>-5</v>
      </c>
      <c r="J173" s="92">
        <f>VLOOKUP($A173,'Data Vlaue (Cr)'!$C:$FB,94)</f>
        <v>-5.1000000000000004E-3</v>
      </c>
      <c r="K173" s="91">
        <f>VLOOKUP($A173,'Data Vlaue (Cr)'!$C:$FB,95)</f>
        <v>458</v>
      </c>
      <c r="L173" s="91">
        <f>VLOOKUP($A173,'Data Vlaue (Cr)'!$C:$FB,97)</f>
        <v>-3</v>
      </c>
      <c r="M173" s="92">
        <f>VLOOKUP($A173,'Data Vlaue (Cr)'!$C:$FB,98)</f>
        <v>-7.4999999999999997E-3</v>
      </c>
      <c r="N173" s="91">
        <f>VLOOKUP($A173,'Data Vlaue (Cr)'!$C:$FB,79)</f>
        <v>2050</v>
      </c>
      <c r="O173" s="92">
        <f>VLOOKUP($A173,'Data Vlaue (Cr)'!$C:$FB,82)</f>
        <v>2.7000000000000001E-3</v>
      </c>
    </row>
    <row r="174" spans="1:15" x14ac:dyDescent="0.25">
      <c r="A174" s="97" t="str">
        <f>'Data Vlaue (Cr)'!C169</f>
        <v>POWERINDIA</v>
      </c>
      <c r="B174" s="142">
        <f>VLOOKUP(A174,'Data Vlaue (Cr)'!C169:CW383,99,0)</f>
        <v>205</v>
      </c>
      <c r="C174" s="90">
        <f>VLOOKUP(A174,'Data Vlaue (Cr)'!C169:CY383,101,0)</f>
        <v>10</v>
      </c>
      <c r="D174" s="139">
        <f>VLOOKUP(A174,'Data Vlaue (Cr)'!C169:CZ383,102,0)</f>
        <v>5.1400000000000001E-2</v>
      </c>
      <c r="E174" s="91">
        <f>VLOOKUP($A174,'Data Vlaue (Cr)'!$C:$FB,75)</f>
        <v>108</v>
      </c>
      <c r="F174" s="91">
        <f>VLOOKUP($A174,'Data Vlaue (Cr)'!$C:$FB,77)</f>
        <v>6</v>
      </c>
      <c r="G174" s="92">
        <f>VLOOKUP(A174,'Data Vlaue (Cr)'!C169:CB383,78,0)</f>
        <v>5.4300000000000001E-2</v>
      </c>
      <c r="H174" s="91">
        <f>VLOOKUP($A174,'Data Vlaue (Cr)'!$C:$FB,91)</f>
        <v>75</v>
      </c>
      <c r="I174" s="91">
        <f>VLOOKUP($A174,'Data Vlaue (Cr)'!$C:$FB,93)</f>
        <v>5</v>
      </c>
      <c r="J174" s="92">
        <f>VLOOKUP($A174,'Data Vlaue (Cr)'!$C:$FB,94)</f>
        <v>6.6299999999999998E-2</v>
      </c>
      <c r="K174" s="91">
        <f>VLOOKUP($A174,'Data Vlaue (Cr)'!$C:$FB,95)</f>
        <v>21</v>
      </c>
      <c r="L174" s="91">
        <f>VLOOKUP($A174,'Data Vlaue (Cr)'!$C:$FB,97)</f>
        <v>0</v>
      </c>
      <c r="M174" s="92">
        <f>VLOOKUP($A174,'Data Vlaue (Cr)'!$C:$FB,98)</f>
        <v>-1.24E-2</v>
      </c>
      <c r="N174" s="91">
        <f>VLOOKUP($A174,'Data Vlaue (Cr)'!$C:$FB,79)</f>
        <v>107</v>
      </c>
      <c r="O174" s="92">
        <f>VLOOKUP($A174,'Data Vlaue (Cr)'!$C:$FB,82)</f>
        <v>5.2400000000000002E-2</v>
      </c>
    </row>
    <row r="175" spans="1:15" x14ac:dyDescent="0.25">
      <c r="A175" s="97" t="str">
        <f>'Data Vlaue (Cr)'!C170</f>
        <v>PPLPHARMA</v>
      </c>
      <c r="B175" s="142">
        <f>VLOOKUP(A175,'Data Vlaue (Cr)'!C170:CW384,99,0)</f>
        <v>783</v>
      </c>
      <c r="C175" s="90">
        <f>VLOOKUP(A175,'Data Vlaue (Cr)'!C170:CY384,101,0)</f>
        <v>87</v>
      </c>
      <c r="D175" s="139">
        <f>VLOOKUP(A175,'Data Vlaue (Cr)'!C170:CZ384,102,0)</f>
        <v>0.12559999999999999</v>
      </c>
      <c r="E175" s="91">
        <f>VLOOKUP($A175,'Data Vlaue (Cr)'!$C:$FB,75)</f>
        <v>395</v>
      </c>
      <c r="F175" s="91">
        <f>VLOOKUP($A175,'Data Vlaue (Cr)'!$C:$FB,77)</f>
        <v>28</v>
      </c>
      <c r="G175" s="92">
        <f>VLOOKUP(A175,'Data Vlaue (Cr)'!C170:CB384,78,0)</f>
        <v>7.5600000000000001E-2</v>
      </c>
      <c r="H175" s="91">
        <f>VLOOKUP($A175,'Data Vlaue (Cr)'!$C:$FB,91)</f>
        <v>233</v>
      </c>
      <c r="I175" s="91">
        <f>VLOOKUP($A175,'Data Vlaue (Cr)'!$C:$FB,93)</f>
        <v>11</v>
      </c>
      <c r="J175" s="92">
        <f>VLOOKUP($A175,'Data Vlaue (Cr)'!$C:$FB,94)</f>
        <v>5.1400000000000001E-2</v>
      </c>
      <c r="K175" s="91">
        <f>VLOOKUP($A175,'Data Vlaue (Cr)'!$C:$FB,95)</f>
        <v>154</v>
      </c>
      <c r="L175" s="91">
        <f>VLOOKUP($A175,'Data Vlaue (Cr)'!$C:$FB,97)</f>
        <v>48</v>
      </c>
      <c r="M175" s="92">
        <f>VLOOKUP($A175,'Data Vlaue (Cr)'!$C:$FB,98)</f>
        <v>0.4541</v>
      </c>
      <c r="N175" s="91">
        <f>VLOOKUP($A175,'Data Vlaue (Cr)'!$C:$FB,79)</f>
        <v>375</v>
      </c>
      <c r="O175" s="92">
        <f>VLOOKUP($A175,'Data Vlaue (Cr)'!$C:$FB,82)</f>
        <v>7.7299999999999994E-2</v>
      </c>
    </row>
    <row r="176" spans="1:15" x14ac:dyDescent="0.25">
      <c r="A176" s="97" t="str">
        <f>'Data Vlaue (Cr)'!C171</f>
        <v>PRESTIGE</v>
      </c>
      <c r="B176" s="142">
        <f>VLOOKUP(A176,'Data Vlaue (Cr)'!C171:CW385,99,0)</f>
        <v>1278</v>
      </c>
      <c r="C176" s="90">
        <f>VLOOKUP(A176,'Data Vlaue (Cr)'!C171:CY385,101,0)</f>
        <v>61</v>
      </c>
      <c r="D176" s="139">
        <f>VLOOKUP(A176,'Data Vlaue (Cr)'!C171:CZ385,102,0)</f>
        <v>4.9700000000000001E-2</v>
      </c>
      <c r="E176" s="91">
        <f>VLOOKUP($A176,'Data Vlaue (Cr)'!$C:$FB,75)</f>
        <v>737</v>
      </c>
      <c r="F176" s="91">
        <f>VLOOKUP($A176,'Data Vlaue (Cr)'!$C:$FB,77)</f>
        <v>-13</v>
      </c>
      <c r="G176" s="92">
        <f>VLOOKUP(A176,'Data Vlaue (Cr)'!C171:CB385,78,0)</f>
        <v>-1.7899999999999999E-2</v>
      </c>
      <c r="H176" s="91">
        <f>VLOOKUP($A176,'Data Vlaue (Cr)'!$C:$FB,91)</f>
        <v>323</v>
      </c>
      <c r="I176" s="91">
        <f>VLOOKUP($A176,'Data Vlaue (Cr)'!$C:$FB,93)</f>
        <v>47</v>
      </c>
      <c r="J176" s="92">
        <f>VLOOKUP($A176,'Data Vlaue (Cr)'!$C:$FB,94)</f>
        <v>0.17100000000000001</v>
      </c>
      <c r="K176" s="91">
        <f>VLOOKUP($A176,'Data Vlaue (Cr)'!$C:$FB,95)</f>
        <v>217</v>
      </c>
      <c r="L176" s="91">
        <f>VLOOKUP($A176,'Data Vlaue (Cr)'!$C:$FB,97)</f>
        <v>27</v>
      </c>
      <c r="M176" s="92">
        <f>VLOOKUP($A176,'Data Vlaue (Cr)'!$C:$FB,98)</f>
        <v>0.14030000000000001</v>
      </c>
      <c r="N176" s="91">
        <f>VLOOKUP($A176,'Data Vlaue (Cr)'!$C:$FB,79)</f>
        <v>727</v>
      </c>
      <c r="O176" s="92">
        <f>VLOOKUP($A176,'Data Vlaue (Cr)'!$C:$FB,82)</f>
        <v>-1.7899999999999999E-2</v>
      </c>
    </row>
    <row r="177" spans="1:15" x14ac:dyDescent="0.25">
      <c r="A177" s="97" t="str">
        <f>'Data Vlaue (Cr)'!C172</f>
        <v>RBLBANK</v>
      </c>
      <c r="B177" s="142">
        <f>VLOOKUP(A177,'Data Vlaue (Cr)'!C172:CW386,99,0)</f>
        <v>3227</v>
      </c>
      <c r="C177" s="90">
        <f>VLOOKUP(A177,'Data Vlaue (Cr)'!C172:CY386,101,0)</f>
        <v>-63</v>
      </c>
      <c r="D177" s="139">
        <f>VLOOKUP(A177,'Data Vlaue (Cr)'!C172:CZ386,102,0)</f>
        <v>-1.9099999999999999E-2</v>
      </c>
      <c r="E177" s="91">
        <f>VLOOKUP($A177,'Data Vlaue (Cr)'!$C:$FB,75)</f>
        <v>2326</v>
      </c>
      <c r="F177" s="91">
        <f>VLOOKUP($A177,'Data Vlaue (Cr)'!$C:$FB,77)</f>
        <v>-35</v>
      </c>
      <c r="G177" s="92">
        <f>VLOOKUP(A177,'Data Vlaue (Cr)'!C172:CB386,78,0)</f>
        <v>-1.49E-2</v>
      </c>
      <c r="H177" s="91">
        <f>VLOOKUP($A177,'Data Vlaue (Cr)'!$C:$FB,91)</f>
        <v>628</v>
      </c>
      <c r="I177" s="91">
        <f>VLOOKUP($A177,'Data Vlaue (Cr)'!$C:$FB,93)</f>
        <v>-20</v>
      </c>
      <c r="J177" s="92">
        <f>VLOOKUP($A177,'Data Vlaue (Cr)'!$C:$FB,94)</f>
        <v>-3.0200000000000001E-2</v>
      </c>
      <c r="K177" s="91">
        <f>VLOOKUP($A177,'Data Vlaue (Cr)'!$C:$FB,95)</f>
        <v>272</v>
      </c>
      <c r="L177" s="91">
        <f>VLOOKUP($A177,'Data Vlaue (Cr)'!$C:$FB,97)</f>
        <v>-8</v>
      </c>
      <c r="M177" s="92">
        <f>VLOOKUP($A177,'Data Vlaue (Cr)'!$C:$FB,98)</f>
        <v>-2.9100000000000001E-2</v>
      </c>
      <c r="N177" s="91">
        <f>VLOOKUP($A177,'Data Vlaue (Cr)'!$C:$FB,79)</f>
        <v>2224</v>
      </c>
      <c r="O177" s="92">
        <f>VLOOKUP($A177,'Data Vlaue (Cr)'!$C:$FB,82)</f>
        <v>-1.5100000000000001E-2</v>
      </c>
    </row>
    <row r="178" spans="1:15" x14ac:dyDescent="0.25">
      <c r="A178" s="97" t="str">
        <f>'Data Vlaue (Cr)'!C173</f>
        <v>RECLTD</v>
      </c>
      <c r="B178" s="142">
        <f>VLOOKUP(A178,'Data Vlaue (Cr)'!C173:CW387,99,0)</f>
        <v>5029</v>
      </c>
      <c r="C178" s="90">
        <f>VLOOKUP(A178,'Data Vlaue (Cr)'!C173:CY387,101,0)</f>
        <v>145</v>
      </c>
      <c r="D178" s="139">
        <f>VLOOKUP(A178,'Data Vlaue (Cr)'!C173:CZ387,102,0)</f>
        <v>2.9600000000000001E-2</v>
      </c>
      <c r="E178" s="91">
        <f>VLOOKUP($A178,'Data Vlaue (Cr)'!$C:$FB,75)</f>
        <v>3154</v>
      </c>
      <c r="F178" s="91">
        <f>VLOOKUP($A178,'Data Vlaue (Cr)'!$C:$FB,77)</f>
        <v>105</v>
      </c>
      <c r="G178" s="92">
        <f>VLOOKUP(A178,'Data Vlaue (Cr)'!C173:CB387,78,0)</f>
        <v>3.44E-2</v>
      </c>
      <c r="H178" s="91">
        <f>VLOOKUP($A178,'Data Vlaue (Cr)'!$C:$FB,91)</f>
        <v>993</v>
      </c>
      <c r="I178" s="91">
        <f>VLOOKUP($A178,'Data Vlaue (Cr)'!$C:$FB,93)</f>
        <v>32</v>
      </c>
      <c r="J178" s="92">
        <f>VLOOKUP($A178,'Data Vlaue (Cr)'!$C:$FB,94)</f>
        <v>3.3700000000000001E-2</v>
      </c>
      <c r="K178" s="91">
        <f>VLOOKUP($A178,'Data Vlaue (Cr)'!$C:$FB,95)</f>
        <v>882</v>
      </c>
      <c r="L178" s="91">
        <f>VLOOKUP($A178,'Data Vlaue (Cr)'!$C:$FB,97)</f>
        <v>7</v>
      </c>
      <c r="M178" s="92">
        <f>VLOOKUP($A178,'Data Vlaue (Cr)'!$C:$FB,98)</f>
        <v>8.3999999999999995E-3</v>
      </c>
      <c r="N178" s="91">
        <f>VLOOKUP($A178,'Data Vlaue (Cr)'!$C:$FB,79)</f>
        <v>2622</v>
      </c>
      <c r="O178" s="92">
        <f>VLOOKUP($A178,'Data Vlaue (Cr)'!$C:$FB,82)</f>
        <v>6.7999999999999996E-3</v>
      </c>
    </row>
    <row r="179" spans="1:15" x14ac:dyDescent="0.25">
      <c r="A179" s="97" t="str">
        <f>'Data Vlaue (Cr)'!C174</f>
        <v>RELIANCE</v>
      </c>
      <c r="B179" s="142">
        <f>VLOOKUP(A179,'Data Vlaue (Cr)'!C174:CW388,99,0)</f>
        <v>31112</v>
      </c>
      <c r="C179" s="90">
        <f>VLOOKUP(A179,'Data Vlaue (Cr)'!C174:CY388,101,0)</f>
        <v>101</v>
      </c>
      <c r="D179" s="139">
        <f>VLOOKUP(A179,'Data Vlaue (Cr)'!C174:CZ388,102,0)</f>
        <v>3.2000000000000002E-3</v>
      </c>
      <c r="E179" s="91">
        <f>VLOOKUP($A179,'Data Vlaue (Cr)'!$C:$FB,75)</f>
        <v>18992</v>
      </c>
      <c r="F179" s="91">
        <f>VLOOKUP($A179,'Data Vlaue (Cr)'!$C:$FB,77)</f>
        <v>63</v>
      </c>
      <c r="G179" s="92">
        <f>VLOOKUP(A179,'Data Vlaue (Cr)'!C174:CB388,78,0)</f>
        <v>3.3E-3</v>
      </c>
      <c r="H179" s="91">
        <f>VLOOKUP($A179,'Data Vlaue (Cr)'!$C:$FB,91)</f>
        <v>7007</v>
      </c>
      <c r="I179" s="91">
        <f>VLOOKUP($A179,'Data Vlaue (Cr)'!$C:$FB,93)</f>
        <v>7</v>
      </c>
      <c r="J179" s="92">
        <f>VLOOKUP($A179,'Data Vlaue (Cr)'!$C:$FB,94)</f>
        <v>1E-3</v>
      </c>
      <c r="K179" s="91">
        <f>VLOOKUP($A179,'Data Vlaue (Cr)'!$C:$FB,95)</f>
        <v>5113</v>
      </c>
      <c r="L179" s="91">
        <f>VLOOKUP($A179,'Data Vlaue (Cr)'!$C:$FB,97)</f>
        <v>31</v>
      </c>
      <c r="M179" s="92">
        <f>VLOOKUP($A179,'Data Vlaue (Cr)'!$C:$FB,98)</f>
        <v>6.0000000000000001E-3</v>
      </c>
      <c r="N179" s="91">
        <f>VLOOKUP($A179,'Data Vlaue (Cr)'!$C:$FB,79)</f>
        <v>17692</v>
      </c>
      <c r="O179" s="92">
        <f>VLOOKUP($A179,'Data Vlaue (Cr)'!$C:$FB,82)</f>
        <v>-6.4000000000000003E-3</v>
      </c>
    </row>
    <row r="180" spans="1:15" x14ac:dyDescent="0.25">
      <c r="A180" s="97" t="str">
        <f>'Data Vlaue (Cr)'!C175</f>
        <v>RVNL</v>
      </c>
      <c r="B180" s="142">
        <f>VLOOKUP(A180,'Data Vlaue (Cr)'!C175:CW389,99,0)</f>
        <v>2289</v>
      </c>
      <c r="C180" s="90">
        <f>VLOOKUP(A180,'Data Vlaue (Cr)'!C175:CY389,101,0)</f>
        <v>48</v>
      </c>
      <c r="D180" s="139">
        <f>VLOOKUP(A180,'Data Vlaue (Cr)'!C175:CZ389,102,0)</f>
        <v>2.1399999999999999E-2</v>
      </c>
      <c r="E180" s="91">
        <f>VLOOKUP($A180,'Data Vlaue (Cr)'!$C:$FB,75)</f>
        <v>1315</v>
      </c>
      <c r="F180" s="91">
        <f>VLOOKUP($A180,'Data Vlaue (Cr)'!$C:$FB,77)</f>
        <v>18</v>
      </c>
      <c r="G180" s="92">
        <f>VLOOKUP(A180,'Data Vlaue (Cr)'!C175:CB389,78,0)</f>
        <v>1.4E-2</v>
      </c>
      <c r="H180" s="91">
        <f>VLOOKUP($A180,'Data Vlaue (Cr)'!$C:$FB,91)</f>
        <v>694</v>
      </c>
      <c r="I180" s="91">
        <f>VLOOKUP($A180,'Data Vlaue (Cr)'!$C:$FB,93)</f>
        <v>18</v>
      </c>
      <c r="J180" s="92">
        <f>VLOOKUP($A180,'Data Vlaue (Cr)'!$C:$FB,94)</f>
        <v>2.6700000000000002E-2</v>
      </c>
      <c r="K180" s="91">
        <f>VLOOKUP($A180,'Data Vlaue (Cr)'!$C:$FB,95)</f>
        <v>281</v>
      </c>
      <c r="L180" s="91">
        <f>VLOOKUP($A180,'Data Vlaue (Cr)'!$C:$FB,97)</f>
        <v>12</v>
      </c>
      <c r="M180" s="92">
        <f>VLOOKUP($A180,'Data Vlaue (Cr)'!$C:$FB,98)</f>
        <v>4.3299999999999998E-2</v>
      </c>
      <c r="N180" s="91">
        <f>VLOOKUP($A180,'Data Vlaue (Cr)'!$C:$FB,79)</f>
        <v>1121</v>
      </c>
      <c r="O180" s="92">
        <f>VLOOKUP($A180,'Data Vlaue (Cr)'!$C:$FB,82)</f>
        <v>2.9999999999999997E-4</v>
      </c>
    </row>
    <row r="181" spans="1:15" x14ac:dyDescent="0.25">
      <c r="A181" s="97" t="str">
        <f>'Data Vlaue (Cr)'!C176</f>
        <v>SAIL</v>
      </c>
      <c r="B181" s="142">
        <f>VLOOKUP(A181,'Data Vlaue (Cr)'!C176:CW390,99,0)</f>
        <v>3795</v>
      </c>
      <c r="C181" s="90">
        <f>VLOOKUP(A181,'Data Vlaue (Cr)'!C176:CY390,101,0)</f>
        <v>260</v>
      </c>
      <c r="D181" s="139">
        <f>VLOOKUP(A181,'Data Vlaue (Cr)'!C176:CZ390,102,0)</f>
        <v>7.3499999999999996E-2</v>
      </c>
      <c r="E181" s="91">
        <f>VLOOKUP($A181,'Data Vlaue (Cr)'!$C:$FB,75)</f>
        <v>2675</v>
      </c>
      <c r="F181" s="91">
        <f>VLOOKUP($A181,'Data Vlaue (Cr)'!$C:$FB,77)</f>
        <v>49</v>
      </c>
      <c r="G181" s="92">
        <f>VLOOKUP(A181,'Data Vlaue (Cr)'!C176:CB390,78,0)</f>
        <v>1.8499999999999999E-2</v>
      </c>
      <c r="H181" s="91">
        <f>VLOOKUP($A181,'Data Vlaue (Cr)'!$C:$FB,91)</f>
        <v>740</v>
      </c>
      <c r="I181" s="91">
        <f>VLOOKUP($A181,'Data Vlaue (Cr)'!$C:$FB,93)</f>
        <v>165</v>
      </c>
      <c r="J181" s="92">
        <f>VLOOKUP($A181,'Data Vlaue (Cr)'!$C:$FB,94)</f>
        <v>0.28689999999999999</v>
      </c>
      <c r="K181" s="91">
        <f>VLOOKUP($A181,'Data Vlaue (Cr)'!$C:$FB,95)</f>
        <v>379</v>
      </c>
      <c r="L181" s="91">
        <f>VLOOKUP($A181,'Data Vlaue (Cr)'!$C:$FB,97)</f>
        <v>46</v>
      </c>
      <c r="M181" s="92">
        <f>VLOOKUP($A181,'Data Vlaue (Cr)'!$C:$FB,98)</f>
        <v>0.13850000000000001</v>
      </c>
      <c r="N181" s="91">
        <f>VLOOKUP($A181,'Data Vlaue (Cr)'!$C:$FB,79)</f>
        <v>2548</v>
      </c>
      <c r="O181" s="92">
        <f>VLOOKUP($A181,'Data Vlaue (Cr)'!$C:$FB,82)</f>
        <v>8.8999999999999999E-3</v>
      </c>
    </row>
    <row r="182" spans="1:15" x14ac:dyDescent="0.25">
      <c r="A182" s="97" t="str">
        <f>'Data Vlaue (Cr)'!C177</f>
        <v>SAMMAANCAP</v>
      </c>
      <c r="B182" s="142">
        <f>VLOOKUP(A182,'Data Vlaue (Cr)'!C177:CW391,99,0)</f>
        <v>2871</v>
      </c>
      <c r="C182" s="90">
        <f>VLOOKUP(A182,'Data Vlaue (Cr)'!C177:CY391,101,0)</f>
        <v>128</v>
      </c>
      <c r="D182" s="139">
        <f>VLOOKUP(A182,'Data Vlaue (Cr)'!C177:CZ391,102,0)</f>
        <v>4.6699999999999998E-2</v>
      </c>
      <c r="E182" s="91">
        <f>VLOOKUP($A182,'Data Vlaue (Cr)'!$C:$FB,75)</f>
        <v>1862</v>
      </c>
      <c r="F182" s="91">
        <f>VLOOKUP($A182,'Data Vlaue (Cr)'!$C:$FB,77)</f>
        <v>53</v>
      </c>
      <c r="G182" s="92">
        <f>VLOOKUP(A182,'Data Vlaue (Cr)'!C177:CB391,78,0)</f>
        <v>2.9100000000000001E-2</v>
      </c>
      <c r="H182" s="91">
        <f>VLOOKUP($A182,'Data Vlaue (Cr)'!$C:$FB,91)</f>
        <v>502</v>
      </c>
      <c r="I182" s="91">
        <f>VLOOKUP($A182,'Data Vlaue (Cr)'!$C:$FB,93)</f>
        <v>43</v>
      </c>
      <c r="J182" s="92">
        <f>VLOOKUP($A182,'Data Vlaue (Cr)'!$C:$FB,94)</f>
        <v>9.3100000000000002E-2</v>
      </c>
      <c r="K182" s="91">
        <f>VLOOKUP($A182,'Data Vlaue (Cr)'!$C:$FB,95)</f>
        <v>506</v>
      </c>
      <c r="L182" s="91">
        <f>VLOOKUP($A182,'Data Vlaue (Cr)'!$C:$FB,97)</f>
        <v>33</v>
      </c>
      <c r="M182" s="92">
        <f>VLOOKUP($A182,'Data Vlaue (Cr)'!$C:$FB,98)</f>
        <v>6.88E-2</v>
      </c>
      <c r="N182" s="91">
        <f>VLOOKUP($A182,'Data Vlaue (Cr)'!$C:$FB,79)</f>
        <v>1788</v>
      </c>
      <c r="O182" s="92">
        <f>VLOOKUP($A182,'Data Vlaue (Cr)'!$C:$FB,82)</f>
        <v>2.47E-2</v>
      </c>
    </row>
    <row r="183" spans="1:15" x14ac:dyDescent="0.25">
      <c r="A183" s="97" t="str">
        <f>'Data Vlaue (Cr)'!C178</f>
        <v>SBICARD</v>
      </c>
      <c r="B183" s="142">
        <f>VLOOKUP(A183,'Data Vlaue (Cr)'!C178:CW392,99,0)</f>
        <v>2769</v>
      </c>
      <c r="C183" s="90">
        <f>VLOOKUP(A183,'Data Vlaue (Cr)'!C178:CY392,101,0)</f>
        <v>50</v>
      </c>
      <c r="D183" s="139">
        <f>VLOOKUP(A183,'Data Vlaue (Cr)'!C178:CZ392,102,0)</f>
        <v>1.84E-2</v>
      </c>
      <c r="E183" s="91">
        <f>VLOOKUP($A183,'Data Vlaue (Cr)'!$C:$FB,75)</f>
        <v>1842</v>
      </c>
      <c r="F183" s="91">
        <f>VLOOKUP($A183,'Data Vlaue (Cr)'!$C:$FB,77)</f>
        <v>35</v>
      </c>
      <c r="G183" s="92">
        <f>VLOOKUP(A183,'Data Vlaue (Cr)'!C178:CB392,78,0)</f>
        <v>1.9300000000000001E-2</v>
      </c>
      <c r="H183" s="91">
        <f>VLOOKUP($A183,'Data Vlaue (Cr)'!$C:$FB,91)</f>
        <v>578</v>
      </c>
      <c r="I183" s="91">
        <f>VLOOKUP($A183,'Data Vlaue (Cr)'!$C:$FB,93)</f>
        <v>19</v>
      </c>
      <c r="J183" s="92">
        <f>VLOOKUP($A183,'Data Vlaue (Cr)'!$C:$FB,94)</f>
        <v>3.3099999999999997E-2</v>
      </c>
      <c r="K183" s="91">
        <f>VLOOKUP($A183,'Data Vlaue (Cr)'!$C:$FB,95)</f>
        <v>349</v>
      </c>
      <c r="L183" s="91">
        <f>VLOOKUP($A183,'Data Vlaue (Cr)'!$C:$FB,97)</f>
        <v>-3</v>
      </c>
      <c r="M183" s="92">
        <f>VLOOKUP($A183,'Data Vlaue (Cr)'!$C:$FB,98)</f>
        <v>-9.4999999999999998E-3</v>
      </c>
      <c r="N183" s="91">
        <f>VLOOKUP($A183,'Data Vlaue (Cr)'!$C:$FB,79)</f>
        <v>1663</v>
      </c>
      <c r="O183" s="92">
        <f>VLOOKUP($A183,'Data Vlaue (Cr)'!$C:$FB,82)</f>
        <v>8.9999999999999993E-3</v>
      </c>
    </row>
    <row r="184" spans="1:15" x14ac:dyDescent="0.25">
      <c r="A184" s="97" t="str">
        <f>'Data Vlaue (Cr)'!C179</f>
        <v>SBILIFE</v>
      </c>
      <c r="B184" s="142">
        <f>VLOOKUP(A184,'Data Vlaue (Cr)'!C179:CW393,99,0)</f>
        <v>1918</v>
      </c>
      <c r="C184" s="90">
        <f>VLOOKUP(A184,'Data Vlaue (Cr)'!C179:CY393,101,0)</f>
        <v>213</v>
      </c>
      <c r="D184" s="139">
        <f>VLOOKUP(A184,'Data Vlaue (Cr)'!C179:CZ393,102,0)</f>
        <v>0.12470000000000001</v>
      </c>
      <c r="E184" s="91">
        <f>VLOOKUP($A184,'Data Vlaue (Cr)'!$C:$FB,75)</f>
        <v>1239</v>
      </c>
      <c r="F184" s="91">
        <f>VLOOKUP($A184,'Data Vlaue (Cr)'!$C:$FB,77)</f>
        <v>54</v>
      </c>
      <c r="G184" s="92">
        <f>VLOOKUP(A184,'Data Vlaue (Cr)'!C179:CB393,78,0)</f>
        <v>4.5499999999999999E-2</v>
      </c>
      <c r="H184" s="91">
        <f>VLOOKUP($A184,'Data Vlaue (Cr)'!$C:$FB,91)</f>
        <v>456</v>
      </c>
      <c r="I184" s="91">
        <f>VLOOKUP($A184,'Data Vlaue (Cr)'!$C:$FB,93)</f>
        <v>126</v>
      </c>
      <c r="J184" s="92">
        <f>VLOOKUP($A184,'Data Vlaue (Cr)'!$C:$FB,94)</f>
        <v>0.38140000000000002</v>
      </c>
      <c r="K184" s="91">
        <f>VLOOKUP($A184,'Data Vlaue (Cr)'!$C:$FB,95)</f>
        <v>222</v>
      </c>
      <c r="L184" s="91">
        <f>VLOOKUP($A184,'Data Vlaue (Cr)'!$C:$FB,97)</f>
        <v>33</v>
      </c>
      <c r="M184" s="92">
        <f>VLOOKUP($A184,'Data Vlaue (Cr)'!$C:$FB,98)</f>
        <v>0.17249999999999999</v>
      </c>
      <c r="N184" s="91">
        <f>VLOOKUP($A184,'Data Vlaue (Cr)'!$C:$FB,79)</f>
        <v>1213</v>
      </c>
      <c r="O184" s="92">
        <f>VLOOKUP($A184,'Data Vlaue (Cr)'!$C:$FB,82)</f>
        <v>4.0500000000000001E-2</v>
      </c>
    </row>
    <row r="185" spans="1:15" x14ac:dyDescent="0.25">
      <c r="A185" s="97" t="str">
        <f>'Data Vlaue (Cr)'!C180</f>
        <v>SBIN</v>
      </c>
      <c r="B185" s="142">
        <f>VLOOKUP(A185,'Data Vlaue (Cr)'!C180:CW394,99,0)</f>
        <v>15214</v>
      </c>
      <c r="C185" s="90">
        <f>VLOOKUP(A185,'Data Vlaue (Cr)'!C180:CY394,101,0)</f>
        <v>-133</v>
      </c>
      <c r="D185" s="139">
        <f>VLOOKUP(A185,'Data Vlaue (Cr)'!C180:CZ394,102,0)</f>
        <v>-8.6999999999999994E-3</v>
      </c>
      <c r="E185" s="91">
        <f>VLOOKUP($A185,'Data Vlaue (Cr)'!$C:$FB,75)</f>
        <v>8394</v>
      </c>
      <c r="F185" s="91">
        <f>VLOOKUP($A185,'Data Vlaue (Cr)'!$C:$FB,77)</f>
        <v>-153</v>
      </c>
      <c r="G185" s="92">
        <f>VLOOKUP(A185,'Data Vlaue (Cr)'!C180:CB394,78,0)</f>
        <v>-1.7899999999999999E-2</v>
      </c>
      <c r="H185" s="91">
        <f>VLOOKUP($A185,'Data Vlaue (Cr)'!$C:$FB,91)</f>
        <v>4066</v>
      </c>
      <c r="I185" s="91">
        <f>VLOOKUP($A185,'Data Vlaue (Cr)'!$C:$FB,93)</f>
        <v>-257</v>
      </c>
      <c r="J185" s="92">
        <f>VLOOKUP($A185,'Data Vlaue (Cr)'!$C:$FB,94)</f>
        <v>-5.9499999999999997E-2</v>
      </c>
      <c r="K185" s="91">
        <f>VLOOKUP($A185,'Data Vlaue (Cr)'!$C:$FB,95)</f>
        <v>2754</v>
      </c>
      <c r="L185" s="91">
        <f>VLOOKUP($A185,'Data Vlaue (Cr)'!$C:$FB,97)</f>
        <v>277</v>
      </c>
      <c r="M185" s="92">
        <f>VLOOKUP($A185,'Data Vlaue (Cr)'!$C:$FB,98)</f>
        <v>0.11169999999999999</v>
      </c>
      <c r="N185" s="91">
        <f>VLOOKUP($A185,'Data Vlaue (Cr)'!$C:$FB,79)</f>
        <v>8112</v>
      </c>
      <c r="O185" s="92">
        <f>VLOOKUP($A185,'Data Vlaue (Cr)'!$C:$FB,82)</f>
        <v>-2.1399999999999999E-2</v>
      </c>
    </row>
    <row r="186" spans="1:15" x14ac:dyDescent="0.25">
      <c r="A186" s="97" t="str">
        <f>'Data Vlaue (Cr)'!C181</f>
        <v>SHREECEM</v>
      </c>
      <c r="B186" s="142">
        <f>VLOOKUP(A186,'Data Vlaue (Cr)'!C181:CW395,99,0)</f>
        <v>808</v>
      </c>
      <c r="C186" s="90">
        <f>VLOOKUP(A186,'Data Vlaue (Cr)'!C181:CY395,101,0)</f>
        <v>0</v>
      </c>
      <c r="D186" s="139">
        <f>VLOOKUP(A186,'Data Vlaue (Cr)'!C181:CZ395,102,0)</f>
        <v>-2.9999999999999997E-4</v>
      </c>
      <c r="E186" s="91">
        <f>VLOOKUP($A186,'Data Vlaue (Cr)'!$C:$FB,75)</f>
        <v>668</v>
      </c>
      <c r="F186" s="91">
        <f>VLOOKUP($A186,'Data Vlaue (Cr)'!$C:$FB,77)</f>
        <v>-1</v>
      </c>
      <c r="G186" s="92">
        <f>VLOOKUP(A186,'Data Vlaue (Cr)'!C181:CB395,78,0)</f>
        <v>-1.5E-3</v>
      </c>
      <c r="H186" s="91">
        <f>VLOOKUP($A186,'Data Vlaue (Cr)'!$C:$FB,91)</f>
        <v>80</v>
      </c>
      <c r="I186" s="91">
        <f>VLOOKUP($A186,'Data Vlaue (Cr)'!$C:$FB,93)</f>
        <v>1</v>
      </c>
      <c r="J186" s="92">
        <f>VLOOKUP($A186,'Data Vlaue (Cr)'!$C:$FB,94)</f>
        <v>1.5100000000000001E-2</v>
      </c>
      <c r="K186" s="91">
        <f>VLOOKUP($A186,'Data Vlaue (Cr)'!$C:$FB,95)</f>
        <v>60</v>
      </c>
      <c r="L186" s="91">
        <f>VLOOKUP($A186,'Data Vlaue (Cr)'!$C:$FB,97)</f>
        <v>0</v>
      </c>
      <c r="M186" s="92">
        <f>VLOOKUP($A186,'Data Vlaue (Cr)'!$C:$FB,98)</f>
        <v>-6.1000000000000004E-3</v>
      </c>
      <c r="N186" s="91">
        <f>VLOOKUP($A186,'Data Vlaue (Cr)'!$C:$FB,79)</f>
        <v>663</v>
      </c>
      <c r="O186" s="92">
        <f>VLOOKUP($A186,'Data Vlaue (Cr)'!$C:$FB,82)</f>
        <v>-1.8E-3</v>
      </c>
    </row>
    <row r="187" spans="1:15" x14ac:dyDescent="0.25">
      <c r="A187" s="97" t="str">
        <f>'Data Vlaue (Cr)'!C182</f>
        <v>SHRIRAMFIN</v>
      </c>
      <c r="B187" s="142">
        <f>VLOOKUP(A187,'Data Vlaue (Cr)'!C182:CW396,99,0)</f>
        <v>4204</v>
      </c>
      <c r="C187" s="90">
        <f>VLOOKUP(A187,'Data Vlaue (Cr)'!C182:CY396,101,0)</f>
        <v>-42</v>
      </c>
      <c r="D187" s="139">
        <f>VLOOKUP(A187,'Data Vlaue (Cr)'!C182:CZ396,102,0)</f>
        <v>-9.9000000000000008E-3</v>
      </c>
      <c r="E187" s="91">
        <f>VLOOKUP($A187,'Data Vlaue (Cr)'!$C:$FB,75)</f>
        <v>3303</v>
      </c>
      <c r="F187" s="91">
        <f>VLOOKUP($A187,'Data Vlaue (Cr)'!$C:$FB,77)</f>
        <v>-20</v>
      </c>
      <c r="G187" s="92">
        <f>VLOOKUP(A187,'Data Vlaue (Cr)'!C182:CB396,78,0)</f>
        <v>-6.1000000000000004E-3</v>
      </c>
      <c r="H187" s="91">
        <f>VLOOKUP($A187,'Data Vlaue (Cr)'!$C:$FB,91)</f>
        <v>467</v>
      </c>
      <c r="I187" s="91">
        <f>VLOOKUP($A187,'Data Vlaue (Cr)'!$C:$FB,93)</f>
        <v>-8</v>
      </c>
      <c r="J187" s="92">
        <f>VLOOKUP($A187,'Data Vlaue (Cr)'!$C:$FB,94)</f>
        <v>-1.5900000000000001E-2</v>
      </c>
      <c r="K187" s="91">
        <f>VLOOKUP($A187,'Data Vlaue (Cr)'!$C:$FB,95)</f>
        <v>433</v>
      </c>
      <c r="L187" s="91">
        <f>VLOOKUP($A187,'Data Vlaue (Cr)'!$C:$FB,97)</f>
        <v>-14</v>
      </c>
      <c r="M187" s="92">
        <f>VLOOKUP($A187,'Data Vlaue (Cr)'!$C:$FB,98)</f>
        <v>-3.1399999999999997E-2</v>
      </c>
      <c r="N187" s="91">
        <f>VLOOKUP($A187,'Data Vlaue (Cr)'!$C:$FB,79)</f>
        <v>3215</v>
      </c>
      <c r="O187" s="92">
        <f>VLOOKUP($A187,'Data Vlaue (Cr)'!$C:$FB,82)</f>
        <v>-8.6999999999999994E-3</v>
      </c>
    </row>
    <row r="188" spans="1:15" x14ac:dyDescent="0.25">
      <c r="A188" s="97" t="str">
        <f>'Data Vlaue (Cr)'!C183</f>
        <v>SIEMENS</v>
      </c>
      <c r="B188" s="142">
        <f>VLOOKUP(A188,'Data Vlaue (Cr)'!C183:CW397,99,0)</f>
        <v>1146</v>
      </c>
      <c r="C188" s="90">
        <f>VLOOKUP(A188,'Data Vlaue (Cr)'!C183:CY397,101,0)</f>
        <v>48</v>
      </c>
      <c r="D188" s="139">
        <f>VLOOKUP(A188,'Data Vlaue (Cr)'!C183:CZ397,102,0)</f>
        <v>4.3900000000000002E-2</v>
      </c>
      <c r="E188" s="91">
        <f>VLOOKUP($A188,'Data Vlaue (Cr)'!$C:$FB,75)</f>
        <v>681</v>
      </c>
      <c r="F188" s="91">
        <f>VLOOKUP($A188,'Data Vlaue (Cr)'!$C:$FB,77)</f>
        <v>-3</v>
      </c>
      <c r="G188" s="92">
        <f>VLOOKUP(A188,'Data Vlaue (Cr)'!C183:CB397,78,0)</f>
        <v>-4.4999999999999997E-3</v>
      </c>
      <c r="H188" s="91">
        <f>VLOOKUP($A188,'Data Vlaue (Cr)'!$C:$FB,91)</f>
        <v>330</v>
      </c>
      <c r="I188" s="91">
        <f>VLOOKUP($A188,'Data Vlaue (Cr)'!$C:$FB,93)</f>
        <v>44</v>
      </c>
      <c r="J188" s="92">
        <f>VLOOKUP($A188,'Data Vlaue (Cr)'!$C:$FB,94)</f>
        <v>0.1537</v>
      </c>
      <c r="K188" s="91">
        <f>VLOOKUP($A188,'Data Vlaue (Cr)'!$C:$FB,95)</f>
        <v>135</v>
      </c>
      <c r="L188" s="91">
        <f>VLOOKUP($A188,'Data Vlaue (Cr)'!$C:$FB,97)</f>
        <v>7</v>
      </c>
      <c r="M188" s="92">
        <f>VLOOKUP($A188,'Data Vlaue (Cr)'!$C:$FB,98)</f>
        <v>5.67E-2</v>
      </c>
      <c r="N188" s="91">
        <f>VLOOKUP($A188,'Data Vlaue (Cr)'!$C:$FB,79)</f>
        <v>658</v>
      </c>
      <c r="O188" s="92">
        <f>VLOOKUP($A188,'Data Vlaue (Cr)'!$C:$FB,82)</f>
        <v>-1.38E-2</v>
      </c>
    </row>
    <row r="189" spans="1:15" x14ac:dyDescent="0.25">
      <c r="A189" s="97" t="str">
        <f>'Data Vlaue (Cr)'!C216</f>
        <v>ZYDUSLIFE</v>
      </c>
      <c r="B189" s="142">
        <f>VLOOKUP(A189,'Data Vlaue (Cr)'!C216:CW398,99,0)</f>
        <v>1409</v>
      </c>
      <c r="C189" s="90">
        <f>VLOOKUP(A189,'Data Vlaue (Cr)'!C216:CY398,101,0)</f>
        <v>55</v>
      </c>
      <c r="D189" s="139">
        <f>VLOOKUP(A189,'Data Vlaue (Cr)'!C216:CZ398,102,0)</f>
        <v>4.07E-2</v>
      </c>
      <c r="E189" s="91">
        <f>VLOOKUP($A189,'Data Vlaue (Cr)'!$C:$FB,75)</f>
        <v>884</v>
      </c>
      <c r="F189" s="91">
        <f>VLOOKUP($A189,'Data Vlaue (Cr)'!$C:$FB,77)</f>
        <v>46</v>
      </c>
      <c r="G189" s="92">
        <f>VLOOKUP(A189,'Data Vlaue (Cr)'!C216:CB398,78,0)</f>
        <v>5.5199999999999999E-2</v>
      </c>
      <c r="H189" s="91">
        <f>VLOOKUP($A189,'Data Vlaue (Cr)'!$C:$FB,91)</f>
        <v>325</v>
      </c>
      <c r="I189" s="91">
        <f>VLOOKUP($A189,'Data Vlaue (Cr)'!$C:$FB,93)</f>
        <v>2</v>
      </c>
      <c r="J189" s="92">
        <f>VLOOKUP($A189,'Data Vlaue (Cr)'!$C:$FB,94)</f>
        <v>7.4999999999999997E-3</v>
      </c>
      <c r="K189" s="91">
        <f>VLOOKUP($A189,'Data Vlaue (Cr)'!$C:$FB,95)</f>
        <v>201</v>
      </c>
      <c r="L189" s="91">
        <f>VLOOKUP($A189,'Data Vlaue (Cr)'!$C:$FB,97)</f>
        <v>6</v>
      </c>
      <c r="M189" s="92">
        <f>VLOOKUP($A189,'Data Vlaue (Cr)'!$C:$FB,98)</f>
        <v>3.3300000000000003E-2</v>
      </c>
      <c r="N189" s="91">
        <f>VLOOKUP($A189,'Data Vlaue (Cr)'!$C:$FB,79)</f>
        <v>804</v>
      </c>
      <c r="O189" s="92">
        <f>VLOOKUP($A189,'Data Vlaue (Cr)'!$C:$FB,82)</f>
        <v>-1.9300000000000001E-2</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2394217</v>
      </c>
      <c r="C210" s="123">
        <f>SUM(C7:C209)</f>
        <v>217177</v>
      </c>
      <c r="D210" s="124">
        <f>'Snapshot (Value)'!K225</f>
        <v>9.9757928196082757E-2</v>
      </c>
      <c r="E210" s="123">
        <f>SUM(E7:E209)</f>
        <v>488854</v>
      </c>
      <c r="F210" s="123">
        <f>SUM(F7:F209)</f>
        <v>1214</v>
      </c>
      <c r="G210" s="149">
        <f>F210*100/(E210-F210)</f>
        <v>0.24895414650151751</v>
      </c>
      <c r="H210" s="123">
        <f>SUM(H7:H209)</f>
        <v>872135</v>
      </c>
      <c r="I210" s="123">
        <f>SUM(I7:I209)</f>
        <v>24447</v>
      </c>
      <c r="J210" s="149">
        <f>I210/(H210-I210)</f>
        <v>2.8839620237634603E-2</v>
      </c>
      <c r="K210" s="123">
        <f>SUM(K7:K209)</f>
        <v>1033216</v>
      </c>
      <c r="L210" s="123">
        <f>SUM(L7:L209)</f>
        <v>191516</v>
      </c>
      <c r="M210" s="149">
        <f>L210/(K210-L210)</f>
        <v>0.22753475109896637</v>
      </c>
      <c r="N210" s="123">
        <f>SUM(N7:N209)</f>
        <v>464411</v>
      </c>
      <c r="O210" s="149">
        <f>(N210-FII!V2)/N210</f>
        <v>-0.14833843298285354</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488854</v>
      </c>
      <c r="C217" s="37">
        <f>F210</f>
        <v>1214</v>
      </c>
      <c r="D217" s="39">
        <f>C217/B217</f>
        <v>2.4833590397132887E-3</v>
      </c>
    </row>
    <row r="218" spans="1:15" x14ac:dyDescent="0.25">
      <c r="A218" s="36" t="s">
        <v>404</v>
      </c>
      <c r="B218" s="37">
        <f>H210</f>
        <v>872135</v>
      </c>
      <c r="C218" s="37">
        <f>I210</f>
        <v>24447</v>
      </c>
      <c r="D218" s="150">
        <f>C218/B218</f>
        <v>2.8031210764388539E-2</v>
      </c>
    </row>
    <row r="219" spans="1:15" x14ac:dyDescent="0.25">
      <c r="A219" s="36" t="s">
        <v>405</v>
      </c>
      <c r="B219" s="37">
        <f>K210</f>
        <v>1033216</v>
      </c>
      <c r="C219" s="37">
        <f>L210</f>
        <v>191516</v>
      </c>
      <c r="D219" s="150">
        <f>C219/B219</f>
        <v>0.18535911174430128</v>
      </c>
    </row>
    <row r="220" spans="1:15" x14ac:dyDescent="0.25">
      <c r="A220" s="36" t="s">
        <v>406</v>
      </c>
      <c r="B220" s="37">
        <f>B217+B218+B219</f>
        <v>2394205</v>
      </c>
      <c r="C220" s="37">
        <f>C217+C218+C219</f>
        <v>217177</v>
      </c>
      <c r="D220" s="150">
        <f>C220/B220</f>
        <v>9.0709442173915772E-2</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45940</v>
      </c>
      <c r="C6" s="3">
        <f>B6</f>
        <v>45940</v>
      </c>
      <c r="D6" s="94" t="s">
        <v>328</v>
      </c>
      <c r="E6" s="3">
        <f>B6</f>
        <v>45940</v>
      </c>
      <c r="F6" s="94" t="s">
        <v>322</v>
      </c>
      <c r="G6" s="94" t="s">
        <v>328</v>
      </c>
      <c r="H6" s="3">
        <f>E6</f>
        <v>45940</v>
      </c>
      <c r="I6" s="94" t="s">
        <v>322</v>
      </c>
      <c r="J6" s="94" t="s">
        <v>328</v>
      </c>
    </row>
    <row r="7" spans="1:10" x14ac:dyDescent="0.25">
      <c r="A7" s="101" t="str">
        <f>'NIFTY GRP'!C2</f>
        <v>ADANIENT</v>
      </c>
      <c r="B7" s="140">
        <f>VLOOKUP($A7,'Data shares'!$C:$FA,7)</f>
        <v>2550.9</v>
      </c>
      <c r="C7" s="140">
        <f>VLOOKUP($A7,'Data shares'!$C:$FA,3)</f>
        <v>2564.6999999999998</v>
      </c>
      <c r="D7" s="50">
        <f>VLOOKUP($A7,'Data shares'!$C:$FA,6)*100</f>
        <v>0.27</v>
      </c>
      <c r="E7" s="51">
        <f>VLOOKUP($A7,'Data shares'!$C:$FA,98)</f>
        <v>27175500</v>
      </c>
      <c r="F7" s="51">
        <f>VLOOKUP($A7,'Data shares'!$C:$FA,99)</f>
        <v>27064800</v>
      </c>
      <c r="G7" s="50">
        <f>VLOOKUP($A7,'Data shares'!$C:$FA,101)*100</f>
        <v>0.41000000000000003</v>
      </c>
      <c r="H7" s="49">
        <f>VLOOKUP($A7,'Data Vlaue (Cr)'!$C:$FB,99)</f>
        <v>6970</v>
      </c>
      <c r="I7" s="49">
        <f>VLOOKUP($A7,'Data Vlaue (Cr)'!$C:$FB,100)</f>
        <v>6941</v>
      </c>
      <c r="J7" s="49">
        <f>VLOOKUP($A7,'Data Vlaue (Cr)'!$C:$FB,102)*100</f>
        <v>0.41000000000000003</v>
      </c>
    </row>
    <row r="8" spans="1:10" x14ac:dyDescent="0.25">
      <c r="A8" s="101" t="str">
        <f>'NIFTY GRP'!C3</f>
        <v>ADANIPORTS</v>
      </c>
      <c r="B8" s="140">
        <f>VLOOKUP($A8,'Data shares'!$C:$FA,7)</f>
        <v>1409.4</v>
      </c>
      <c r="C8" s="140">
        <f>VLOOKUP($A8,'Data shares'!$C:$FA,3)</f>
        <v>1417.3</v>
      </c>
      <c r="D8" s="50">
        <f>VLOOKUP($A8,'Data shares'!$C:$FA,6)*100</f>
        <v>0.95</v>
      </c>
      <c r="E8" s="51">
        <f>VLOOKUP($A8,'Data shares'!$C:$FA,98)</f>
        <v>34877350</v>
      </c>
      <c r="F8" s="51">
        <f>VLOOKUP($A8,'Data shares'!$C:$FA,99)</f>
        <v>34826050</v>
      </c>
      <c r="G8" s="50">
        <f>VLOOKUP($A8,'Data shares'!$C:$FA,101)*100</f>
        <v>0.15</v>
      </c>
      <c r="H8" s="49">
        <f>VLOOKUP($A8,'Data Vlaue (Cr)'!$C:$FB,99)</f>
        <v>4943</v>
      </c>
      <c r="I8" s="49">
        <f>VLOOKUP($A8,'Data Vlaue (Cr)'!$C:$FB,100)</f>
        <v>4936</v>
      </c>
      <c r="J8" s="49">
        <f>VLOOKUP($A8,'Data Vlaue (Cr)'!$C:$FB,102)*100</f>
        <v>0.15</v>
      </c>
    </row>
    <row r="9" spans="1:10" x14ac:dyDescent="0.25">
      <c r="A9" s="101" t="str">
        <f>'NIFTY GRP'!C4</f>
        <v>APOLLOHOSP</v>
      </c>
      <c r="B9" s="140">
        <f>VLOOKUP($A9,'Data shares'!$C:$FA,7)</f>
        <v>7681</v>
      </c>
      <c r="C9" s="140">
        <f>VLOOKUP($A9,'Data shares'!$C:$FA,3)</f>
        <v>7721</v>
      </c>
      <c r="D9" s="50">
        <f>VLOOKUP($A9,'Data shares'!$C:$FA,6)*100</f>
        <v>-0.16999999999999998</v>
      </c>
      <c r="E9" s="51">
        <f>VLOOKUP($A9,'Data shares'!$C:$FA,98)</f>
        <v>4009750</v>
      </c>
      <c r="F9" s="51">
        <f>VLOOKUP($A9,'Data shares'!$C:$FA,99)</f>
        <v>3952000</v>
      </c>
      <c r="G9" s="50">
        <f>VLOOKUP($A9,'Data shares'!$C:$FA,101)*100</f>
        <v>1.46</v>
      </c>
      <c r="H9" s="49">
        <f>VLOOKUP($A9,'Data Vlaue (Cr)'!$C:$FB,99)</f>
        <v>3096</v>
      </c>
      <c r="I9" s="49">
        <f>VLOOKUP($A9,'Data Vlaue (Cr)'!$C:$FB,100)</f>
        <v>3051</v>
      </c>
      <c r="J9" s="49">
        <f>VLOOKUP($A9,'Data Vlaue (Cr)'!$C:$FB,102)*100</f>
        <v>1.46</v>
      </c>
    </row>
    <row r="10" spans="1:10" x14ac:dyDescent="0.25">
      <c r="A10" s="101" t="str">
        <f>'NIFTY GRP'!C5</f>
        <v>ASIANPAINT</v>
      </c>
      <c r="B10" s="140">
        <f>VLOOKUP($A10,'Data shares'!$C:$FA,7)</f>
        <v>2340.1999999999998</v>
      </c>
      <c r="C10" s="140">
        <f>VLOOKUP($A10,'Data shares'!$C:$FA,3)</f>
        <v>2351.1999999999998</v>
      </c>
      <c r="D10" s="50">
        <f>VLOOKUP($A10,'Data shares'!$C:$FA,6)*100</f>
        <v>0.16</v>
      </c>
      <c r="E10" s="51">
        <f>VLOOKUP($A10,'Data shares'!$C:$FA,98)</f>
        <v>23140500</v>
      </c>
      <c r="F10" s="51">
        <f>VLOOKUP($A10,'Data shares'!$C:$FA,99)</f>
        <v>23316000</v>
      </c>
      <c r="G10" s="50">
        <f>VLOOKUP($A10,'Data shares'!$C:$FA,101)*100</f>
        <v>-0.75</v>
      </c>
      <c r="H10" s="49">
        <f>VLOOKUP($A10,'Data Vlaue (Cr)'!$C:$FB,99)</f>
        <v>5441</v>
      </c>
      <c r="I10" s="49">
        <f>VLOOKUP($A10,'Data Vlaue (Cr)'!$C:$FB,100)</f>
        <v>5482</v>
      </c>
      <c r="J10" s="49">
        <f>VLOOKUP($A10,'Data Vlaue (Cr)'!$C:$FB,102)*100</f>
        <v>-0.75</v>
      </c>
    </row>
    <row r="11" spans="1:10" x14ac:dyDescent="0.25">
      <c r="A11" s="101" t="str">
        <f>'NIFTY GRP'!C6</f>
        <v>AXISBANK</v>
      </c>
      <c r="B11" s="140">
        <f>VLOOKUP($A11,'Data shares'!$C:$FA,7)</f>
        <v>1180.4000000000001</v>
      </c>
      <c r="C11" s="140">
        <f>VLOOKUP($A11,'Data shares'!$C:$FA,3)</f>
        <v>1183.8</v>
      </c>
      <c r="D11" s="50">
        <f>VLOOKUP($A11,'Data shares'!$C:$FA,6)*100</f>
        <v>0.91</v>
      </c>
      <c r="E11" s="51">
        <f>VLOOKUP($A11,'Data shares'!$C:$FA,98)</f>
        <v>123714375</v>
      </c>
      <c r="F11" s="51">
        <f>VLOOKUP($A11,'Data shares'!$C:$FA,99)</f>
        <v>125468125</v>
      </c>
      <c r="G11" s="50">
        <f>VLOOKUP($A11,'Data shares'!$C:$FA,101)*100</f>
        <v>-1.4000000000000001</v>
      </c>
      <c r="H11" s="49">
        <f>VLOOKUP($A11,'Data Vlaue (Cr)'!$C:$FB,99)</f>
        <v>14645</v>
      </c>
      <c r="I11" s="49">
        <f>VLOOKUP($A11,'Data Vlaue (Cr)'!$C:$FB,100)</f>
        <v>14853</v>
      </c>
      <c r="J11" s="49">
        <f>VLOOKUP($A11,'Data Vlaue (Cr)'!$C:$FB,102)*100</f>
        <v>-1.4000000000000001</v>
      </c>
    </row>
    <row r="12" spans="1:10" x14ac:dyDescent="0.25">
      <c r="A12" s="101" t="str">
        <f>'NIFTY GRP'!C7</f>
        <v>BAJAJ-AUTO</v>
      </c>
      <c r="B12" s="140">
        <f>VLOOKUP($A12,'Data shares'!$C:$FA,7)</f>
        <v>8946.5</v>
      </c>
      <c r="C12" s="140">
        <f>VLOOKUP($A12,'Data shares'!$C:$FA,3)</f>
        <v>8993.5</v>
      </c>
      <c r="D12" s="50">
        <f>VLOOKUP($A12,'Data shares'!$C:$FA,6)*100</f>
        <v>1.6099999999999999</v>
      </c>
      <c r="E12" s="51">
        <f>VLOOKUP($A12,'Data shares'!$C:$FA,98)</f>
        <v>5747775</v>
      </c>
      <c r="F12" s="51">
        <f>VLOOKUP($A12,'Data shares'!$C:$FA,99)</f>
        <v>5678925</v>
      </c>
      <c r="G12" s="50">
        <f>VLOOKUP($A12,'Data shares'!$C:$FA,101)*100</f>
        <v>1.21</v>
      </c>
      <c r="H12" s="49">
        <f>VLOOKUP($A12,'Data Vlaue (Cr)'!$C:$FB,99)</f>
        <v>5169</v>
      </c>
      <c r="I12" s="49">
        <f>VLOOKUP($A12,'Data Vlaue (Cr)'!$C:$FB,100)</f>
        <v>5107</v>
      </c>
      <c r="J12" s="49">
        <f>VLOOKUP($A12,'Data Vlaue (Cr)'!$C:$FB,102)*100</f>
        <v>1.21</v>
      </c>
    </row>
    <row r="13" spans="1:10" x14ac:dyDescent="0.25">
      <c r="A13" s="101" t="str">
        <f>'NIFTY GRP'!C8</f>
        <v>BAJAJFINSV</v>
      </c>
      <c r="B13" s="140">
        <f>VLOOKUP($A13,'Data shares'!$C:$FA,7)</f>
        <v>2004.3</v>
      </c>
      <c r="C13" s="140">
        <f>VLOOKUP($A13,'Data shares'!$C:$FA,3)</f>
        <v>2015.7</v>
      </c>
      <c r="D13" s="50">
        <f>VLOOKUP($A13,'Data shares'!$C:$FA,6)*100</f>
        <v>-0.45999999999999996</v>
      </c>
      <c r="E13" s="51">
        <f>VLOOKUP($A13,'Data shares'!$C:$FA,98)</f>
        <v>26152000</v>
      </c>
      <c r="F13" s="51">
        <f>VLOOKUP($A13,'Data shares'!$C:$FA,99)</f>
        <v>25504500</v>
      </c>
      <c r="G13" s="50">
        <f>VLOOKUP($A13,'Data shares'!$C:$FA,101)*100</f>
        <v>2.54</v>
      </c>
      <c r="H13" s="49">
        <f>VLOOKUP($A13,'Data Vlaue (Cr)'!$C:$FB,99)</f>
        <v>5271</v>
      </c>
      <c r="I13" s="49">
        <f>VLOOKUP($A13,'Data Vlaue (Cr)'!$C:$FB,100)</f>
        <v>5141</v>
      </c>
      <c r="J13" s="49">
        <f>VLOOKUP($A13,'Data Vlaue (Cr)'!$C:$FB,102)*100</f>
        <v>2.54</v>
      </c>
    </row>
    <row r="14" spans="1:10" x14ac:dyDescent="0.25">
      <c r="A14" s="101" t="str">
        <f>'NIFTY GRP'!C9</f>
        <v>BAJFINANCE</v>
      </c>
      <c r="B14" s="140">
        <f>VLOOKUP($A14,'Data shares'!$C:$FA,7)</f>
        <v>1023.85</v>
      </c>
      <c r="C14" s="140">
        <f>VLOOKUP($A14,'Data shares'!$C:$FA,3)</f>
        <v>1029.3</v>
      </c>
      <c r="D14" s="50">
        <f>VLOOKUP($A14,'Data shares'!$C:$FA,6)*100</f>
        <v>0.09</v>
      </c>
      <c r="E14" s="51">
        <f>VLOOKUP($A14,'Data shares'!$C:$FA,98)</f>
        <v>123231750</v>
      </c>
      <c r="F14" s="51">
        <f>VLOOKUP($A14,'Data shares'!$C:$FA,99)</f>
        <v>121425750</v>
      </c>
      <c r="G14" s="50">
        <f>VLOOKUP($A14,'Data shares'!$C:$FA,101)*100</f>
        <v>1.49</v>
      </c>
      <c r="H14" s="49">
        <f>VLOOKUP($A14,'Data Vlaue (Cr)'!$C:$FB,99)</f>
        <v>12684</v>
      </c>
      <c r="I14" s="49">
        <f>VLOOKUP($A14,'Data Vlaue (Cr)'!$C:$FB,100)</f>
        <v>12498</v>
      </c>
      <c r="J14" s="49">
        <f>VLOOKUP($A14,'Data Vlaue (Cr)'!$C:$FB,102)*100</f>
        <v>1.49</v>
      </c>
    </row>
    <row r="15" spans="1:10" x14ac:dyDescent="0.25">
      <c r="A15" s="101" t="str">
        <f>'NIFTY GRP'!C10</f>
        <v>BEL</v>
      </c>
      <c r="B15" s="140">
        <f>VLOOKUP($A15,'Data shares'!$C:$FA,7)</f>
        <v>413.5</v>
      </c>
      <c r="C15" s="140">
        <f>VLOOKUP($A15,'Data shares'!$C:$FA,3)</f>
        <v>414.95</v>
      </c>
      <c r="D15" s="50">
        <f>VLOOKUP($A15,'Data shares'!$C:$FA,6)*100</f>
        <v>0.8</v>
      </c>
      <c r="E15" s="51">
        <f>VLOOKUP($A15,'Data shares'!$C:$FA,98)</f>
        <v>210518100</v>
      </c>
      <c r="F15" s="51">
        <f>VLOOKUP($A15,'Data shares'!$C:$FA,99)</f>
        <v>211760700</v>
      </c>
      <c r="G15" s="50">
        <f>VLOOKUP($A15,'Data shares'!$C:$FA,101)*100</f>
        <v>-0.59</v>
      </c>
      <c r="H15" s="49">
        <f>VLOOKUP($A15,'Data Vlaue (Cr)'!$C:$FB,99)</f>
        <v>8735</v>
      </c>
      <c r="I15" s="49">
        <f>VLOOKUP($A15,'Data Vlaue (Cr)'!$C:$FB,100)</f>
        <v>8787</v>
      </c>
      <c r="J15" s="49">
        <f>VLOOKUP($A15,'Data Vlaue (Cr)'!$C:$FB,102)*100</f>
        <v>-0.59</v>
      </c>
    </row>
    <row r="16" spans="1:10" x14ac:dyDescent="0.25">
      <c r="A16" s="101" t="str">
        <f>'NIFTY GRP'!C11</f>
        <v>BHARTIARTL</v>
      </c>
      <c r="B16" s="140">
        <f>VLOOKUP($A16,'Data shares'!$C:$FA,7)</f>
        <v>1939.9</v>
      </c>
      <c r="C16" s="140">
        <f>VLOOKUP($A16,'Data shares'!$C:$FA,3)</f>
        <v>1950.5</v>
      </c>
      <c r="D16" s="50">
        <f>VLOOKUP($A16,'Data shares'!$C:$FA,6)*100</f>
        <v>0.09</v>
      </c>
      <c r="E16" s="51">
        <f>VLOOKUP($A16,'Data shares'!$C:$FA,98)</f>
        <v>68647950</v>
      </c>
      <c r="F16" s="51">
        <f>VLOOKUP($A16,'Data shares'!$C:$FA,99)</f>
        <v>66244450</v>
      </c>
      <c r="G16" s="50">
        <f>VLOOKUP($A16,'Data shares'!$C:$FA,101)*100</f>
        <v>3.63</v>
      </c>
      <c r="H16" s="49">
        <f>VLOOKUP($A16,'Data Vlaue (Cr)'!$C:$FB,99)</f>
        <v>13390</v>
      </c>
      <c r="I16" s="49">
        <f>VLOOKUP($A16,'Data Vlaue (Cr)'!$C:$FB,100)</f>
        <v>12921</v>
      </c>
      <c r="J16" s="49">
        <f>VLOOKUP($A16,'Data Vlaue (Cr)'!$C:$FB,102)*100</f>
        <v>3.63</v>
      </c>
    </row>
    <row r="17" spans="1:10" x14ac:dyDescent="0.25">
      <c r="A17" s="101" t="str">
        <f>'NIFTY GRP'!C12</f>
        <v>CIPLA</v>
      </c>
      <c r="B17" s="140">
        <f>VLOOKUP($A17,'Data shares'!$C:$FA,7)</f>
        <v>1561.8</v>
      </c>
      <c r="C17" s="140">
        <f>VLOOKUP($A17,'Data shares'!$C:$FA,3)</f>
        <v>1572.2</v>
      </c>
      <c r="D17" s="50">
        <f>VLOOKUP($A17,'Data shares'!$C:$FA,6)*100</f>
        <v>3.62</v>
      </c>
      <c r="E17" s="51">
        <f>VLOOKUP($A17,'Data shares'!$C:$FA,98)</f>
        <v>18391125</v>
      </c>
      <c r="F17" s="51">
        <f>VLOOKUP($A17,'Data shares'!$C:$FA,99)</f>
        <v>16362000</v>
      </c>
      <c r="G17" s="50">
        <f>VLOOKUP($A17,'Data shares'!$C:$FA,101)*100</f>
        <v>12.4</v>
      </c>
      <c r="H17" s="49">
        <f>VLOOKUP($A17,'Data Vlaue (Cr)'!$C:$FB,99)</f>
        <v>2891</v>
      </c>
      <c r="I17" s="49">
        <f>VLOOKUP($A17,'Data Vlaue (Cr)'!$C:$FB,100)</f>
        <v>2572</v>
      </c>
      <c r="J17" s="49">
        <f>VLOOKUP($A17,'Data Vlaue (Cr)'!$C:$FB,102)*100</f>
        <v>12.4</v>
      </c>
    </row>
    <row r="18" spans="1:10" x14ac:dyDescent="0.25">
      <c r="A18" s="101" t="str">
        <f>'NIFTY GRP'!C13</f>
        <v>COALINDIA</v>
      </c>
      <c r="B18" s="140">
        <f>VLOOKUP($A18,'Data shares'!$C:$FA,7)</f>
        <v>384.5</v>
      </c>
      <c r="C18" s="140">
        <f>VLOOKUP($A18,'Data shares'!$C:$FA,3)</f>
        <v>385.7</v>
      </c>
      <c r="D18" s="50">
        <f>VLOOKUP($A18,'Data shares'!$C:$FA,6)*100</f>
        <v>0.06</v>
      </c>
      <c r="E18" s="51">
        <f>VLOOKUP($A18,'Data shares'!$C:$FA,98)</f>
        <v>120406500</v>
      </c>
      <c r="F18" s="51">
        <f>VLOOKUP($A18,'Data shares'!$C:$FA,99)</f>
        <v>117598500</v>
      </c>
      <c r="G18" s="50">
        <f>VLOOKUP($A18,'Data shares'!$C:$FA,101)*100</f>
        <v>2.39</v>
      </c>
      <c r="H18" s="49">
        <f>VLOOKUP($A18,'Data Vlaue (Cr)'!$C:$FB,99)</f>
        <v>4644</v>
      </c>
      <c r="I18" s="49">
        <f>VLOOKUP($A18,'Data Vlaue (Cr)'!$C:$FB,100)</f>
        <v>4536</v>
      </c>
      <c r="J18" s="49">
        <f>VLOOKUP($A18,'Data Vlaue (Cr)'!$C:$FB,102)*100</f>
        <v>2.39</v>
      </c>
    </row>
    <row r="19" spans="1:10" x14ac:dyDescent="0.25">
      <c r="A19" s="101" t="str">
        <f>'NIFTY GRP'!C14</f>
        <v>DRREDDY</v>
      </c>
      <c r="B19" s="140">
        <f>VLOOKUP($A19,'Data shares'!$C:$FA,7)</f>
        <v>1264.4000000000001</v>
      </c>
      <c r="C19" s="140">
        <f>VLOOKUP($A19,'Data shares'!$C:$FA,3)</f>
        <v>1270.9000000000001</v>
      </c>
      <c r="D19" s="50">
        <f>VLOOKUP($A19,'Data shares'!$C:$FA,6)*100</f>
        <v>1.44</v>
      </c>
      <c r="E19" s="51">
        <f>VLOOKUP($A19,'Data shares'!$C:$FA,98)</f>
        <v>21013750</v>
      </c>
      <c r="F19" s="51">
        <f>VLOOKUP($A19,'Data shares'!$C:$FA,99)</f>
        <v>21113750</v>
      </c>
      <c r="G19" s="50">
        <f>VLOOKUP($A19,'Data shares'!$C:$FA,101)*100</f>
        <v>-0.47000000000000003</v>
      </c>
      <c r="H19" s="49">
        <f>VLOOKUP($A19,'Data Vlaue (Cr)'!$C:$FB,99)</f>
        <v>2671</v>
      </c>
      <c r="I19" s="49">
        <f>VLOOKUP($A19,'Data Vlaue (Cr)'!$C:$FB,100)</f>
        <v>2683</v>
      </c>
      <c r="J19" s="49">
        <f>VLOOKUP($A19,'Data Vlaue (Cr)'!$C:$FB,102)*100</f>
        <v>-0.47000000000000003</v>
      </c>
    </row>
    <row r="20" spans="1:10" x14ac:dyDescent="0.25">
      <c r="A20" s="101" t="str">
        <f>'NIFTY GRP'!C15</f>
        <v>EICHERMOT</v>
      </c>
      <c r="B20" s="140">
        <f>VLOOKUP($A20,'Data shares'!$C:$FA,7)</f>
        <v>6965</v>
      </c>
      <c r="C20" s="140">
        <f>VLOOKUP($A20,'Data shares'!$C:$FA,3)</f>
        <v>6984</v>
      </c>
      <c r="D20" s="50">
        <f>VLOOKUP($A20,'Data shares'!$C:$FA,6)*100</f>
        <v>1.01</v>
      </c>
      <c r="E20" s="51">
        <f>VLOOKUP($A20,'Data shares'!$C:$FA,98)</f>
        <v>6782125</v>
      </c>
      <c r="F20" s="51">
        <f>VLOOKUP($A20,'Data shares'!$C:$FA,99)</f>
        <v>6744675</v>
      </c>
      <c r="G20" s="50">
        <f>VLOOKUP($A20,'Data shares'!$C:$FA,101)*100</f>
        <v>0.55999999999999994</v>
      </c>
      <c r="H20" s="49">
        <f>VLOOKUP($A20,'Data Vlaue (Cr)'!$C:$FB,99)</f>
        <v>4737</v>
      </c>
      <c r="I20" s="49">
        <f>VLOOKUP($A20,'Data Vlaue (Cr)'!$C:$FB,100)</f>
        <v>4710</v>
      </c>
      <c r="J20" s="49">
        <f>VLOOKUP($A20,'Data Vlaue (Cr)'!$C:$FB,102)*100</f>
        <v>0.55999999999999994</v>
      </c>
    </row>
    <row r="21" spans="1:10" x14ac:dyDescent="0.25">
      <c r="A21" s="101" t="str">
        <f>'NIFTY GRP'!C16</f>
        <v>ETERNAL</v>
      </c>
      <c r="B21" s="140">
        <f>VLOOKUP($A21,'Data shares'!$C:$FA,7)</f>
        <v>348.3</v>
      </c>
      <c r="C21" s="140">
        <f>VLOOKUP($A21,'Data shares'!$C:$FA,3)</f>
        <v>349.4</v>
      </c>
      <c r="D21" s="50">
        <f>VLOOKUP($A21,'Data shares'!$C:$FA,6)*100</f>
        <v>0.82000000000000006</v>
      </c>
      <c r="E21" s="51">
        <f>VLOOKUP($A21,'Data shares'!$C:$FA,98)</f>
        <v>332465075</v>
      </c>
      <c r="F21" s="51">
        <f>VLOOKUP($A21,'Data shares'!$C:$FA,99)</f>
        <v>334133475</v>
      </c>
      <c r="G21" s="50">
        <f>VLOOKUP($A21,'Data shares'!$C:$FA,101)*100</f>
        <v>-0.5</v>
      </c>
      <c r="H21" s="49">
        <f>VLOOKUP($A21,'Data Vlaue (Cr)'!$C:$FB,99)</f>
        <v>11616</v>
      </c>
      <c r="I21" s="49">
        <f>VLOOKUP($A21,'Data Vlaue (Cr)'!$C:$FB,100)</f>
        <v>11675</v>
      </c>
      <c r="J21" s="49">
        <f>VLOOKUP($A21,'Data Vlaue (Cr)'!$C:$FB,102)*100</f>
        <v>-0.5</v>
      </c>
    </row>
    <row r="22" spans="1:10" x14ac:dyDescent="0.25">
      <c r="A22" s="101" t="str">
        <f>'NIFTY GRP'!C17</f>
        <v>GRASIM</v>
      </c>
      <c r="B22" s="140">
        <f>VLOOKUP($A22,'Data shares'!$C:$FA,7)</f>
        <v>2811</v>
      </c>
      <c r="C22" s="140">
        <f>VLOOKUP($A22,'Data shares'!$C:$FA,3)</f>
        <v>2826.5</v>
      </c>
      <c r="D22" s="50">
        <f>VLOOKUP($A22,'Data shares'!$C:$FA,6)*100</f>
        <v>0.06</v>
      </c>
      <c r="E22" s="51">
        <f>VLOOKUP($A22,'Data shares'!$C:$FA,98)</f>
        <v>17165000</v>
      </c>
      <c r="F22" s="51">
        <f>VLOOKUP($A22,'Data shares'!$C:$FA,99)</f>
        <v>17047750</v>
      </c>
      <c r="G22" s="50">
        <f>VLOOKUP($A22,'Data shares'!$C:$FA,101)*100</f>
        <v>0.69</v>
      </c>
      <c r="H22" s="49">
        <f>VLOOKUP($A22,'Data Vlaue (Cr)'!$C:$FB,99)</f>
        <v>4852</v>
      </c>
      <c r="I22" s="49">
        <f>VLOOKUP($A22,'Data Vlaue (Cr)'!$C:$FB,100)</f>
        <v>4819</v>
      </c>
      <c r="J22" s="49">
        <f>VLOOKUP($A22,'Data Vlaue (Cr)'!$C:$FB,102)*100</f>
        <v>0.69</v>
      </c>
    </row>
    <row r="23" spans="1:10" x14ac:dyDescent="0.25">
      <c r="A23" s="101" t="str">
        <f>'NIFTY GRP'!C18</f>
        <v>HCLTECH</v>
      </c>
      <c r="B23" s="140">
        <f>VLOOKUP($A23,'Data shares'!$C:$FA,7)</f>
        <v>1495.5</v>
      </c>
      <c r="C23" s="140">
        <f>VLOOKUP($A23,'Data shares'!$C:$FA,3)</f>
        <v>1487.8</v>
      </c>
      <c r="D23" s="50">
        <f>VLOOKUP($A23,'Data shares'!$C:$FA,6)*100</f>
        <v>0.57999999999999996</v>
      </c>
      <c r="E23" s="51">
        <f>VLOOKUP($A23,'Data shares'!$C:$FA,98)</f>
        <v>31489850</v>
      </c>
      <c r="F23" s="51">
        <f>VLOOKUP($A23,'Data shares'!$C:$FA,99)</f>
        <v>31244500</v>
      </c>
      <c r="G23" s="50">
        <f>VLOOKUP($A23,'Data shares'!$C:$FA,101)*100</f>
        <v>0.79</v>
      </c>
      <c r="H23" s="49">
        <f>VLOOKUP($A23,'Data Vlaue (Cr)'!$C:$FB,99)</f>
        <v>4685</v>
      </c>
      <c r="I23" s="49">
        <f>VLOOKUP($A23,'Data Vlaue (Cr)'!$C:$FB,100)</f>
        <v>4649</v>
      </c>
      <c r="J23" s="49">
        <f>VLOOKUP($A23,'Data Vlaue (Cr)'!$C:$FB,102)*100</f>
        <v>0.79</v>
      </c>
    </row>
    <row r="24" spans="1:10" x14ac:dyDescent="0.25">
      <c r="A24" s="101" t="str">
        <f>'NIFTY GRP'!C19</f>
        <v>HDFCBANK</v>
      </c>
      <c r="B24" s="140">
        <f>VLOOKUP($A24,'Data shares'!$C:$FA,7)</f>
        <v>980.9</v>
      </c>
      <c r="C24" s="140">
        <f>VLOOKUP($A24,'Data shares'!$C:$FA,3)</f>
        <v>985.9</v>
      </c>
      <c r="D24" s="50">
        <f>VLOOKUP($A24,'Data shares'!$C:$FA,6)*100</f>
        <v>0.64</v>
      </c>
      <c r="E24" s="51">
        <f>VLOOKUP($A24,'Data shares'!$C:$FA,98)</f>
        <v>256532100</v>
      </c>
      <c r="F24" s="51">
        <f>VLOOKUP($A24,'Data shares'!$C:$FA,99)</f>
        <v>256829100</v>
      </c>
      <c r="G24" s="50">
        <f>VLOOKUP($A24,'Data shares'!$C:$FA,101)*100</f>
        <v>-0.12</v>
      </c>
      <c r="H24" s="49">
        <f>VLOOKUP($A24,'Data Vlaue (Cr)'!$C:$FB,99)</f>
        <v>25291</v>
      </c>
      <c r="I24" s="49">
        <f>VLOOKUP($A24,'Data Vlaue (Cr)'!$C:$FB,100)</f>
        <v>25321</v>
      </c>
      <c r="J24" s="49">
        <f>VLOOKUP($A24,'Data Vlaue (Cr)'!$C:$FB,102)*100</f>
        <v>-0.12</v>
      </c>
    </row>
    <row r="25" spans="1:10" x14ac:dyDescent="0.25">
      <c r="A25" s="101" t="str">
        <f>'NIFTY GRP'!C20</f>
        <v>HDFCLIFE</v>
      </c>
      <c r="B25" s="140">
        <f>VLOOKUP($A25,'Data shares'!$C:$FA,7)</f>
        <v>747.3</v>
      </c>
      <c r="C25" s="140">
        <f>VLOOKUP($A25,'Data shares'!$C:$FA,3)</f>
        <v>750.2</v>
      </c>
      <c r="D25" s="50">
        <f>VLOOKUP($A25,'Data shares'!$C:$FA,6)*100</f>
        <v>-1.06</v>
      </c>
      <c r="E25" s="51">
        <f>VLOOKUP($A25,'Data shares'!$C:$FA,98)</f>
        <v>45882100</v>
      </c>
      <c r="F25" s="51">
        <f>VLOOKUP($A25,'Data shares'!$C:$FA,99)</f>
        <v>43913100</v>
      </c>
      <c r="G25" s="50">
        <f>VLOOKUP($A25,'Data shares'!$C:$FA,101)*100</f>
        <v>4.4799999999999995</v>
      </c>
      <c r="H25" s="49">
        <f>VLOOKUP($A25,'Data Vlaue (Cr)'!$C:$FB,99)</f>
        <v>3442</v>
      </c>
      <c r="I25" s="49">
        <f>VLOOKUP($A25,'Data Vlaue (Cr)'!$C:$FB,100)</f>
        <v>3294</v>
      </c>
      <c r="J25" s="49">
        <f>VLOOKUP($A25,'Data Vlaue (Cr)'!$C:$FB,102)*100</f>
        <v>4.4799999999999995</v>
      </c>
    </row>
    <row r="26" spans="1:10" x14ac:dyDescent="0.25">
      <c r="A26" s="101" t="str">
        <f>'NIFTY GRP'!C21</f>
        <v>HINDALCO</v>
      </c>
      <c r="B26" s="140">
        <f>VLOOKUP($A26,'Data shares'!$C:$FA,7)</f>
        <v>773.95</v>
      </c>
      <c r="C26" s="140">
        <f>VLOOKUP($A26,'Data shares'!$C:$FA,3)</f>
        <v>777.1</v>
      </c>
      <c r="D26" s="50">
        <f>VLOOKUP($A26,'Data shares'!$C:$FA,6)*100</f>
        <v>-0.15</v>
      </c>
      <c r="E26" s="51">
        <f>VLOOKUP($A26,'Data shares'!$C:$FA,98)</f>
        <v>96432000</v>
      </c>
      <c r="F26" s="51">
        <f>VLOOKUP($A26,'Data shares'!$C:$FA,99)</f>
        <v>95929400</v>
      </c>
      <c r="G26" s="50">
        <f>VLOOKUP($A26,'Data shares'!$C:$FA,101)*100</f>
        <v>0.52</v>
      </c>
      <c r="H26" s="49">
        <f>VLOOKUP($A26,'Data Vlaue (Cr)'!$C:$FB,99)</f>
        <v>7494</v>
      </c>
      <c r="I26" s="49">
        <f>VLOOKUP($A26,'Data Vlaue (Cr)'!$C:$FB,100)</f>
        <v>7455</v>
      </c>
      <c r="J26" s="49">
        <f>VLOOKUP($A26,'Data Vlaue (Cr)'!$C:$FB,102)*100</f>
        <v>0.52</v>
      </c>
    </row>
    <row r="27" spans="1:10" x14ac:dyDescent="0.25">
      <c r="A27" s="101" t="str">
        <f>'NIFTY GRP'!C22</f>
        <v>HINDUNILVR</v>
      </c>
      <c r="B27" s="140">
        <f>VLOOKUP($A27,'Data shares'!$C:$FA,7)</f>
        <v>2528.9</v>
      </c>
      <c r="C27" s="140">
        <f>VLOOKUP($A27,'Data shares'!$C:$FA,3)</f>
        <v>2534.6999999999998</v>
      </c>
      <c r="D27" s="50">
        <f>VLOOKUP($A27,'Data shares'!$C:$FA,6)*100</f>
        <v>0.41000000000000003</v>
      </c>
      <c r="E27" s="51">
        <f>VLOOKUP($A27,'Data shares'!$C:$FA,98)</f>
        <v>21699000</v>
      </c>
      <c r="F27" s="51">
        <f>VLOOKUP($A27,'Data shares'!$C:$FA,99)</f>
        <v>21329100</v>
      </c>
      <c r="G27" s="50">
        <f>VLOOKUP($A27,'Data shares'!$C:$FA,101)*100</f>
        <v>1.73</v>
      </c>
      <c r="H27" s="49">
        <f>VLOOKUP($A27,'Data Vlaue (Cr)'!$C:$FB,99)</f>
        <v>5500</v>
      </c>
      <c r="I27" s="49">
        <f>VLOOKUP($A27,'Data Vlaue (Cr)'!$C:$FB,100)</f>
        <v>5406</v>
      </c>
      <c r="J27" s="49">
        <f>VLOOKUP($A27,'Data Vlaue (Cr)'!$C:$FB,102)*100</f>
        <v>1.73</v>
      </c>
    </row>
    <row r="28" spans="1:10" x14ac:dyDescent="0.25">
      <c r="A28" s="101" t="str">
        <f>'NIFTY GRP'!C23</f>
        <v>ICICIBANK</v>
      </c>
      <c r="B28" s="140">
        <f>VLOOKUP($A28,'Data shares'!$C:$FA,7)</f>
        <v>1380.3</v>
      </c>
      <c r="C28" s="140">
        <f>VLOOKUP($A28,'Data shares'!$C:$FA,3)</f>
        <v>1387.9</v>
      </c>
      <c r="D28" s="50">
        <f>VLOOKUP($A28,'Data shares'!$C:$FA,6)*100</f>
        <v>0.55999999999999994</v>
      </c>
      <c r="E28" s="51">
        <f>VLOOKUP($A28,'Data shares'!$C:$FA,98)</f>
        <v>153748000</v>
      </c>
      <c r="F28" s="51">
        <f>VLOOKUP($A28,'Data shares'!$C:$FA,99)</f>
        <v>151179700</v>
      </c>
      <c r="G28" s="50">
        <f>VLOOKUP($A28,'Data shares'!$C:$FA,101)*100</f>
        <v>1.7000000000000002</v>
      </c>
      <c r="H28" s="49">
        <f>VLOOKUP($A28,'Data Vlaue (Cr)'!$C:$FB,99)</f>
        <v>21339</v>
      </c>
      <c r="I28" s="49">
        <f>VLOOKUP($A28,'Data Vlaue (Cr)'!$C:$FB,100)</f>
        <v>20982</v>
      </c>
      <c r="J28" s="49">
        <f>VLOOKUP($A28,'Data Vlaue (Cr)'!$C:$FB,102)*100</f>
        <v>1.7000000000000002</v>
      </c>
    </row>
    <row r="29" spans="1:10" x14ac:dyDescent="0.25">
      <c r="A29" s="101" t="str">
        <f>'NIFTY GRP'!C24</f>
        <v>INDIGO</v>
      </c>
      <c r="B29" s="140">
        <f>VLOOKUP($A29,'Data shares'!$C:$FA,7)</f>
        <v>5735</v>
      </c>
      <c r="C29" s="140">
        <f>VLOOKUP($A29,'Data shares'!$C:$FA,3)</f>
        <v>5764</v>
      </c>
      <c r="D29" s="50">
        <f>VLOOKUP($A29,'Data shares'!$C:$FA,6)*100</f>
        <v>0.2</v>
      </c>
      <c r="E29" s="51">
        <f>VLOOKUP($A29,'Data shares'!$C:$FA,98)</f>
        <v>11289300</v>
      </c>
      <c r="F29" s="51">
        <f>VLOOKUP($A29,'Data shares'!$C:$FA,99)</f>
        <v>11306100</v>
      </c>
      <c r="G29" s="50">
        <f>VLOOKUP($A29,'Data shares'!$C:$FA,101)*100</f>
        <v>-0.15</v>
      </c>
      <c r="H29" s="49">
        <f>VLOOKUP($A29,'Data Vlaue (Cr)'!$C:$FB,99)</f>
        <v>6507</v>
      </c>
      <c r="I29" s="49">
        <f>VLOOKUP($A29,'Data Vlaue (Cr)'!$C:$FB,100)</f>
        <v>6517</v>
      </c>
      <c r="J29" s="49">
        <f>VLOOKUP($A29,'Data Vlaue (Cr)'!$C:$FB,102)*100</f>
        <v>-0.15</v>
      </c>
    </row>
    <row r="30" spans="1:10" x14ac:dyDescent="0.25">
      <c r="A30" s="101" t="str">
        <f>'NIFTY GRP'!C25</f>
        <v>INFY</v>
      </c>
      <c r="B30" s="140">
        <f>VLOOKUP($A30,'Data shares'!$C:$FA,7)</f>
        <v>1514.9</v>
      </c>
      <c r="C30" s="140">
        <f>VLOOKUP($A30,'Data shares'!$C:$FA,3)</f>
        <v>1508.2</v>
      </c>
      <c r="D30" s="50">
        <f>VLOOKUP($A30,'Data shares'!$C:$FA,6)*100</f>
        <v>0.11</v>
      </c>
      <c r="E30" s="51">
        <f>VLOOKUP($A30,'Data shares'!$C:$FA,98)</f>
        <v>94552800</v>
      </c>
      <c r="F30" s="51">
        <f>VLOOKUP($A30,'Data shares'!$C:$FA,99)</f>
        <v>96418000</v>
      </c>
      <c r="G30" s="50">
        <f>VLOOKUP($A30,'Data shares'!$C:$FA,101)*100</f>
        <v>-1.9300000000000002</v>
      </c>
      <c r="H30" s="49">
        <f>VLOOKUP($A30,'Data Vlaue (Cr)'!$C:$FB,99)</f>
        <v>14260</v>
      </c>
      <c r="I30" s="49">
        <f>VLOOKUP($A30,'Data Vlaue (Cr)'!$C:$FB,100)</f>
        <v>14542</v>
      </c>
      <c r="J30" s="49">
        <f>VLOOKUP($A30,'Data Vlaue (Cr)'!$C:$FB,102)*100</f>
        <v>-1.9300000000000002</v>
      </c>
    </row>
    <row r="31" spans="1:10" x14ac:dyDescent="0.25">
      <c r="A31" s="101" t="str">
        <f>'NIFTY GRP'!C26</f>
        <v>ITC</v>
      </c>
      <c r="B31" s="140">
        <f>VLOOKUP($A31,'Data shares'!$C:$FA,7)</f>
        <v>402.8</v>
      </c>
      <c r="C31" s="140">
        <f>VLOOKUP($A31,'Data shares'!$C:$FA,3)</f>
        <v>405</v>
      </c>
      <c r="D31" s="50">
        <f>VLOOKUP($A31,'Data shares'!$C:$FA,6)*100</f>
        <v>0.70000000000000007</v>
      </c>
      <c r="E31" s="51">
        <f>VLOOKUP($A31,'Data shares'!$C:$FA,98)</f>
        <v>205275200</v>
      </c>
      <c r="F31" s="51">
        <f>VLOOKUP($A31,'Data shares'!$C:$FA,99)</f>
        <v>203249600</v>
      </c>
      <c r="G31" s="50">
        <f>VLOOKUP($A31,'Data shares'!$C:$FA,101)*100</f>
        <v>1</v>
      </c>
      <c r="H31" s="49">
        <f>VLOOKUP($A31,'Data Vlaue (Cr)'!$C:$FB,99)</f>
        <v>8314</v>
      </c>
      <c r="I31" s="49">
        <f>VLOOKUP($A31,'Data Vlaue (Cr)'!$C:$FB,100)</f>
        <v>8232</v>
      </c>
      <c r="J31" s="49">
        <f>VLOOKUP($A31,'Data Vlaue (Cr)'!$C:$FB,102)*100</f>
        <v>1</v>
      </c>
    </row>
    <row r="32" spans="1:10" x14ac:dyDescent="0.25">
      <c r="A32" s="101" t="str">
        <f>'NIFTY GRP'!C27</f>
        <v>JIOFIN</v>
      </c>
      <c r="B32" s="140">
        <f>VLOOKUP($A32,'Data shares'!$C:$FA,7)</f>
        <v>308.14999999999998</v>
      </c>
      <c r="C32" s="140">
        <f>VLOOKUP($A32,'Data shares'!$C:$FA,3)</f>
        <v>309.89999999999998</v>
      </c>
      <c r="D32" s="50">
        <f>VLOOKUP($A32,'Data shares'!$C:$FA,6)*100</f>
        <v>0.31</v>
      </c>
      <c r="E32" s="51">
        <f>VLOOKUP($A32,'Data shares'!$C:$FA,98)</f>
        <v>228803050</v>
      </c>
      <c r="F32" s="51">
        <f>VLOOKUP($A32,'Data shares'!$C:$FA,99)</f>
        <v>225797400</v>
      </c>
      <c r="G32" s="50">
        <f>VLOOKUP($A32,'Data shares'!$C:$FA,101)*100</f>
        <v>1.3299999999999998</v>
      </c>
      <c r="H32" s="49">
        <f>VLOOKUP($A32,'Data Vlaue (Cr)'!$C:$FB,99)</f>
        <v>7091</v>
      </c>
      <c r="I32" s="49">
        <f>VLOOKUP($A32,'Data Vlaue (Cr)'!$C:$FB,100)</f>
        <v>6997</v>
      </c>
      <c r="J32" s="49">
        <f>VLOOKUP($A32,'Data Vlaue (Cr)'!$C:$FB,102)*100</f>
        <v>1.3299999999999998</v>
      </c>
    </row>
    <row r="33" spans="1:10" x14ac:dyDescent="0.25">
      <c r="A33" s="101" t="str">
        <f>'NIFTY GRP'!C28</f>
        <v>JSWSTEEL</v>
      </c>
      <c r="B33" s="140">
        <f>VLOOKUP($A33,'Data shares'!$C:$FA,7)</f>
        <v>1167.8</v>
      </c>
      <c r="C33" s="140">
        <f>VLOOKUP($A33,'Data shares'!$C:$FA,3)</f>
        <v>1171.4000000000001</v>
      </c>
      <c r="D33" s="50">
        <f>VLOOKUP($A33,'Data shares'!$C:$FA,6)*100</f>
        <v>-0.70000000000000007</v>
      </c>
      <c r="E33" s="51">
        <f>VLOOKUP($A33,'Data shares'!$C:$FA,98)</f>
        <v>54898425</v>
      </c>
      <c r="F33" s="51">
        <f>VLOOKUP($A33,'Data shares'!$C:$FA,99)</f>
        <v>55115100</v>
      </c>
      <c r="G33" s="50">
        <f>VLOOKUP($A33,'Data shares'!$C:$FA,101)*100</f>
        <v>-0.38999999999999996</v>
      </c>
      <c r="H33" s="49">
        <f>VLOOKUP($A33,'Data Vlaue (Cr)'!$C:$FB,99)</f>
        <v>6431</v>
      </c>
      <c r="I33" s="49">
        <f>VLOOKUP($A33,'Data Vlaue (Cr)'!$C:$FB,100)</f>
        <v>6456</v>
      </c>
      <c r="J33" s="49">
        <f>VLOOKUP($A33,'Data Vlaue (Cr)'!$C:$FB,102)*100</f>
        <v>-0.38999999999999996</v>
      </c>
    </row>
    <row r="34" spans="1:10" x14ac:dyDescent="0.25">
      <c r="A34" s="101" t="str">
        <f>'NIFTY GRP'!C29</f>
        <v>KOTAKBANK</v>
      </c>
      <c r="B34" s="140">
        <f>VLOOKUP($A34,'Data shares'!$C:$FA,7)</f>
        <v>2150.1</v>
      </c>
      <c r="C34" s="140">
        <f>VLOOKUP($A34,'Data shares'!$C:$FA,3)</f>
        <v>2156</v>
      </c>
      <c r="D34" s="50">
        <f>VLOOKUP($A34,'Data shares'!$C:$FA,6)*100</f>
        <v>0.21</v>
      </c>
      <c r="E34" s="51">
        <f>VLOOKUP($A34,'Data shares'!$C:$FA,98)</f>
        <v>51139600</v>
      </c>
      <c r="F34" s="51">
        <f>VLOOKUP($A34,'Data shares'!$C:$FA,99)</f>
        <v>51191200</v>
      </c>
      <c r="G34" s="50">
        <f>VLOOKUP($A34,'Data shares'!$C:$FA,101)*100</f>
        <v>-0.1</v>
      </c>
      <c r="H34" s="49">
        <f>VLOOKUP($A34,'Data Vlaue (Cr)'!$C:$FB,99)</f>
        <v>11026</v>
      </c>
      <c r="I34" s="49">
        <f>VLOOKUP($A34,'Data Vlaue (Cr)'!$C:$FB,100)</f>
        <v>11037</v>
      </c>
      <c r="J34" s="49">
        <f>VLOOKUP($A34,'Data Vlaue (Cr)'!$C:$FB,102)*100</f>
        <v>-0.1</v>
      </c>
    </row>
    <row r="35" spans="1:10" x14ac:dyDescent="0.25">
      <c r="A35" s="101" t="str">
        <f>'NIFTY GRP'!C30</f>
        <v>LT</v>
      </c>
      <c r="B35" s="140">
        <f>VLOOKUP($A35,'Data shares'!$C:$FA,7)</f>
        <v>3784</v>
      </c>
      <c r="C35" s="140">
        <f>VLOOKUP($A35,'Data shares'!$C:$FA,3)</f>
        <v>3804.1</v>
      </c>
      <c r="D35" s="50">
        <f>VLOOKUP($A35,'Data shares'!$C:$FA,6)*100</f>
        <v>0.61</v>
      </c>
      <c r="E35" s="51">
        <f>VLOOKUP($A35,'Data shares'!$C:$FA,98)</f>
        <v>25457250</v>
      </c>
      <c r="F35" s="51">
        <f>VLOOKUP($A35,'Data shares'!$C:$FA,99)</f>
        <v>24868900</v>
      </c>
      <c r="G35" s="50">
        <f>VLOOKUP($A35,'Data shares'!$C:$FA,101)*100</f>
        <v>2.37</v>
      </c>
      <c r="H35" s="49">
        <f>VLOOKUP($A35,'Data Vlaue (Cr)'!$C:$FB,99)</f>
        <v>9684</v>
      </c>
      <c r="I35" s="49">
        <f>VLOOKUP($A35,'Data Vlaue (Cr)'!$C:$FB,100)</f>
        <v>9460</v>
      </c>
      <c r="J35" s="49">
        <f>VLOOKUP($A35,'Data Vlaue (Cr)'!$C:$FB,102)*100</f>
        <v>2.37</v>
      </c>
    </row>
    <row r="36" spans="1:10" x14ac:dyDescent="0.25">
      <c r="A36" s="101" t="str">
        <f>'NIFTY GRP'!C31</f>
        <v>M&amp;M</v>
      </c>
      <c r="B36" s="140">
        <f>VLOOKUP($A36,'Data shares'!$C:$FA,7)</f>
        <v>3454.9</v>
      </c>
      <c r="C36" s="140">
        <f>VLOOKUP($A36,'Data shares'!$C:$FA,3)</f>
        <v>3473.1</v>
      </c>
      <c r="D36" s="50">
        <f>VLOOKUP($A36,'Data shares'!$C:$FA,6)*100</f>
        <v>0.57999999999999996</v>
      </c>
      <c r="E36" s="51">
        <f>VLOOKUP($A36,'Data shares'!$C:$FA,98)</f>
        <v>29538800</v>
      </c>
      <c r="F36" s="51">
        <f>VLOOKUP($A36,'Data shares'!$C:$FA,99)</f>
        <v>29254400</v>
      </c>
      <c r="G36" s="50">
        <f>VLOOKUP($A36,'Data shares'!$C:$FA,101)*100</f>
        <v>0.97</v>
      </c>
      <c r="H36" s="49">
        <f>VLOOKUP($A36,'Data Vlaue (Cr)'!$C:$FB,99)</f>
        <v>10259</v>
      </c>
      <c r="I36" s="49">
        <f>VLOOKUP($A36,'Data Vlaue (Cr)'!$C:$FB,100)</f>
        <v>10160</v>
      </c>
      <c r="J36" s="49">
        <f>VLOOKUP($A36,'Data Vlaue (Cr)'!$C:$FB,102)*100</f>
        <v>0.97</v>
      </c>
    </row>
    <row r="37" spans="1:10" x14ac:dyDescent="0.25">
      <c r="A37" s="101" t="str">
        <f>'NIFTY GRP'!C32</f>
        <v>MARUTI</v>
      </c>
      <c r="B37" s="140">
        <f>VLOOKUP($A37,'Data shares'!$C:$FA,7)</f>
        <v>16265</v>
      </c>
      <c r="C37" s="140">
        <f>VLOOKUP($A37,'Data shares'!$C:$FA,3)</f>
        <v>16349</v>
      </c>
      <c r="D37" s="50">
        <f>VLOOKUP($A37,'Data shares'!$C:$FA,6)*100</f>
        <v>2.16</v>
      </c>
      <c r="E37" s="51">
        <f>VLOOKUP($A37,'Data shares'!$C:$FA,98)</f>
        <v>7376300</v>
      </c>
      <c r="F37" s="51">
        <f>VLOOKUP($A37,'Data shares'!$C:$FA,99)</f>
        <v>7032000</v>
      </c>
      <c r="G37" s="50">
        <f>VLOOKUP($A37,'Data shares'!$C:$FA,101)*100</f>
        <v>4.9000000000000004</v>
      </c>
      <c r="H37" s="49">
        <f>VLOOKUP($A37,'Data Vlaue (Cr)'!$C:$FB,99)</f>
        <v>12060</v>
      </c>
      <c r="I37" s="49">
        <f>VLOOKUP($A37,'Data Vlaue (Cr)'!$C:$FB,100)</f>
        <v>11497</v>
      </c>
      <c r="J37" s="49">
        <f>VLOOKUP($A37,'Data Vlaue (Cr)'!$C:$FB,102)*100</f>
        <v>4.9000000000000004</v>
      </c>
    </row>
    <row r="38" spans="1:10" x14ac:dyDescent="0.25">
      <c r="A38" s="101" t="str">
        <f>'NIFTY GRP'!C33</f>
        <v>MAXHEALTH</v>
      </c>
      <c r="B38" s="140">
        <f>VLOOKUP($A38,'Data shares'!$C:$FA,7)</f>
        <v>1156.4000000000001</v>
      </c>
      <c r="C38" s="140">
        <f>VLOOKUP($A38,'Data shares'!$C:$FA,3)</f>
        <v>1159.4000000000001</v>
      </c>
      <c r="D38" s="50">
        <f>VLOOKUP($A38,'Data shares'!$C:$FA,6)*100</f>
        <v>0.02</v>
      </c>
      <c r="E38" s="51">
        <f>VLOOKUP($A38,'Data shares'!$C:$FA,98)</f>
        <v>22640625</v>
      </c>
      <c r="F38" s="51">
        <f>VLOOKUP($A38,'Data shares'!$C:$FA,99)</f>
        <v>22761375</v>
      </c>
      <c r="G38" s="50">
        <f>VLOOKUP($A38,'Data shares'!$C:$FA,101)*100</f>
        <v>-0.53</v>
      </c>
      <c r="H38" s="49">
        <f>VLOOKUP($A38,'Data Vlaue (Cr)'!$C:$FB,99)</f>
        <v>2625</v>
      </c>
      <c r="I38" s="49">
        <f>VLOOKUP($A38,'Data Vlaue (Cr)'!$C:$FB,100)</f>
        <v>2639</v>
      </c>
      <c r="J38" s="49">
        <f>VLOOKUP($A38,'Data Vlaue (Cr)'!$C:$FB,102)*100</f>
        <v>-0.53</v>
      </c>
    </row>
    <row r="39" spans="1:10" x14ac:dyDescent="0.25">
      <c r="A39" s="101" t="str">
        <f>'NIFTY GRP'!C34</f>
        <v>NESTLEIND</v>
      </c>
      <c r="B39" s="140">
        <f>VLOOKUP($A39,'Data shares'!$C:$FA,7)</f>
        <v>1199.5</v>
      </c>
      <c r="C39" s="140">
        <f>VLOOKUP($A39,'Data shares'!$C:$FA,3)</f>
        <v>1202.5999999999999</v>
      </c>
      <c r="D39" s="50">
        <f>VLOOKUP($A39,'Data shares'!$C:$FA,6)*100</f>
        <v>0.97</v>
      </c>
      <c r="E39" s="51">
        <f>VLOOKUP($A39,'Data shares'!$C:$FA,98)</f>
        <v>24634000</v>
      </c>
      <c r="F39" s="51">
        <f>VLOOKUP($A39,'Data shares'!$C:$FA,99)</f>
        <v>23394500</v>
      </c>
      <c r="G39" s="50">
        <f>VLOOKUP($A39,'Data shares'!$C:$FA,101)*100</f>
        <v>5.3</v>
      </c>
      <c r="H39" s="49">
        <f>VLOOKUP($A39,'Data Vlaue (Cr)'!$C:$FB,99)</f>
        <v>2962</v>
      </c>
      <c r="I39" s="49">
        <f>VLOOKUP($A39,'Data Vlaue (Cr)'!$C:$FB,100)</f>
        <v>2813</v>
      </c>
      <c r="J39" s="49">
        <f>VLOOKUP($A39,'Data Vlaue (Cr)'!$C:$FB,102)*100</f>
        <v>5.3</v>
      </c>
    </row>
    <row r="40" spans="1:10" x14ac:dyDescent="0.25">
      <c r="A40" s="101" t="str">
        <f>'NIFTY GRP'!C35</f>
        <v>NTPC</v>
      </c>
      <c r="B40" s="140">
        <f>VLOOKUP($A40,'Data shares'!$C:$FA,7)</f>
        <v>339.7</v>
      </c>
      <c r="C40" s="140">
        <f>VLOOKUP($A40,'Data shares'!$C:$FA,3)</f>
        <v>340.7</v>
      </c>
      <c r="D40" s="50">
        <f>VLOOKUP($A40,'Data shares'!$C:$FA,6)*100</f>
        <v>1.22</v>
      </c>
      <c r="E40" s="51">
        <f>VLOOKUP($A40,'Data shares'!$C:$FA,98)</f>
        <v>153864000</v>
      </c>
      <c r="F40" s="51">
        <f>VLOOKUP($A40,'Data shares'!$C:$FA,99)</f>
        <v>152673000</v>
      </c>
      <c r="G40" s="50">
        <f>VLOOKUP($A40,'Data shares'!$C:$FA,101)*100</f>
        <v>0.77999999999999992</v>
      </c>
      <c r="H40" s="49">
        <f>VLOOKUP($A40,'Data Vlaue (Cr)'!$C:$FB,99)</f>
        <v>5242</v>
      </c>
      <c r="I40" s="49">
        <f>VLOOKUP($A40,'Data Vlaue (Cr)'!$C:$FB,100)</f>
        <v>5202</v>
      </c>
      <c r="J40" s="49">
        <f>VLOOKUP($A40,'Data Vlaue (Cr)'!$C:$FB,102)*100</f>
        <v>0.77999999999999992</v>
      </c>
    </row>
    <row r="41" spans="1:10" x14ac:dyDescent="0.25">
      <c r="A41" s="101" t="str">
        <f>'NIFTY GRP'!C36</f>
        <v>ONGC</v>
      </c>
      <c r="B41" s="140">
        <f>VLOOKUP($A41,'Data shares'!$C:$FA,7)</f>
        <v>246.34</v>
      </c>
      <c r="C41" s="140">
        <f>VLOOKUP($A41,'Data shares'!$C:$FA,3)</f>
        <v>246.82</v>
      </c>
      <c r="D41" s="50">
        <f>VLOOKUP($A41,'Data shares'!$C:$FA,6)*100</f>
        <v>0.86</v>
      </c>
      <c r="E41" s="51">
        <f>VLOOKUP($A41,'Data shares'!$C:$FA,98)</f>
        <v>172152000</v>
      </c>
      <c r="F41" s="51">
        <f>VLOOKUP($A41,'Data shares'!$C:$FA,99)</f>
        <v>173252250</v>
      </c>
      <c r="G41" s="50">
        <f>VLOOKUP($A41,'Data shares'!$C:$FA,101)*100</f>
        <v>-0.64</v>
      </c>
      <c r="H41" s="49">
        <f>VLOOKUP($A41,'Data Vlaue (Cr)'!$C:$FB,99)</f>
        <v>4249</v>
      </c>
      <c r="I41" s="49">
        <f>VLOOKUP($A41,'Data Vlaue (Cr)'!$C:$FB,100)</f>
        <v>4276</v>
      </c>
      <c r="J41" s="49">
        <f>VLOOKUP($A41,'Data Vlaue (Cr)'!$C:$FB,102)*100</f>
        <v>-0.64</v>
      </c>
    </row>
    <row r="42" spans="1:10" x14ac:dyDescent="0.25">
      <c r="A42" s="101" t="str">
        <f>'NIFTY GRP'!C37</f>
        <v>POWERGRID</v>
      </c>
      <c r="B42" s="140">
        <f>VLOOKUP($A42,'Data shares'!$C:$FA,7)</f>
        <v>289.14999999999998</v>
      </c>
      <c r="C42" s="140">
        <f>VLOOKUP($A42,'Data shares'!$C:$FA,3)</f>
        <v>289.60000000000002</v>
      </c>
      <c r="D42" s="50">
        <f>VLOOKUP($A42,'Data shares'!$C:$FA,6)*100</f>
        <v>0.94000000000000006</v>
      </c>
      <c r="E42" s="51">
        <f>VLOOKUP($A42,'Data shares'!$C:$FA,98)</f>
        <v>120233900</v>
      </c>
      <c r="F42" s="51">
        <f>VLOOKUP($A42,'Data shares'!$C:$FA,99)</f>
        <v>120254800</v>
      </c>
      <c r="G42" s="50">
        <f>VLOOKUP($A42,'Data shares'!$C:$FA,101)*100</f>
        <v>-0.02</v>
      </c>
      <c r="H42" s="49">
        <f>VLOOKUP($A42,'Data Vlaue (Cr)'!$C:$FB,99)</f>
        <v>3482</v>
      </c>
      <c r="I42" s="49">
        <f>VLOOKUP($A42,'Data Vlaue (Cr)'!$C:$FB,100)</f>
        <v>3483</v>
      </c>
      <c r="J42" s="49">
        <f>VLOOKUP($A42,'Data Vlaue (Cr)'!$C:$FB,102)*100</f>
        <v>-0.02</v>
      </c>
    </row>
    <row r="43" spans="1:10" x14ac:dyDescent="0.25">
      <c r="A43" s="101" t="str">
        <f>'NIFTY GRP'!C38</f>
        <v>RELIANCE</v>
      </c>
      <c r="B43" s="140">
        <f>VLOOKUP($A43,'Data shares'!$C:$FA,7)</f>
        <v>1381.7</v>
      </c>
      <c r="C43" s="140">
        <f>VLOOKUP($A43,'Data shares'!$C:$FA,3)</f>
        <v>1387.8</v>
      </c>
      <c r="D43" s="50">
        <f>VLOOKUP($A43,'Data shares'!$C:$FA,6)*100</f>
        <v>0.43</v>
      </c>
      <c r="E43" s="51">
        <f>VLOOKUP($A43,'Data shares'!$C:$FA,98)</f>
        <v>224181500</v>
      </c>
      <c r="F43" s="51">
        <f>VLOOKUP($A43,'Data shares'!$C:$FA,99)</f>
        <v>223457000</v>
      </c>
      <c r="G43" s="50">
        <f>VLOOKUP($A43,'Data shares'!$C:$FA,101)*100</f>
        <v>0.32</v>
      </c>
      <c r="H43" s="49">
        <f>VLOOKUP($A43,'Data Vlaue (Cr)'!$C:$FB,99)</f>
        <v>31112</v>
      </c>
      <c r="I43" s="49">
        <f>VLOOKUP($A43,'Data Vlaue (Cr)'!$C:$FB,100)</f>
        <v>31011</v>
      </c>
      <c r="J43" s="49">
        <f>VLOOKUP($A43,'Data Vlaue (Cr)'!$C:$FB,102)*100</f>
        <v>0.32</v>
      </c>
    </row>
    <row r="44" spans="1:10" x14ac:dyDescent="0.25">
      <c r="A44" s="101" t="str">
        <f>'NIFTY GRP'!C39</f>
        <v>SBILIFE</v>
      </c>
      <c r="B44" s="140">
        <f>VLOOKUP($A44,'Data shares'!$C:$FA,7)</f>
        <v>1810.4</v>
      </c>
      <c r="C44" s="140">
        <f>VLOOKUP($A44,'Data shares'!$C:$FA,3)</f>
        <v>1820.4</v>
      </c>
      <c r="D44" s="50">
        <f>VLOOKUP($A44,'Data shares'!$C:$FA,6)*100</f>
        <v>0.18</v>
      </c>
      <c r="E44" s="51">
        <f>VLOOKUP($A44,'Data shares'!$C:$FA,98)</f>
        <v>10534500</v>
      </c>
      <c r="F44" s="51">
        <f>VLOOKUP($A44,'Data shares'!$C:$FA,99)</f>
        <v>9366750</v>
      </c>
      <c r="G44" s="50">
        <f>VLOOKUP($A44,'Data shares'!$C:$FA,101)*100</f>
        <v>12.47</v>
      </c>
      <c r="H44" s="49">
        <f>VLOOKUP($A44,'Data Vlaue (Cr)'!$C:$FB,99)</f>
        <v>1918</v>
      </c>
      <c r="I44" s="49">
        <f>VLOOKUP($A44,'Data Vlaue (Cr)'!$C:$FB,100)</f>
        <v>1705</v>
      </c>
      <c r="J44" s="49">
        <f>VLOOKUP($A44,'Data Vlaue (Cr)'!$C:$FB,102)*100</f>
        <v>12.47</v>
      </c>
    </row>
    <row r="45" spans="1:10" x14ac:dyDescent="0.25">
      <c r="A45" s="101" t="str">
        <f>'NIFTY GRP'!C40</f>
        <v>SBIN</v>
      </c>
      <c r="B45" s="140">
        <f>VLOOKUP($A45,'Data shares'!$C:$FA,7)</f>
        <v>880.65</v>
      </c>
      <c r="C45" s="140">
        <f>VLOOKUP($A45,'Data shares'!$C:$FA,3)</f>
        <v>883.35</v>
      </c>
      <c r="D45" s="50">
        <f>VLOOKUP($A45,'Data shares'!$C:$FA,6)*100</f>
        <v>1.9</v>
      </c>
      <c r="E45" s="51">
        <f>VLOOKUP($A45,'Data shares'!$C:$FA,98)</f>
        <v>172230750</v>
      </c>
      <c r="F45" s="51">
        <f>VLOOKUP($A45,'Data shares'!$C:$FA,99)</f>
        <v>173742000</v>
      </c>
      <c r="G45" s="50">
        <f>VLOOKUP($A45,'Data shares'!$C:$FA,101)*100</f>
        <v>-0.86999999999999988</v>
      </c>
      <c r="H45" s="49">
        <f>VLOOKUP($A45,'Data Vlaue (Cr)'!$C:$FB,99)</f>
        <v>15214</v>
      </c>
      <c r="I45" s="49">
        <f>VLOOKUP($A45,'Data Vlaue (Cr)'!$C:$FB,100)</f>
        <v>15347</v>
      </c>
      <c r="J45" s="49">
        <f>VLOOKUP($A45,'Data Vlaue (Cr)'!$C:$FB,102)*100</f>
        <v>-0.86999999999999988</v>
      </c>
    </row>
    <row r="46" spans="1:10" x14ac:dyDescent="0.25">
      <c r="A46" s="101" t="str">
        <f>'NIFTY GRP'!C41</f>
        <v>SHRIRAMFIN</v>
      </c>
      <c r="B46" s="140">
        <f>VLOOKUP($A46,'Data shares'!$C:$FA,7)</f>
        <v>665.05</v>
      </c>
      <c r="C46" s="140">
        <f>VLOOKUP($A46,'Data shares'!$C:$FA,3)</f>
        <v>667.3</v>
      </c>
      <c r="D46" s="50">
        <f>VLOOKUP($A46,'Data shares'!$C:$FA,6)*100</f>
        <v>-0.66</v>
      </c>
      <c r="E46" s="51">
        <f>VLOOKUP($A46,'Data shares'!$C:$FA,98)</f>
        <v>62994525</v>
      </c>
      <c r="F46" s="51">
        <f>VLOOKUP($A46,'Data shares'!$C:$FA,99)</f>
        <v>63621525</v>
      </c>
      <c r="G46" s="50">
        <f>VLOOKUP($A46,'Data shares'!$C:$FA,101)*100</f>
        <v>-0.9900000000000001</v>
      </c>
      <c r="H46" s="49">
        <f>VLOOKUP($A46,'Data Vlaue (Cr)'!$C:$FB,99)</f>
        <v>4204</v>
      </c>
      <c r="I46" s="49">
        <f>VLOOKUP($A46,'Data Vlaue (Cr)'!$C:$FB,100)</f>
        <v>4245</v>
      </c>
      <c r="J46" s="49">
        <f>VLOOKUP($A46,'Data Vlaue (Cr)'!$C:$FB,102)*100</f>
        <v>-0.9900000000000001</v>
      </c>
    </row>
    <row r="47" spans="1:10" x14ac:dyDescent="0.25">
      <c r="A47" s="101" t="str">
        <f>'NIFTY GRP'!C42</f>
        <v>SUNPHARMA</v>
      </c>
      <c r="B47" s="140">
        <f>VLOOKUP($A47,'Data shares'!$C:$FA,7)</f>
        <v>1670.9</v>
      </c>
      <c r="C47" s="140">
        <f>VLOOKUP($A47,'Data shares'!$C:$FA,3)</f>
        <v>1679</v>
      </c>
      <c r="D47" s="50">
        <f>VLOOKUP($A47,'Data shares'!$C:$FA,6)*100</f>
        <v>1.01</v>
      </c>
      <c r="E47" s="51">
        <f>VLOOKUP($A47,'Data shares'!$C:$FA,98)</f>
        <v>24918250</v>
      </c>
      <c r="F47" s="51">
        <f>VLOOKUP($A47,'Data shares'!$C:$FA,99)</f>
        <v>24189900</v>
      </c>
      <c r="G47" s="50">
        <f>VLOOKUP($A47,'Data shares'!$C:$FA,101)*100</f>
        <v>3.01</v>
      </c>
      <c r="H47" s="49">
        <f>VLOOKUP($A47,'Data Vlaue (Cr)'!$C:$FB,99)</f>
        <v>4184</v>
      </c>
      <c r="I47" s="49">
        <f>VLOOKUP($A47,'Data Vlaue (Cr)'!$C:$FB,100)</f>
        <v>4061</v>
      </c>
      <c r="J47" s="49">
        <f>VLOOKUP($A47,'Data Vlaue (Cr)'!$C:$FB,102)*100</f>
        <v>3.01</v>
      </c>
    </row>
    <row r="48" spans="1:10" x14ac:dyDescent="0.25">
      <c r="A48" s="101" t="str">
        <f>'NIFTY GRP'!C43</f>
        <v>TATACONSUM</v>
      </c>
      <c r="B48" s="140">
        <f>VLOOKUP($A48,'Data shares'!$C:$FA,7)</f>
        <v>1126.5</v>
      </c>
      <c r="C48" s="140">
        <f>VLOOKUP($A48,'Data shares'!$C:$FA,3)</f>
        <v>1132.7</v>
      </c>
      <c r="D48" s="50">
        <f>VLOOKUP($A48,'Data shares'!$C:$FA,6)*100</f>
        <v>0.76</v>
      </c>
      <c r="E48" s="51">
        <f>VLOOKUP($A48,'Data shares'!$C:$FA,98)</f>
        <v>21324050</v>
      </c>
      <c r="F48" s="51">
        <f>VLOOKUP($A48,'Data shares'!$C:$FA,99)</f>
        <v>21140900</v>
      </c>
      <c r="G48" s="50">
        <f>VLOOKUP($A48,'Data shares'!$C:$FA,101)*100</f>
        <v>0.86999999999999988</v>
      </c>
      <c r="H48" s="49">
        <f>VLOOKUP($A48,'Data Vlaue (Cr)'!$C:$FB,99)</f>
        <v>2415</v>
      </c>
      <c r="I48" s="49">
        <f>VLOOKUP($A48,'Data Vlaue (Cr)'!$C:$FB,100)</f>
        <v>2395</v>
      </c>
      <c r="J48" s="49">
        <f>VLOOKUP($A48,'Data Vlaue (Cr)'!$C:$FB,102)*100</f>
        <v>0.86999999999999988</v>
      </c>
    </row>
    <row r="49" spans="1:10" x14ac:dyDescent="0.25">
      <c r="A49" s="101" t="str">
        <f>'NIFTY GRP'!C44</f>
        <v>TATAMOTORS</v>
      </c>
      <c r="B49" s="140">
        <f>VLOOKUP($A49,'Data shares'!$C:$FA,7)</f>
        <v>678.95</v>
      </c>
      <c r="C49" s="140">
        <f>VLOOKUP($A49,'Data shares'!$C:$FA,3)</f>
        <v>679.4</v>
      </c>
      <c r="D49" s="50">
        <f>VLOOKUP($A49,'Data shares'!$C:$FA,6)*100</f>
        <v>-0.54999999999999993</v>
      </c>
      <c r="E49" s="51">
        <f>VLOOKUP($A49,'Data shares'!$C:$FA,98)</f>
        <v>201148000</v>
      </c>
      <c r="F49" s="51">
        <f>VLOOKUP($A49,'Data shares'!$C:$FA,99)</f>
        <v>223375200</v>
      </c>
      <c r="G49" s="50">
        <f>VLOOKUP($A49,'Data shares'!$C:$FA,101)*100</f>
        <v>-9.9500000000000011</v>
      </c>
      <c r="H49" s="49">
        <f>VLOOKUP($A49,'Data Vlaue (Cr)'!$C:$FB,99)</f>
        <v>13666</v>
      </c>
      <c r="I49" s="49">
        <f>VLOOKUP($A49,'Data Vlaue (Cr)'!$C:$FB,100)</f>
        <v>15176</v>
      </c>
      <c r="J49" s="49">
        <f>VLOOKUP($A49,'Data Vlaue (Cr)'!$C:$FB,102)*100</f>
        <v>-9.9500000000000011</v>
      </c>
    </row>
    <row r="50" spans="1:10" x14ac:dyDescent="0.25">
      <c r="A50" s="101" t="str">
        <f>'NIFTY GRP'!C45</f>
        <v>TATASTEEL</v>
      </c>
      <c r="B50" s="140">
        <f>VLOOKUP($A50,'Data shares'!$C:$FA,7)</f>
        <v>173.86</v>
      </c>
      <c r="C50" s="140">
        <f>VLOOKUP($A50,'Data shares'!$C:$FA,3)</f>
        <v>174.73</v>
      </c>
      <c r="D50" s="50">
        <f>VLOOKUP($A50,'Data shares'!$C:$FA,6)*100</f>
        <v>-1.27</v>
      </c>
      <c r="E50" s="51">
        <f>VLOOKUP($A50,'Data shares'!$C:$FA,98)</f>
        <v>403502000</v>
      </c>
      <c r="F50" s="51">
        <f>VLOOKUP($A50,'Data shares'!$C:$FA,99)</f>
        <v>395186000</v>
      </c>
      <c r="G50" s="50">
        <f>VLOOKUP($A50,'Data shares'!$C:$FA,101)*100</f>
        <v>2.1</v>
      </c>
      <c r="H50" s="49">
        <f>VLOOKUP($A50,'Data Vlaue (Cr)'!$C:$FB,99)</f>
        <v>7050</v>
      </c>
      <c r="I50" s="49">
        <f>VLOOKUP($A50,'Data Vlaue (Cr)'!$C:$FB,100)</f>
        <v>6905</v>
      </c>
      <c r="J50" s="49">
        <f>VLOOKUP($A50,'Data Vlaue (Cr)'!$C:$FB,102)*100</f>
        <v>2.1</v>
      </c>
    </row>
    <row r="51" spans="1:10" x14ac:dyDescent="0.25">
      <c r="A51" s="101" t="str">
        <f>'NIFTY GRP'!C46</f>
        <v>TCS</v>
      </c>
      <c r="B51" s="140">
        <f>VLOOKUP($A51,'Data shares'!$C:$FA,7)</f>
        <v>3028.3</v>
      </c>
      <c r="C51" s="140">
        <f>VLOOKUP($A51,'Data shares'!$C:$FA,3)</f>
        <v>3026.5</v>
      </c>
      <c r="D51" s="50">
        <f>VLOOKUP($A51,'Data shares'!$C:$FA,6)*100</f>
        <v>-1.01</v>
      </c>
      <c r="E51" s="51">
        <f>VLOOKUP($A51,'Data shares'!$C:$FA,98)</f>
        <v>71015350</v>
      </c>
      <c r="F51" s="51">
        <f>VLOOKUP($A51,'Data shares'!$C:$FA,99)</f>
        <v>68279400</v>
      </c>
      <c r="G51" s="50">
        <f>VLOOKUP($A51,'Data shares'!$C:$FA,101)*100</f>
        <v>4.01</v>
      </c>
      <c r="H51" s="49">
        <f>VLOOKUP($A51,'Data Vlaue (Cr)'!$C:$FB,99)</f>
        <v>21493</v>
      </c>
      <c r="I51" s="49">
        <f>VLOOKUP($A51,'Data Vlaue (Cr)'!$C:$FB,100)</f>
        <v>20665</v>
      </c>
      <c r="J51" s="49">
        <f>VLOOKUP($A51,'Data Vlaue (Cr)'!$C:$FB,102)*100</f>
        <v>4.01</v>
      </c>
    </row>
    <row r="52" spans="1:10" x14ac:dyDescent="0.25">
      <c r="A52" s="101" t="str">
        <f>'NIFTY GRP'!C47</f>
        <v>TECHM</v>
      </c>
      <c r="B52" s="140">
        <f>VLOOKUP($A52,'Data shares'!$C:$FA,7)</f>
        <v>1457.2</v>
      </c>
      <c r="C52" s="140">
        <f>VLOOKUP($A52,'Data shares'!$C:$FA,3)</f>
        <v>1452.6</v>
      </c>
      <c r="D52" s="50">
        <f>VLOOKUP($A52,'Data shares'!$C:$FA,6)*100</f>
        <v>-0.59</v>
      </c>
      <c r="E52" s="51">
        <f>VLOOKUP($A52,'Data shares'!$C:$FA,98)</f>
        <v>25708200</v>
      </c>
      <c r="F52" s="51">
        <f>VLOOKUP($A52,'Data shares'!$C:$FA,99)</f>
        <v>25419600</v>
      </c>
      <c r="G52" s="50">
        <f>VLOOKUP($A52,'Data shares'!$C:$FA,101)*100</f>
        <v>1.1400000000000001</v>
      </c>
      <c r="H52" s="49">
        <f>VLOOKUP($A52,'Data Vlaue (Cr)'!$C:$FB,99)</f>
        <v>3734</v>
      </c>
      <c r="I52" s="49">
        <f>VLOOKUP($A52,'Data Vlaue (Cr)'!$C:$FB,100)</f>
        <v>3692</v>
      </c>
      <c r="J52" s="49">
        <f>VLOOKUP($A52,'Data Vlaue (Cr)'!$C:$FB,102)*100</f>
        <v>1.1400000000000001</v>
      </c>
    </row>
    <row r="53" spans="1:10" x14ac:dyDescent="0.25">
      <c r="A53" s="101" t="str">
        <f>'NIFTY GRP'!C48</f>
        <v>TITAN</v>
      </c>
      <c r="B53" s="140">
        <f>VLOOKUP($A53,'Data shares'!$C:$FA,7)</f>
        <v>3531.9</v>
      </c>
      <c r="C53" s="140">
        <f>VLOOKUP($A53,'Data shares'!$C:$FA,3)</f>
        <v>3550.2</v>
      </c>
      <c r="D53" s="50">
        <f>VLOOKUP($A53,'Data shares'!$C:$FA,6)*100</f>
        <v>-0.44</v>
      </c>
      <c r="E53" s="51">
        <f>VLOOKUP($A53,'Data shares'!$C:$FA,98)</f>
        <v>18750725</v>
      </c>
      <c r="F53" s="51">
        <f>VLOOKUP($A53,'Data shares'!$C:$FA,99)</f>
        <v>19135200</v>
      </c>
      <c r="G53" s="50">
        <f>VLOOKUP($A53,'Data shares'!$C:$FA,101)*100</f>
        <v>-2.0099999999999998</v>
      </c>
      <c r="H53" s="49">
        <f>VLOOKUP($A53,'Data Vlaue (Cr)'!$C:$FB,99)</f>
        <v>6657</v>
      </c>
      <c r="I53" s="49">
        <f>VLOOKUP($A53,'Data Vlaue (Cr)'!$C:$FB,100)</f>
        <v>6793</v>
      </c>
      <c r="J53" s="49">
        <f>VLOOKUP($A53,'Data Vlaue (Cr)'!$C:$FB,102)*100</f>
        <v>-2.0099999999999998</v>
      </c>
    </row>
    <row r="54" spans="1:10" x14ac:dyDescent="0.25">
      <c r="A54" s="101" t="str">
        <f>'NIFTY GRP'!C49</f>
        <v>TRENT</v>
      </c>
      <c r="B54" s="140">
        <f>VLOOKUP($A54,'Data shares'!$C:$FA,7)</f>
        <v>4691.1000000000004</v>
      </c>
      <c r="C54" s="140">
        <f>VLOOKUP($A54,'Data shares'!$C:$FA,3)</f>
        <v>4702.3</v>
      </c>
      <c r="D54" s="50">
        <f>VLOOKUP($A54,'Data shares'!$C:$FA,6)*100</f>
        <v>0.37</v>
      </c>
      <c r="E54" s="51">
        <f>VLOOKUP($A54,'Data shares'!$C:$FA,98)</f>
        <v>19105200</v>
      </c>
      <c r="F54" s="51">
        <f>VLOOKUP($A54,'Data shares'!$C:$FA,99)</f>
        <v>19348400</v>
      </c>
      <c r="G54" s="50">
        <f>VLOOKUP($A54,'Data shares'!$C:$FA,101)*100</f>
        <v>-1.26</v>
      </c>
      <c r="H54" s="49">
        <f>VLOOKUP($A54,'Data Vlaue (Cr)'!$C:$FB,99)</f>
        <v>8984</v>
      </c>
      <c r="I54" s="49">
        <f>VLOOKUP($A54,'Data Vlaue (Cr)'!$C:$FB,100)</f>
        <v>9098</v>
      </c>
      <c r="J54" s="49">
        <f>VLOOKUP($A54,'Data Vlaue (Cr)'!$C:$FB,102)*100</f>
        <v>-1.26</v>
      </c>
    </row>
    <row r="55" spans="1:10" x14ac:dyDescent="0.25">
      <c r="A55" s="101" t="str">
        <f>'NIFTY GRP'!C50</f>
        <v>ULTRACEMCO</v>
      </c>
      <c r="B55" s="140">
        <f>VLOOKUP($A55,'Data shares'!$C:$FA,7)</f>
        <v>12281</v>
      </c>
      <c r="C55" s="140">
        <f>VLOOKUP($A55,'Data shares'!$C:$FA,3)</f>
        <v>12315</v>
      </c>
      <c r="D55" s="50">
        <f>VLOOKUP($A55,'Data shares'!$C:$FA,6)*100</f>
        <v>0.74</v>
      </c>
      <c r="E55" s="51">
        <f>VLOOKUP($A55,'Data shares'!$C:$FA,98)</f>
        <v>3371150</v>
      </c>
      <c r="F55" s="51">
        <f>VLOOKUP($A55,'Data shares'!$C:$FA,99)</f>
        <v>3428300</v>
      </c>
      <c r="G55" s="50">
        <f>VLOOKUP($A55,'Data shares'!$C:$FA,101)*100</f>
        <v>-1.67</v>
      </c>
      <c r="H55" s="49">
        <f>VLOOKUP($A55,'Data Vlaue (Cr)'!$C:$FB,99)</f>
        <v>4152</v>
      </c>
      <c r="I55" s="49">
        <f>VLOOKUP($A55,'Data Vlaue (Cr)'!$C:$FB,100)</f>
        <v>4222</v>
      </c>
      <c r="J55" s="49">
        <f>VLOOKUP($A55,'Data Vlaue (Cr)'!$C:$FB,102)*100</f>
        <v>-1.67</v>
      </c>
    </row>
    <row r="56" spans="1:10" x14ac:dyDescent="0.25">
      <c r="A56" s="101" t="str">
        <f>'NIFTY GRP'!C51</f>
        <v>WIPRO</v>
      </c>
      <c r="B56" s="140">
        <f>VLOOKUP($A56,'Data shares'!$C:$FA,7)</f>
        <v>248.7</v>
      </c>
      <c r="C56" s="140">
        <f>VLOOKUP($A56,'Data shares'!$C:$FA,3)</f>
        <v>249.13</v>
      </c>
      <c r="D56" s="50">
        <f>VLOOKUP($A56,'Data shares'!$C:$FA,6)*100</f>
        <v>1.1900000000000002</v>
      </c>
      <c r="E56" s="51">
        <f>VLOOKUP($A56,'Data shares'!$C:$FA,98)</f>
        <v>208506000</v>
      </c>
      <c r="F56" s="51">
        <f>VLOOKUP($A56,'Data shares'!$C:$FA,99)</f>
        <v>211734000</v>
      </c>
      <c r="G56" s="50">
        <f>VLOOKUP($A56,'Data shares'!$C:$FA,101)*100</f>
        <v>-1.52</v>
      </c>
      <c r="H56" s="49">
        <f>VLOOKUP($A56,'Data Vlaue (Cr)'!$C:$FB,99)</f>
        <v>5195</v>
      </c>
      <c r="I56" s="49">
        <f>VLOOKUP($A56,'Data Vlaue (Cr)'!$C:$FB,100)</f>
        <v>5275</v>
      </c>
      <c r="J56" s="49">
        <f>VLOOKUP($A56,'Data Vlaue (Cr)'!$C:$FB,102)*100</f>
        <v>-1.52</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4438367125</v>
      </c>
      <c r="F94" s="127">
        <f>SUM(F7:F93)</f>
        <v>4436659150</v>
      </c>
      <c r="G94" s="128">
        <f>(E94-F94)/F94</f>
        <v>3.8496872134069618E-4</v>
      </c>
      <c r="H94" s="127">
        <f>SUM(H7:H93)</f>
        <v>413676</v>
      </c>
      <c r="I94" s="127">
        <f>SUM(I7:I93)</f>
        <v>411720</v>
      </c>
      <c r="J94" s="128">
        <f>(H94-I94)/I94</f>
        <v>4.7508015155931218E-3</v>
      </c>
    </row>
    <row r="95" spans="1:10" s="88" customFormat="1" ht="13.5" customHeight="1" x14ac:dyDescent="0.25">
      <c r="A95" s="126" t="s">
        <v>398</v>
      </c>
      <c r="B95" s="122"/>
      <c r="C95" s="122"/>
      <c r="D95" s="122"/>
      <c r="E95" s="125">
        <f>E94/10000000</f>
        <v>443.83671249999998</v>
      </c>
      <c r="F95" s="125">
        <f>F94/10000000</f>
        <v>443.66591499999998</v>
      </c>
      <c r="G95" s="128">
        <f>(E95-F95)/F95</f>
        <v>3.8496872134067802E-4</v>
      </c>
      <c r="H95" s="129">
        <f>H94/10000000</f>
        <v>4.1367599999999997E-2</v>
      </c>
      <c r="I95" s="129">
        <f>I94/10000000</f>
        <v>4.1172E-2</v>
      </c>
      <c r="J95" s="128">
        <f>(H95-I95)/I95</f>
        <v>4.7508015155930524E-3</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413676</v>
      </c>
      <c r="B103" s="38">
        <f>I94</f>
        <v>411720</v>
      </c>
      <c r="C103" s="42">
        <f>J94</f>
        <v>4.7508015155931218E-3</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45940</v>
      </c>
      <c r="C6" s="76" t="s">
        <v>328</v>
      </c>
      <c r="D6" s="3">
        <f>B6</f>
        <v>45940</v>
      </c>
      <c r="E6" s="76" t="s">
        <v>322</v>
      </c>
      <c r="F6" s="76" t="s">
        <v>328</v>
      </c>
      <c r="G6" s="3">
        <f>D6</f>
        <v>45940</v>
      </c>
      <c r="H6" s="76" t="s">
        <v>322</v>
      </c>
      <c r="I6" s="76" t="s">
        <v>328</v>
      </c>
      <c r="J6" s="3">
        <f>D6</f>
        <v>45940</v>
      </c>
      <c r="K6" s="76" t="s">
        <v>322</v>
      </c>
      <c r="L6" s="76" t="s">
        <v>328</v>
      </c>
      <c r="M6" s="3">
        <f>D6</f>
        <v>45940</v>
      </c>
      <c r="N6" s="76" t="s">
        <v>322</v>
      </c>
      <c r="O6" s="76" t="s">
        <v>328</v>
      </c>
    </row>
    <row r="7" spans="1:15" x14ac:dyDescent="0.25">
      <c r="A7" s="101" t="str">
        <f>'Data Vlaue (Cr)'!C2</f>
        <v>360ONE</v>
      </c>
      <c r="B7" s="50">
        <f>VLOOKUP($A7,'Data Vlaue (Cr)'!$C:$FB,8)</f>
        <v>1095.0999999999999</v>
      </c>
      <c r="C7" s="50">
        <f>VLOOKUP($A7,'Data Vlaue (Cr)'!$C:$FB,11)*100</f>
        <v>0.9900000000000001</v>
      </c>
      <c r="D7" s="50">
        <f>VLOOKUP($A7,'Data Vlaue (Cr)'!$C:$FB,143)</f>
        <v>167.27</v>
      </c>
      <c r="E7" s="50">
        <f>VLOOKUP($A7,'Data Vlaue (Cr)'!$C:$FB,144)</f>
        <v>139.1</v>
      </c>
      <c r="F7" s="50">
        <f>VLOOKUP($A7,'Data Vlaue (Cr)'!$C:$FB,146)*100</f>
        <v>20.25</v>
      </c>
      <c r="G7" s="49">
        <f>VLOOKUP($A7,'Data Vlaue (Cr)'!$C:$FB,43)</f>
        <v>45</v>
      </c>
      <c r="H7" s="49">
        <f>VLOOKUP($A7,'Data Vlaue (Cr)'!$C:$FB,44)</f>
        <v>37</v>
      </c>
      <c r="I7" s="49">
        <f>VLOOKUP($A7,'Data Vlaue (Cr)'!$C:$FB,46)*100</f>
        <v>22.919999999999998</v>
      </c>
      <c r="J7" s="51">
        <f>VLOOKUP($A7,'Data Vlaue (Cr)'!$C:$FB,59)</f>
        <v>101</v>
      </c>
      <c r="K7" s="51">
        <f>VLOOKUP($A7,'Data Vlaue (Cr)'!$C:$FB,60)</f>
        <v>78</v>
      </c>
      <c r="L7" s="51">
        <f>VLOOKUP($A7,'Data Vlaue (Cr)'!$C:$FB,62)*100</f>
        <v>29.84</v>
      </c>
      <c r="M7" s="51">
        <f>VLOOKUP($A7,'Data Vlaue (Cr)'!$C:$FB,63)</f>
        <v>17</v>
      </c>
      <c r="N7" s="51">
        <f>VLOOKUP($A7,'Data Vlaue (Cr)'!$C:$FB,64)</f>
        <v>22</v>
      </c>
      <c r="O7" s="51">
        <f>VLOOKUP($A7,'Data Vlaue (Cr)'!$C:$FB,66)*100</f>
        <v>-24.44</v>
      </c>
    </row>
    <row r="8" spans="1:15" x14ac:dyDescent="0.25">
      <c r="A8" s="101" t="str">
        <f>'Data Vlaue (Cr)'!C3</f>
        <v>ABB</v>
      </c>
      <c r="B8" s="50">
        <f>VLOOKUP($A8,'Data Vlaue (Cr)'!$C:$FB,8)</f>
        <v>5186</v>
      </c>
      <c r="C8" s="50">
        <f>VLOOKUP($A8,'Data Vlaue (Cr)'!$C:$FB,11)*100</f>
        <v>0.77</v>
      </c>
      <c r="D8" s="50">
        <f>VLOOKUP($A8,'Data Vlaue (Cr)'!$C:$FB,143)</f>
        <v>953.01</v>
      </c>
      <c r="E8" s="50">
        <f>VLOOKUP($A8,'Data Vlaue (Cr)'!$C:$FB,144)</f>
        <v>1437.01</v>
      </c>
      <c r="F8" s="50">
        <f>VLOOKUP($A8,'Data Vlaue (Cr)'!$C:$FB,146)*100</f>
        <v>-33.68</v>
      </c>
      <c r="G8" s="49">
        <f>VLOOKUP($A8,'Data Vlaue (Cr)'!$C:$FB,43)</f>
        <v>163</v>
      </c>
      <c r="H8" s="49">
        <f>VLOOKUP($A8,'Data Vlaue (Cr)'!$C:$FB,44)</f>
        <v>233</v>
      </c>
      <c r="I8" s="49">
        <f>VLOOKUP($A8,'Data Vlaue (Cr)'!$C:$FB,46)*100</f>
        <v>-30.259999999999998</v>
      </c>
      <c r="J8" s="51">
        <f>VLOOKUP($A8,'Data Vlaue (Cr)'!$C:$FB,59)</f>
        <v>569</v>
      </c>
      <c r="K8" s="51">
        <f>VLOOKUP($A8,'Data Vlaue (Cr)'!$C:$FB,60)</f>
        <v>765</v>
      </c>
      <c r="L8" s="51">
        <f>VLOOKUP($A8,'Data Vlaue (Cr)'!$C:$FB,62)*100</f>
        <v>-25.629999999999995</v>
      </c>
      <c r="M8" s="51">
        <f>VLOOKUP($A8,'Data Vlaue (Cr)'!$C:$FB,63)</f>
        <v>199</v>
      </c>
      <c r="N8" s="51">
        <f>VLOOKUP($A8,'Data Vlaue (Cr)'!$C:$FB,64)</f>
        <v>419</v>
      </c>
      <c r="O8" s="51">
        <f>VLOOKUP($A8,'Data Vlaue (Cr)'!$C:$FB,66)*100</f>
        <v>-52.459999999999994</v>
      </c>
    </row>
    <row r="9" spans="1:15" x14ac:dyDescent="0.25">
      <c r="A9" s="101" t="str">
        <f>'Data Vlaue (Cr)'!C4</f>
        <v>ABCAPITAL</v>
      </c>
      <c r="B9" s="50">
        <f>VLOOKUP($A9,'Data Vlaue (Cr)'!$C:$FB,8)</f>
        <v>293.35000000000002</v>
      </c>
      <c r="C9" s="50">
        <f>VLOOKUP($A9,'Data Vlaue (Cr)'!$C:$FB,11)*100</f>
        <v>-1.54</v>
      </c>
      <c r="D9" s="50">
        <f>VLOOKUP($A9,'Data Vlaue (Cr)'!$C:$FB,143)</f>
        <v>1088.0899999999999</v>
      </c>
      <c r="E9" s="50">
        <f>VLOOKUP($A9,'Data Vlaue (Cr)'!$C:$FB,144)</f>
        <v>854.02</v>
      </c>
      <c r="F9" s="50">
        <f>VLOOKUP($A9,'Data Vlaue (Cr)'!$C:$FB,146)*100</f>
        <v>27.41</v>
      </c>
      <c r="G9" s="49">
        <f>VLOOKUP($A9,'Data Vlaue (Cr)'!$C:$FB,43)</f>
        <v>249</v>
      </c>
      <c r="H9" s="49">
        <f>VLOOKUP($A9,'Data Vlaue (Cr)'!$C:$FB,44)</f>
        <v>195</v>
      </c>
      <c r="I9" s="49">
        <f>VLOOKUP($A9,'Data Vlaue (Cr)'!$C:$FB,46)*100</f>
        <v>27.63</v>
      </c>
      <c r="J9" s="51">
        <f>VLOOKUP($A9,'Data Vlaue (Cr)'!$C:$FB,59)</f>
        <v>581</v>
      </c>
      <c r="K9" s="51">
        <f>VLOOKUP($A9,'Data Vlaue (Cr)'!$C:$FB,60)</f>
        <v>436</v>
      </c>
      <c r="L9" s="51">
        <f>VLOOKUP($A9,'Data Vlaue (Cr)'!$C:$FB,62)*100</f>
        <v>33.239999999999995</v>
      </c>
      <c r="M9" s="51">
        <f>VLOOKUP($A9,'Data Vlaue (Cr)'!$C:$FB,63)</f>
        <v>222</v>
      </c>
      <c r="N9" s="51">
        <f>VLOOKUP($A9,'Data Vlaue (Cr)'!$C:$FB,64)</f>
        <v>193</v>
      </c>
      <c r="O9" s="51">
        <f>VLOOKUP($A9,'Data Vlaue (Cr)'!$C:$FB,66)*100</f>
        <v>14.979999999999999</v>
      </c>
    </row>
    <row r="10" spans="1:15" x14ac:dyDescent="0.25">
      <c r="A10" s="101" t="str">
        <f>'Data Vlaue (Cr)'!C5</f>
        <v>ADANIENSOL</v>
      </c>
      <c r="B10" s="50">
        <f>VLOOKUP($A10,'Data Vlaue (Cr)'!$C:$FB,8)</f>
        <v>925.85</v>
      </c>
      <c r="C10" s="50">
        <f>VLOOKUP($A10,'Data Vlaue (Cr)'!$C:$FB,11)*100</f>
        <v>-0.65</v>
      </c>
      <c r="D10" s="50">
        <f>VLOOKUP($A10,'Data Vlaue (Cr)'!$C:$FB,143)</f>
        <v>687.67</v>
      </c>
      <c r="E10" s="50">
        <f>VLOOKUP($A10,'Data Vlaue (Cr)'!$C:$FB,144)</f>
        <v>681.72</v>
      </c>
      <c r="F10" s="50">
        <f>VLOOKUP($A10,'Data Vlaue (Cr)'!$C:$FB,146)*100</f>
        <v>0.86999999999999988</v>
      </c>
      <c r="G10" s="49">
        <f>VLOOKUP($A10,'Data Vlaue (Cr)'!$C:$FB,43)</f>
        <v>167</v>
      </c>
      <c r="H10" s="49">
        <f>VLOOKUP($A10,'Data Vlaue (Cr)'!$C:$FB,44)</f>
        <v>143</v>
      </c>
      <c r="I10" s="49">
        <f>VLOOKUP($A10,'Data Vlaue (Cr)'!$C:$FB,46)*100</f>
        <v>16.63</v>
      </c>
      <c r="J10" s="51">
        <f>VLOOKUP($A10,'Data Vlaue (Cr)'!$C:$FB,59)</f>
        <v>384</v>
      </c>
      <c r="K10" s="51">
        <f>VLOOKUP($A10,'Data Vlaue (Cr)'!$C:$FB,60)</f>
        <v>404</v>
      </c>
      <c r="L10" s="51">
        <f>VLOOKUP($A10,'Data Vlaue (Cr)'!$C:$FB,62)*100</f>
        <v>-5.07</v>
      </c>
      <c r="M10" s="51">
        <f>VLOOKUP($A10,'Data Vlaue (Cr)'!$C:$FB,63)</f>
        <v>122</v>
      </c>
      <c r="N10" s="51">
        <f>VLOOKUP($A10,'Data Vlaue (Cr)'!$C:$FB,64)</f>
        <v>115</v>
      </c>
      <c r="O10" s="51">
        <f>VLOOKUP($A10,'Data Vlaue (Cr)'!$C:$FB,66)*100</f>
        <v>6.5299999999999994</v>
      </c>
    </row>
    <row r="11" spans="1:15" x14ac:dyDescent="0.25">
      <c r="A11" s="101" t="str">
        <f>'Data Vlaue (Cr)'!C6</f>
        <v>ADANIENT</v>
      </c>
      <c r="B11" s="50">
        <f>VLOOKUP($A11,'Data Vlaue (Cr)'!$C:$FB,8)</f>
        <v>2550.9</v>
      </c>
      <c r="C11" s="50">
        <f>VLOOKUP($A11,'Data Vlaue (Cr)'!$C:$FB,11)*100</f>
        <v>0.33</v>
      </c>
      <c r="D11" s="50">
        <f>VLOOKUP($A11,'Data Vlaue (Cr)'!$C:$FB,143)</f>
        <v>3022.01</v>
      </c>
      <c r="E11" s="50">
        <f>VLOOKUP($A11,'Data Vlaue (Cr)'!$C:$FB,144)</f>
        <v>3262.82</v>
      </c>
      <c r="F11" s="50">
        <f>VLOOKUP($A11,'Data Vlaue (Cr)'!$C:$FB,146)*100</f>
        <v>-7.3800000000000008</v>
      </c>
      <c r="G11" s="49">
        <f>VLOOKUP($A11,'Data Vlaue (Cr)'!$C:$FB,43)</f>
        <v>366</v>
      </c>
      <c r="H11" s="49">
        <f>VLOOKUP($A11,'Data Vlaue (Cr)'!$C:$FB,44)</f>
        <v>324</v>
      </c>
      <c r="I11" s="49">
        <f>VLOOKUP($A11,'Data Vlaue (Cr)'!$C:$FB,46)*100</f>
        <v>13.089999999999998</v>
      </c>
      <c r="J11" s="51">
        <f>VLOOKUP($A11,'Data Vlaue (Cr)'!$C:$FB,59)</f>
        <v>1888</v>
      </c>
      <c r="K11" s="51">
        <f>VLOOKUP($A11,'Data Vlaue (Cr)'!$C:$FB,60)</f>
        <v>2136</v>
      </c>
      <c r="L11" s="51">
        <f>VLOOKUP($A11,'Data Vlaue (Cr)'!$C:$FB,62)*100</f>
        <v>-11.600000000000001</v>
      </c>
      <c r="M11" s="51">
        <f>VLOOKUP($A11,'Data Vlaue (Cr)'!$C:$FB,63)</f>
        <v>688</v>
      </c>
      <c r="N11" s="51">
        <f>VLOOKUP($A11,'Data Vlaue (Cr)'!$C:$FB,64)</f>
        <v>718</v>
      </c>
      <c r="O11" s="51">
        <f>VLOOKUP($A11,'Data Vlaue (Cr)'!$C:$FB,66)*100</f>
        <v>-4.26</v>
      </c>
    </row>
    <row r="12" spans="1:15" x14ac:dyDescent="0.25">
      <c r="A12" s="101" t="str">
        <f>'Data Vlaue (Cr)'!C7</f>
        <v>ADANIGREEN</v>
      </c>
      <c r="B12" s="50">
        <f>VLOOKUP($A12,'Data Vlaue (Cr)'!$C:$FB,8)</f>
        <v>1064.3</v>
      </c>
      <c r="C12" s="50">
        <f>VLOOKUP($A12,'Data Vlaue (Cr)'!$C:$FB,11)*100</f>
        <v>1.22</v>
      </c>
      <c r="D12" s="50">
        <f>VLOOKUP($A12,'Data Vlaue (Cr)'!$C:$FB,143)</f>
        <v>1952.15</v>
      </c>
      <c r="E12" s="50">
        <f>VLOOKUP($A12,'Data Vlaue (Cr)'!$C:$FB,144)</f>
        <v>1320.82</v>
      </c>
      <c r="F12" s="50">
        <f>VLOOKUP($A12,'Data Vlaue (Cr)'!$C:$FB,146)*100</f>
        <v>47.8</v>
      </c>
      <c r="G12" s="49">
        <f>VLOOKUP($A12,'Data Vlaue (Cr)'!$C:$FB,43)</f>
        <v>266</v>
      </c>
      <c r="H12" s="49">
        <f>VLOOKUP($A12,'Data Vlaue (Cr)'!$C:$FB,44)</f>
        <v>185</v>
      </c>
      <c r="I12" s="49">
        <f>VLOOKUP($A12,'Data Vlaue (Cr)'!$C:$FB,46)*100</f>
        <v>43.96</v>
      </c>
      <c r="J12" s="51">
        <f>VLOOKUP($A12,'Data Vlaue (Cr)'!$C:$FB,59)</f>
        <v>1236</v>
      </c>
      <c r="K12" s="51">
        <f>VLOOKUP($A12,'Data Vlaue (Cr)'!$C:$FB,60)</f>
        <v>834</v>
      </c>
      <c r="L12" s="51">
        <f>VLOOKUP($A12,'Data Vlaue (Cr)'!$C:$FB,62)*100</f>
        <v>48.28</v>
      </c>
      <c r="M12" s="51">
        <f>VLOOKUP($A12,'Data Vlaue (Cr)'!$C:$FB,63)</f>
        <v>383</v>
      </c>
      <c r="N12" s="51">
        <f>VLOOKUP($A12,'Data Vlaue (Cr)'!$C:$FB,64)</f>
        <v>263</v>
      </c>
      <c r="O12" s="51">
        <f>VLOOKUP($A12,'Data Vlaue (Cr)'!$C:$FB,66)*100</f>
        <v>45.83</v>
      </c>
    </row>
    <row r="13" spans="1:15" x14ac:dyDescent="0.25">
      <c r="A13" s="101" t="str">
        <f>'Data Vlaue (Cr)'!C8</f>
        <v>ADANIPORTS</v>
      </c>
      <c r="B13" s="50">
        <f>VLOOKUP($A13,'Data Vlaue (Cr)'!$C:$FB,8)</f>
        <v>1409.4</v>
      </c>
      <c r="C13" s="50">
        <f>VLOOKUP($A13,'Data Vlaue (Cr)'!$C:$FB,11)*100</f>
        <v>0.9900000000000001</v>
      </c>
      <c r="D13" s="50">
        <f>VLOOKUP($A13,'Data Vlaue (Cr)'!$C:$FB,143)</f>
        <v>2881.26</v>
      </c>
      <c r="E13" s="50">
        <f>VLOOKUP($A13,'Data Vlaue (Cr)'!$C:$FB,144)</f>
        <v>1391.67</v>
      </c>
      <c r="F13" s="50">
        <f>VLOOKUP($A13,'Data Vlaue (Cr)'!$C:$FB,146)*100</f>
        <v>107.04</v>
      </c>
      <c r="G13" s="49">
        <f>VLOOKUP($A13,'Data Vlaue (Cr)'!$C:$FB,43)</f>
        <v>377</v>
      </c>
      <c r="H13" s="49">
        <f>VLOOKUP($A13,'Data Vlaue (Cr)'!$C:$FB,44)</f>
        <v>217</v>
      </c>
      <c r="I13" s="49">
        <f>VLOOKUP($A13,'Data Vlaue (Cr)'!$C:$FB,46)*100</f>
        <v>73.740000000000009</v>
      </c>
      <c r="J13" s="51">
        <f>VLOOKUP($A13,'Data Vlaue (Cr)'!$C:$FB,59)</f>
        <v>1839</v>
      </c>
      <c r="K13" s="51">
        <f>VLOOKUP($A13,'Data Vlaue (Cr)'!$C:$FB,60)</f>
        <v>818</v>
      </c>
      <c r="L13" s="51">
        <f>VLOOKUP($A13,'Data Vlaue (Cr)'!$C:$FB,62)*100</f>
        <v>124.83999999999999</v>
      </c>
      <c r="M13" s="51">
        <f>VLOOKUP($A13,'Data Vlaue (Cr)'!$C:$FB,63)</f>
        <v>605</v>
      </c>
      <c r="N13" s="51">
        <f>VLOOKUP($A13,'Data Vlaue (Cr)'!$C:$FB,64)</f>
        <v>343</v>
      </c>
      <c r="O13" s="51">
        <f>VLOOKUP($A13,'Data Vlaue (Cr)'!$C:$FB,66)*100</f>
        <v>76.62</v>
      </c>
    </row>
    <row r="14" spans="1:15" x14ac:dyDescent="0.25">
      <c r="A14" s="101" t="str">
        <f>'Data Vlaue (Cr)'!C9</f>
        <v>ALKEM</v>
      </c>
      <c r="B14" s="50">
        <f>VLOOKUP($A14,'Data Vlaue (Cr)'!$C:$FB,8)</f>
        <v>5454.5</v>
      </c>
      <c r="C14" s="50">
        <f>VLOOKUP($A14,'Data Vlaue (Cr)'!$C:$FB,11)*100</f>
        <v>-0.47000000000000003</v>
      </c>
      <c r="D14" s="50">
        <f>VLOOKUP($A14,'Data Vlaue (Cr)'!$C:$FB,143)</f>
        <v>284.7</v>
      </c>
      <c r="E14" s="50">
        <f>VLOOKUP($A14,'Data Vlaue (Cr)'!$C:$FB,144)</f>
        <v>230.54</v>
      </c>
      <c r="F14" s="50">
        <f>VLOOKUP($A14,'Data Vlaue (Cr)'!$C:$FB,146)*100</f>
        <v>23.49</v>
      </c>
      <c r="G14" s="49">
        <f>VLOOKUP($A14,'Data Vlaue (Cr)'!$C:$FB,43)</f>
        <v>77</v>
      </c>
      <c r="H14" s="49">
        <f>VLOOKUP($A14,'Data Vlaue (Cr)'!$C:$FB,44)</f>
        <v>70</v>
      </c>
      <c r="I14" s="49">
        <f>VLOOKUP($A14,'Data Vlaue (Cr)'!$C:$FB,46)*100</f>
        <v>10.100000000000001</v>
      </c>
      <c r="J14" s="51">
        <f>VLOOKUP($A14,'Data Vlaue (Cr)'!$C:$FB,59)</f>
        <v>159</v>
      </c>
      <c r="K14" s="51">
        <f>VLOOKUP($A14,'Data Vlaue (Cr)'!$C:$FB,60)</f>
        <v>124</v>
      </c>
      <c r="L14" s="51">
        <f>VLOOKUP($A14,'Data Vlaue (Cr)'!$C:$FB,62)*100</f>
        <v>27.85</v>
      </c>
      <c r="M14" s="51">
        <f>VLOOKUP($A14,'Data Vlaue (Cr)'!$C:$FB,63)</f>
        <v>44</v>
      </c>
      <c r="N14" s="51">
        <f>VLOOKUP($A14,'Data Vlaue (Cr)'!$C:$FB,64)</f>
        <v>32</v>
      </c>
      <c r="O14" s="51">
        <f>VLOOKUP($A14,'Data Vlaue (Cr)'!$C:$FB,66)*100</f>
        <v>37.61</v>
      </c>
    </row>
    <row r="15" spans="1:15" x14ac:dyDescent="0.25">
      <c r="A15" s="101" t="str">
        <f>'Data Vlaue (Cr)'!C10</f>
        <v>AMBER</v>
      </c>
      <c r="B15" s="50">
        <f>VLOOKUP($A15,'Data Vlaue (Cr)'!$C:$FB,8)</f>
        <v>8284.5</v>
      </c>
      <c r="C15" s="50">
        <f>VLOOKUP($A15,'Data Vlaue (Cr)'!$C:$FB,11)*100</f>
        <v>0.47000000000000003</v>
      </c>
      <c r="D15" s="50">
        <f>VLOOKUP($A15,'Data Vlaue (Cr)'!$C:$FB,143)</f>
        <v>1129.9100000000001</v>
      </c>
      <c r="E15" s="50">
        <f>VLOOKUP($A15,'Data Vlaue (Cr)'!$C:$FB,144)</f>
        <v>2181.8000000000002</v>
      </c>
      <c r="F15" s="50">
        <f>VLOOKUP($A15,'Data Vlaue (Cr)'!$C:$FB,146)*100</f>
        <v>-48.209999999999994</v>
      </c>
      <c r="G15" s="49">
        <f>VLOOKUP($A15,'Data Vlaue (Cr)'!$C:$FB,43)</f>
        <v>164</v>
      </c>
      <c r="H15" s="49">
        <f>VLOOKUP($A15,'Data Vlaue (Cr)'!$C:$FB,44)</f>
        <v>328</v>
      </c>
      <c r="I15" s="49">
        <f>VLOOKUP($A15,'Data Vlaue (Cr)'!$C:$FB,46)*100</f>
        <v>-50.09</v>
      </c>
      <c r="J15" s="51">
        <f>VLOOKUP($A15,'Data Vlaue (Cr)'!$C:$FB,59)</f>
        <v>746</v>
      </c>
      <c r="K15" s="51">
        <f>VLOOKUP($A15,'Data Vlaue (Cr)'!$C:$FB,60)</f>
        <v>1351</v>
      </c>
      <c r="L15" s="51">
        <f>VLOOKUP($A15,'Data Vlaue (Cr)'!$C:$FB,62)*100</f>
        <v>-44.800000000000004</v>
      </c>
      <c r="M15" s="51">
        <f>VLOOKUP($A15,'Data Vlaue (Cr)'!$C:$FB,63)</f>
        <v>184</v>
      </c>
      <c r="N15" s="51">
        <f>VLOOKUP($A15,'Data Vlaue (Cr)'!$C:$FB,64)</f>
        <v>460</v>
      </c>
      <c r="O15" s="51">
        <f>VLOOKUP($A15,'Data Vlaue (Cr)'!$C:$FB,66)*100</f>
        <v>-60</v>
      </c>
    </row>
    <row r="16" spans="1:15" x14ac:dyDescent="0.25">
      <c r="A16" s="101" t="str">
        <f>'Data Vlaue (Cr)'!C11</f>
        <v>AMBUJACEM</v>
      </c>
      <c r="B16" s="50">
        <f>VLOOKUP($A16,'Data Vlaue (Cr)'!$C:$FB,8)</f>
        <v>569.25</v>
      </c>
      <c r="C16" s="50">
        <f>VLOOKUP($A16,'Data Vlaue (Cr)'!$C:$FB,11)*100</f>
        <v>0.59</v>
      </c>
      <c r="D16" s="50">
        <f>VLOOKUP($A16,'Data Vlaue (Cr)'!$C:$FB,143)</f>
        <v>611.16999999999996</v>
      </c>
      <c r="E16" s="50">
        <f>VLOOKUP($A16,'Data Vlaue (Cr)'!$C:$FB,144)</f>
        <v>412.26</v>
      </c>
      <c r="F16" s="50">
        <f>VLOOKUP($A16,'Data Vlaue (Cr)'!$C:$FB,146)*100</f>
        <v>48.25</v>
      </c>
      <c r="G16" s="49">
        <f>VLOOKUP($A16,'Data Vlaue (Cr)'!$C:$FB,43)</f>
        <v>142</v>
      </c>
      <c r="H16" s="49">
        <f>VLOOKUP($A16,'Data Vlaue (Cr)'!$C:$FB,44)</f>
        <v>115</v>
      </c>
      <c r="I16" s="49">
        <f>VLOOKUP($A16,'Data Vlaue (Cr)'!$C:$FB,46)*100</f>
        <v>23.24</v>
      </c>
      <c r="J16" s="51">
        <f>VLOOKUP($A16,'Data Vlaue (Cr)'!$C:$FB,59)</f>
        <v>324</v>
      </c>
      <c r="K16" s="51">
        <f>VLOOKUP($A16,'Data Vlaue (Cr)'!$C:$FB,60)</f>
        <v>212</v>
      </c>
      <c r="L16" s="51">
        <f>VLOOKUP($A16,'Data Vlaue (Cr)'!$C:$FB,62)*100</f>
        <v>52.86</v>
      </c>
      <c r="M16" s="51">
        <f>VLOOKUP($A16,'Data Vlaue (Cr)'!$C:$FB,63)</f>
        <v>133</v>
      </c>
      <c r="N16" s="51">
        <f>VLOOKUP($A16,'Data Vlaue (Cr)'!$C:$FB,64)</f>
        <v>79</v>
      </c>
      <c r="O16" s="51">
        <f>VLOOKUP($A16,'Data Vlaue (Cr)'!$C:$FB,66)*100</f>
        <v>67.83</v>
      </c>
    </row>
    <row r="17" spans="1:15" x14ac:dyDescent="0.25">
      <c r="A17" s="101" t="str">
        <f>'Data Vlaue (Cr)'!C12</f>
        <v>ANGELONE</v>
      </c>
      <c r="B17" s="50">
        <f>VLOOKUP($A17,'Data Vlaue (Cr)'!$C:$FB,8)</f>
        <v>2303.3000000000002</v>
      </c>
      <c r="C17" s="50">
        <f>VLOOKUP($A17,'Data Vlaue (Cr)'!$C:$FB,11)*100</f>
        <v>1.71</v>
      </c>
      <c r="D17" s="50">
        <f>VLOOKUP($A17,'Data Vlaue (Cr)'!$C:$FB,143)</f>
        <v>2220.56</v>
      </c>
      <c r="E17" s="50">
        <f>VLOOKUP($A17,'Data Vlaue (Cr)'!$C:$FB,144)</f>
        <v>2041.47</v>
      </c>
      <c r="F17" s="50">
        <f>VLOOKUP($A17,'Data Vlaue (Cr)'!$C:$FB,146)*100</f>
        <v>8.77</v>
      </c>
      <c r="G17" s="49">
        <f>VLOOKUP($A17,'Data Vlaue (Cr)'!$C:$FB,43)</f>
        <v>333</v>
      </c>
      <c r="H17" s="49">
        <f>VLOOKUP($A17,'Data Vlaue (Cr)'!$C:$FB,44)</f>
        <v>353</v>
      </c>
      <c r="I17" s="49">
        <f>VLOOKUP($A17,'Data Vlaue (Cr)'!$C:$FB,46)*100</f>
        <v>-5.55</v>
      </c>
      <c r="J17" s="51">
        <f>VLOOKUP($A17,'Data Vlaue (Cr)'!$C:$FB,59)</f>
        <v>1302</v>
      </c>
      <c r="K17" s="51">
        <f>VLOOKUP($A17,'Data Vlaue (Cr)'!$C:$FB,60)</f>
        <v>1234</v>
      </c>
      <c r="L17" s="51">
        <f>VLOOKUP($A17,'Data Vlaue (Cr)'!$C:$FB,62)*100</f>
        <v>5.5</v>
      </c>
      <c r="M17" s="51">
        <f>VLOOKUP($A17,'Data Vlaue (Cr)'!$C:$FB,63)</f>
        <v>532</v>
      </c>
      <c r="N17" s="51">
        <f>VLOOKUP($A17,'Data Vlaue (Cr)'!$C:$FB,64)</f>
        <v>428</v>
      </c>
      <c r="O17" s="51">
        <f>VLOOKUP($A17,'Data Vlaue (Cr)'!$C:$FB,66)*100</f>
        <v>24.3</v>
      </c>
    </row>
    <row r="18" spans="1:15" x14ac:dyDescent="0.25">
      <c r="A18" s="101" t="str">
        <f>'Data Vlaue (Cr)'!C13</f>
        <v>APLAPOLLO</v>
      </c>
      <c r="B18" s="50">
        <f>VLOOKUP($A18,'Data Vlaue (Cr)'!$C:$FB,8)</f>
        <v>1738.6</v>
      </c>
      <c r="C18" s="50">
        <f>VLOOKUP($A18,'Data Vlaue (Cr)'!$C:$FB,11)*100</f>
        <v>0.21</v>
      </c>
      <c r="D18" s="50">
        <f>VLOOKUP($A18,'Data Vlaue (Cr)'!$C:$FB,143)</f>
        <v>167.67</v>
      </c>
      <c r="E18" s="50">
        <f>VLOOKUP($A18,'Data Vlaue (Cr)'!$C:$FB,144)</f>
        <v>293.77</v>
      </c>
      <c r="F18" s="50">
        <f>VLOOKUP($A18,'Data Vlaue (Cr)'!$C:$FB,146)*100</f>
        <v>-42.93</v>
      </c>
      <c r="G18" s="49">
        <f>VLOOKUP($A18,'Data Vlaue (Cr)'!$C:$FB,43)</f>
        <v>55</v>
      </c>
      <c r="H18" s="49">
        <f>VLOOKUP($A18,'Data Vlaue (Cr)'!$C:$FB,44)</f>
        <v>87</v>
      </c>
      <c r="I18" s="49">
        <f>VLOOKUP($A18,'Data Vlaue (Cr)'!$C:$FB,46)*100</f>
        <v>-37.269999999999996</v>
      </c>
      <c r="J18" s="51">
        <f>VLOOKUP($A18,'Data Vlaue (Cr)'!$C:$FB,59)</f>
        <v>85</v>
      </c>
      <c r="K18" s="51">
        <f>VLOOKUP($A18,'Data Vlaue (Cr)'!$C:$FB,60)</f>
        <v>163</v>
      </c>
      <c r="L18" s="51">
        <f>VLOOKUP($A18,'Data Vlaue (Cr)'!$C:$FB,62)*100</f>
        <v>-47.870000000000005</v>
      </c>
      <c r="M18" s="51">
        <f>VLOOKUP($A18,'Data Vlaue (Cr)'!$C:$FB,63)</f>
        <v>25</v>
      </c>
      <c r="N18" s="51">
        <f>VLOOKUP($A18,'Data Vlaue (Cr)'!$C:$FB,64)</f>
        <v>38</v>
      </c>
      <c r="O18" s="51">
        <f>VLOOKUP($A18,'Data Vlaue (Cr)'!$C:$FB,66)*100</f>
        <v>-34.5</v>
      </c>
    </row>
    <row r="19" spans="1:15" x14ac:dyDescent="0.25">
      <c r="A19" s="101" t="str">
        <f>'Data Vlaue (Cr)'!C14</f>
        <v>APOLLOHOSP</v>
      </c>
      <c r="B19" s="50">
        <f>VLOOKUP($A19,'Data Vlaue (Cr)'!$C:$FB,8)</f>
        <v>7681</v>
      </c>
      <c r="C19" s="50">
        <f>VLOOKUP($A19,'Data Vlaue (Cr)'!$C:$FB,11)*100</f>
        <v>-0.18</v>
      </c>
      <c r="D19" s="50">
        <f>VLOOKUP($A19,'Data Vlaue (Cr)'!$C:$FB,143)</f>
        <v>1326.01</v>
      </c>
      <c r="E19" s="50">
        <f>VLOOKUP($A19,'Data Vlaue (Cr)'!$C:$FB,144)</f>
        <v>1781.13</v>
      </c>
      <c r="F19" s="50">
        <f>VLOOKUP($A19,'Data Vlaue (Cr)'!$C:$FB,146)*100</f>
        <v>-25.55</v>
      </c>
      <c r="G19" s="49">
        <f>VLOOKUP($A19,'Data Vlaue (Cr)'!$C:$FB,43)</f>
        <v>171</v>
      </c>
      <c r="H19" s="49">
        <f>VLOOKUP($A19,'Data Vlaue (Cr)'!$C:$FB,44)</f>
        <v>177</v>
      </c>
      <c r="I19" s="49">
        <f>VLOOKUP($A19,'Data Vlaue (Cr)'!$C:$FB,46)*100</f>
        <v>-3.4799999999999995</v>
      </c>
      <c r="J19" s="51">
        <f>VLOOKUP($A19,'Data Vlaue (Cr)'!$C:$FB,59)</f>
        <v>761</v>
      </c>
      <c r="K19" s="51">
        <f>VLOOKUP($A19,'Data Vlaue (Cr)'!$C:$FB,60)</f>
        <v>1008</v>
      </c>
      <c r="L19" s="51">
        <f>VLOOKUP($A19,'Data Vlaue (Cr)'!$C:$FB,62)*100</f>
        <v>-24.46</v>
      </c>
      <c r="M19" s="51">
        <f>VLOOKUP($A19,'Data Vlaue (Cr)'!$C:$FB,63)</f>
        <v>373</v>
      </c>
      <c r="N19" s="51">
        <f>VLOOKUP($A19,'Data Vlaue (Cr)'!$C:$FB,64)</f>
        <v>569</v>
      </c>
      <c r="O19" s="51">
        <f>VLOOKUP($A19,'Data Vlaue (Cr)'!$C:$FB,66)*100</f>
        <v>-34.380000000000003</v>
      </c>
    </row>
    <row r="20" spans="1:15" x14ac:dyDescent="0.25">
      <c r="A20" s="101" t="str">
        <f>'Data Vlaue (Cr)'!C15</f>
        <v>ASHOKLEY</v>
      </c>
      <c r="B20" s="50">
        <f>VLOOKUP($A20,'Data Vlaue (Cr)'!$C:$FB,8)</f>
        <v>137.55000000000001</v>
      </c>
      <c r="C20" s="50">
        <f>VLOOKUP($A20,'Data Vlaue (Cr)'!$C:$FB,11)*100</f>
        <v>-0.79</v>
      </c>
      <c r="D20" s="50">
        <f>VLOOKUP($A20,'Data Vlaue (Cr)'!$C:$FB,143)</f>
        <v>1040.5999999999999</v>
      </c>
      <c r="E20" s="50">
        <f>VLOOKUP($A20,'Data Vlaue (Cr)'!$C:$FB,144)</f>
        <v>1138.1500000000001</v>
      </c>
      <c r="F20" s="50">
        <f>VLOOKUP($A20,'Data Vlaue (Cr)'!$C:$FB,146)*100</f>
        <v>-8.57</v>
      </c>
      <c r="G20" s="49">
        <f>VLOOKUP($A20,'Data Vlaue (Cr)'!$C:$FB,43)</f>
        <v>176</v>
      </c>
      <c r="H20" s="49">
        <f>VLOOKUP($A20,'Data Vlaue (Cr)'!$C:$FB,44)</f>
        <v>203</v>
      </c>
      <c r="I20" s="49">
        <f>VLOOKUP($A20,'Data Vlaue (Cr)'!$C:$FB,46)*100</f>
        <v>-13.29</v>
      </c>
      <c r="J20" s="51">
        <f>VLOOKUP($A20,'Data Vlaue (Cr)'!$C:$FB,59)</f>
        <v>566</v>
      </c>
      <c r="K20" s="51">
        <f>VLOOKUP($A20,'Data Vlaue (Cr)'!$C:$FB,60)</f>
        <v>703</v>
      </c>
      <c r="L20" s="51">
        <f>VLOOKUP($A20,'Data Vlaue (Cr)'!$C:$FB,62)*100</f>
        <v>-19.54</v>
      </c>
      <c r="M20" s="51">
        <f>VLOOKUP($A20,'Data Vlaue (Cr)'!$C:$FB,63)</f>
        <v>268</v>
      </c>
      <c r="N20" s="51">
        <f>VLOOKUP($A20,'Data Vlaue (Cr)'!$C:$FB,64)</f>
        <v>183</v>
      </c>
      <c r="O20" s="51">
        <f>VLOOKUP($A20,'Data Vlaue (Cr)'!$C:$FB,66)*100</f>
        <v>46.19</v>
      </c>
    </row>
    <row r="21" spans="1:15" x14ac:dyDescent="0.25">
      <c r="A21" s="101" t="str">
        <f>'Data Vlaue (Cr)'!C16</f>
        <v>ASIANPAINT</v>
      </c>
      <c r="B21" s="50">
        <f>VLOOKUP($A21,'Data Vlaue (Cr)'!$C:$FB,8)</f>
        <v>2340.1999999999998</v>
      </c>
      <c r="C21" s="50">
        <f>VLOOKUP($A21,'Data Vlaue (Cr)'!$C:$FB,11)*100</f>
        <v>0.16</v>
      </c>
      <c r="D21" s="50">
        <f>VLOOKUP($A21,'Data Vlaue (Cr)'!$C:$FB,143)</f>
        <v>1869.98</v>
      </c>
      <c r="E21" s="50">
        <f>VLOOKUP($A21,'Data Vlaue (Cr)'!$C:$FB,144)</f>
        <v>1649.76</v>
      </c>
      <c r="F21" s="50">
        <f>VLOOKUP($A21,'Data Vlaue (Cr)'!$C:$FB,146)*100</f>
        <v>13.350000000000001</v>
      </c>
      <c r="G21" s="49">
        <f>VLOOKUP($A21,'Data Vlaue (Cr)'!$C:$FB,43)</f>
        <v>346</v>
      </c>
      <c r="H21" s="49">
        <f>VLOOKUP($A21,'Data Vlaue (Cr)'!$C:$FB,44)</f>
        <v>213</v>
      </c>
      <c r="I21" s="49">
        <f>VLOOKUP($A21,'Data Vlaue (Cr)'!$C:$FB,46)*100</f>
        <v>62.88</v>
      </c>
      <c r="J21" s="51">
        <f>VLOOKUP($A21,'Data Vlaue (Cr)'!$C:$FB,59)</f>
        <v>1121</v>
      </c>
      <c r="K21" s="51">
        <f>VLOOKUP($A21,'Data Vlaue (Cr)'!$C:$FB,60)</f>
        <v>1050</v>
      </c>
      <c r="L21" s="51">
        <f>VLOOKUP($A21,'Data Vlaue (Cr)'!$C:$FB,62)*100</f>
        <v>6.81</v>
      </c>
      <c r="M21" s="51">
        <f>VLOOKUP($A21,'Data Vlaue (Cr)'!$C:$FB,63)</f>
        <v>371</v>
      </c>
      <c r="N21" s="51">
        <f>VLOOKUP($A21,'Data Vlaue (Cr)'!$C:$FB,64)</f>
        <v>357</v>
      </c>
      <c r="O21" s="51">
        <f>VLOOKUP($A21,'Data Vlaue (Cr)'!$C:$FB,66)*100</f>
        <v>4</v>
      </c>
    </row>
    <row r="22" spans="1:15" x14ac:dyDescent="0.25">
      <c r="A22" s="101" t="str">
        <f>'Data Vlaue (Cr)'!C17</f>
        <v>ASTRAL</v>
      </c>
      <c r="B22" s="50">
        <f>VLOOKUP($A22,'Data Vlaue (Cr)'!$C:$FB,8)</f>
        <v>1427.1</v>
      </c>
      <c r="C22" s="50">
        <f>VLOOKUP($A22,'Data Vlaue (Cr)'!$C:$FB,11)*100</f>
        <v>1.49</v>
      </c>
      <c r="D22" s="50">
        <f>VLOOKUP($A22,'Data Vlaue (Cr)'!$C:$FB,143)</f>
        <v>1301.43</v>
      </c>
      <c r="E22" s="50">
        <f>VLOOKUP($A22,'Data Vlaue (Cr)'!$C:$FB,144)</f>
        <v>650.65</v>
      </c>
      <c r="F22" s="50">
        <f>VLOOKUP($A22,'Data Vlaue (Cr)'!$C:$FB,146)*100</f>
        <v>100.02</v>
      </c>
      <c r="G22" s="49">
        <f>VLOOKUP($A22,'Data Vlaue (Cr)'!$C:$FB,43)</f>
        <v>291</v>
      </c>
      <c r="H22" s="49">
        <f>VLOOKUP($A22,'Data Vlaue (Cr)'!$C:$FB,44)</f>
        <v>143</v>
      </c>
      <c r="I22" s="49">
        <f>VLOOKUP($A22,'Data Vlaue (Cr)'!$C:$FB,46)*100</f>
        <v>102.76</v>
      </c>
      <c r="J22" s="51">
        <f>VLOOKUP($A22,'Data Vlaue (Cr)'!$C:$FB,59)</f>
        <v>742</v>
      </c>
      <c r="K22" s="51">
        <f>VLOOKUP($A22,'Data Vlaue (Cr)'!$C:$FB,60)</f>
        <v>327</v>
      </c>
      <c r="L22" s="51">
        <f>VLOOKUP($A22,'Data Vlaue (Cr)'!$C:$FB,62)*100</f>
        <v>127.27</v>
      </c>
      <c r="M22" s="51">
        <f>VLOOKUP($A22,'Data Vlaue (Cr)'!$C:$FB,63)</f>
        <v>249</v>
      </c>
      <c r="N22" s="51">
        <f>VLOOKUP($A22,'Data Vlaue (Cr)'!$C:$FB,64)</f>
        <v>175</v>
      </c>
      <c r="O22" s="51">
        <f>VLOOKUP($A22,'Data Vlaue (Cr)'!$C:$FB,66)*100</f>
        <v>41.74</v>
      </c>
    </row>
    <row r="23" spans="1:15" x14ac:dyDescent="0.25">
      <c r="A23" s="101" t="str">
        <f>'Data Vlaue (Cr)'!C18</f>
        <v>AUBANK</v>
      </c>
      <c r="B23" s="50">
        <f>VLOOKUP($A23,'Data Vlaue (Cr)'!$C:$FB,8)</f>
        <v>763.25</v>
      </c>
      <c r="C23" s="50">
        <f>VLOOKUP($A23,'Data Vlaue (Cr)'!$C:$FB,11)*100</f>
        <v>0.43</v>
      </c>
      <c r="D23" s="50">
        <f>VLOOKUP($A23,'Data Vlaue (Cr)'!$C:$FB,143)</f>
        <v>1458.04</v>
      </c>
      <c r="E23" s="50">
        <f>VLOOKUP($A23,'Data Vlaue (Cr)'!$C:$FB,144)</f>
        <v>975.18</v>
      </c>
      <c r="F23" s="50">
        <f>VLOOKUP($A23,'Data Vlaue (Cr)'!$C:$FB,146)*100</f>
        <v>49.519999999999996</v>
      </c>
      <c r="G23" s="49">
        <f>VLOOKUP($A23,'Data Vlaue (Cr)'!$C:$FB,43)</f>
        <v>259</v>
      </c>
      <c r="H23" s="49">
        <f>VLOOKUP($A23,'Data Vlaue (Cr)'!$C:$FB,44)</f>
        <v>229</v>
      </c>
      <c r="I23" s="49">
        <f>VLOOKUP($A23,'Data Vlaue (Cr)'!$C:$FB,46)*100</f>
        <v>13.139999999999999</v>
      </c>
      <c r="J23" s="51">
        <f>VLOOKUP($A23,'Data Vlaue (Cr)'!$C:$FB,59)</f>
        <v>893</v>
      </c>
      <c r="K23" s="51">
        <f>VLOOKUP($A23,'Data Vlaue (Cr)'!$C:$FB,60)</f>
        <v>505</v>
      </c>
      <c r="L23" s="51">
        <f>VLOOKUP($A23,'Data Vlaue (Cr)'!$C:$FB,62)*100</f>
        <v>76.92</v>
      </c>
      <c r="M23" s="51">
        <f>VLOOKUP($A23,'Data Vlaue (Cr)'!$C:$FB,63)</f>
        <v>270</v>
      </c>
      <c r="N23" s="51">
        <f>VLOOKUP($A23,'Data Vlaue (Cr)'!$C:$FB,64)</f>
        <v>224</v>
      </c>
      <c r="O23" s="51">
        <f>VLOOKUP($A23,'Data Vlaue (Cr)'!$C:$FB,66)*100</f>
        <v>20.51</v>
      </c>
    </row>
    <row r="24" spans="1:15" x14ac:dyDescent="0.25">
      <c r="A24" s="101" t="str">
        <f>'Data Vlaue (Cr)'!C19</f>
        <v>AUROPHARMA</v>
      </c>
      <c r="B24" s="50">
        <f>VLOOKUP($A24,'Data Vlaue (Cr)'!$C:$FB,8)</f>
        <v>1130.3</v>
      </c>
      <c r="C24" s="50">
        <f>VLOOKUP($A24,'Data Vlaue (Cr)'!$C:$FB,11)*100</f>
        <v>0.92999999999999994</v>
      </c>
      <c r="D24" s="50">
        <f>VLOOKUP($A24,'Data Vlaue (Cr)'!$C:$FB,143)</f>
        <v>2007.86</v>
      </c>
      <c r="E24" s="50">
        <f>VLOOKUP($A24,'Data Vlaue (Cr)'!$C:$FB,144)</f>
        <v>4877.62</v>
      </c>
      <c r="F24" s="50">
        <f>VLOOKUP($A24,'Data Vlaue (Cr)'!$C:$FB,146)*100</f>
        <v>-58.84</v>
      </c>
      <c r="G24" s="49">
        <f>VLOOKUP($A24,'Data Vlaue (Cr)'!$C:$FB,43)</f>
        <v>363</v>
      </c>
      <c r="H24" s="49">
        <f>VLOOKUP($A24,'Data Vlaue (Cr)'!$C:$FB,44)</f>
        <v>776</v>
      </c>
      <c r="I24" s="49">
        <f>VLOOKUP($A24,'Data Vlaue (Cr)'!$C:$FB,46)*100</f>
        <v>-53.22</v>
      </c>
      <c r="J24" s="51">
        <f>VLOOKUP($A24,'Data Vlaue (Cr)'!$C:$FB,59)</f>
        <v>1109</v>
      </c>
      <c r="K24" s="51">
        <f>VLOOKUP($A24,'Data Vlaue (Cr)'!$C:$FB,60)</f>
        <v>2768</v>
      </c>
      <c r="L24" s="51">
        <f>VLOOKUP($A24,'Data Vlaue (Cr)'!$C:$FB,62)*100</f>
        <v>-59.95</v>
      </c>
      <c r="M24" s="51">
        <f>VLOOKUP($A24,'Data Vlaue (Cr)'!$C:$FB,63)</f>
        <v>503</v>
      </c>
      <c r="N24" s="51">
        <f>VLOOKUP($A24,'Data Vlaue (Cr)'!$C:$FB,64)</f>
        <v>1319</v>
      </c>
      <c r="O24" s="51">
        <f>VLOOKUP($A24,'Data Vlaue (Cr)'!$C:$FB,66)*100</f>
        <v>-61.860000000000007</v>
      </c>
    </row>
    <row r="25" spans="1:15" x14ac:dyDescent="0.25">
      <c r="A25" s="101" t="str">
        <f>'Data Vlaue (Cr)'!C20</f>
        <v>AXISBANK</v>
      </c>
      <c r="B25" s="50">
        <f>VLOOKUP($A25,'Data Vlaue (Cr)'!$C:$FB,8)</f>
        <v>1180.4000000000001</v>
      </c>
      <c r="C25" s="50">
        <f>VLOOKUP($A25,'Data Vlaue (Cr)'!$C:$FB,11)*100</f>
        <v>1.1100000000000001</v>
      </c>
      <c r="D25" s="50">
        <f>VLOOKUP($A25,'Data Vlaue (Cr)'!$C:$FB,143)</f>
        <v>7120.93</v>
      </c>
      <c r="E25" s="50">
        <f>VLOOKUP($A25,'Data Vlaue (Cr)'!$C:$FB,144)</f>
        <v>7843.59</v>
      </c>
      <c r="F25" s="50">
        <f>VLOOKUP($A25,'Data Vlaue (Cr)'!$C:$FB,146)*100</f>
        <v>-9.2100000000000009</v>
      </c>
      <c r="G25" s="49">
        <f>VLOOKUP($A25,'Data Vlaue (Cr)'!$C:$FB,43)</f>
        <v>1637</v>
      </c>
      <c r="H25" s="49">
        <f>VLOOKUP($A25,'Data Vlaue (Cr)'!$C:$FB,44)</f>
        <v>1527</v>
      </c>
      <c r="I25" s="49">
        <f>VLOOKUP($A25,'Data Vlaue (Cr)'!$C:$FB,46)*100</f>
        <v>7.23</v>
      </c>
      <c r="J25" s="51">
        <f>VLOOKUP($A25,'Data Vlaue (Cr)'!$C:$FB,59)</f>
        <v>3390</v>
      </c>
      <c r="K25" s="51">
        <f>VLOOKUP($A25,'Data Vlaue (Cr)'!$C:$FB,60)</f>
        <v>4038</v>
      </c>
      <c r="L25" s="51">
        <f>VLOOKUP($A25,'Data Vlaue (Cr)'!$C:$FB,62)*100</f>
        <v>-16.059999999999999</v>
      </c>
      <c r="M25" s="51">
        <f>VLOOKUP($A25,'Data Vlaue (Cr)'!$C:$FB,63)</f>
        <v>1984</v>
      </c>
      <c r="N25" s="51">
        <f>VLOOKUP($A25,'Data Vlaue (Cr)'!$C:$FB,64)</f>
        <v>2157</v>
      </c>
      <c r="O25" s="51">
        <f>VLOOKUP($A25,'Data Vlaue (Cr)'!$C:$FB,66)*100</f>
        <v>-8.0399999999999991</v>
      </c>
    </row>
    <row r="26" spans="1:15" x14ac:dyDescent="0.25">
      <c r="A26" s="101" t="str">
        <f>'Data Vlaue (Cr)'!C21</f>
        <v>BAJAJ-AUTO</v>
      </c>
      <c r="B26" s="50">
        <f>VLOOKUP($A26,'Data Vlaue (Cr)'!$C:$FB,8)</f>
        <v>8946.5</v>
      </c>
      <c r="C26" s="50">
        <f>VLOOKUP($A26,'Data Vlaue (Cr)'!$C:$FB,11)*100</f>
        <v>1.55</v>
      </c>
      <c r="D26" s="50">
        <f>VLOOKUP($A26,'Data Vlaue (Cr)'!$C:$FB,143)</f>
        <v>4854.42</v>
      </c>
      <c r="E26" s="50">
        <f>VLOOKUP($A26,'Data Vlaue (Cr)'!$C:$FB,144)</f>
        <v>2319.4299999999998</v>
      </c>
      <c r="F26" s="50">
        <f>VLOOKUP($A26,'Data Vlaue (Cr)'!$C:$FB,146)*100</f>
        <v>109.28999999999999</v>
      </c>
      <c r="G26" s="49">
        <f>VLOOKUP($A26,'Data Vlaue (Cr)'!$C:$FB,43)</f>
        <v>547</v>
      </c>
      <c r="H26" s="49">
        <f>VLOOKUP($A26,'Data Vlaue (Cr)'!$C:$FB,44)</f>
        <v>300</v>
      </c>
      <c r="I26" s="49">
        <f>VLOOKUP($A26,'Data Vlaue (Cr)'!$C:$FB,46)*100</f>
        <v>82.09</v>
      </c>
      <c r="J26" s="51">
        <f>VLOOKUP($A26,'Data Vlaue (Cr)'!$C:$FB,59)</f>
        <v>3101</v>
      </c>
      <c r="K26" s="51">
        <f>VLOOKUP($A26,'Data Vlaue (Cr)'!$C:$FB,60)</f>
        <v>1355</v>
      </c>
      <c r="L26" s="51">
        <f>VLOOKUP($A26,'Data Vlaue (Cr)'!$C:$FB,62)*100</f>
        <v>128.91999999999999</v>
      </c>
      <c r="M26" s="51">
        <f>VLOOKUP($A26,'Data Vlaue (Cr)'!$C:$FB,63)</f>
        <v>1135</v>
      </c>
      <c r="N26" s="51">
        <f>VLOOKUP($A26,'Data Vlaue (Cr)'!$C:$FB,64)</f>
        <v>662</v>
      </c>
      <c r="O26" s="51">
        <f>VLOOKUP($A26,'Data Vlaue (Cr)'!$C:$FB,66)*100</f>
        <v>71.53</v>
      </c>
    </row>
    <row r="27" spans="1:15" x14ac:dyDescent="0.25">
      <c r="A27" s="101" t="str">
        <f>'Data Vlaue (Cr)'!C22</f>
        <v>BAJAJFINSV</v>
      </c>
      <c r="B27" s="50">
        <f>VLOOKUP($A27,'Data Vlaue (Cr)'!$C:$FB,8)</f>
        <v>2004.3</v>
      </c>
      <c r="C27" s="50">
        <f>VLOOKUP($A27,'Data Vlaue (Cr)'!$C:$FB,11)*100</f>
        <v>-0.51</v>
      </c>
      <c r="D27" s="50">
        <f>VLOOKUP($A27,'Data Vlaue (Cr)'!$C:$FB,143)</f>
        <v>1329.94</v>
      </c>
      <c r="E27" s="50">
        <f>VLOOKUP($A27,'Data Vlaue (Cr)'!$C:$FB,144)</f>
        <v>1083.47</v>
      </c>
      <c r="F27" s="50">
        <f>VLOOKUP($A27,'Data Vlaue (Cr)'!$C:$FB,146)*100</f>
        <v>22.75</v>
      </c>
      <c r="G27" s="49">
        <f>VLOOKUP($A27,'Data Vlaue (Cr)'!$C:$FB,43)</f>
        <v>234</v>
      </c>
      <c r="H27" s="49">
        <f>VLOOKUP($A27,'Data Vlaue (Cr)'!$C:$FB,44)</f>
        <v>188</v>
      </c>
      <c r="I27" s="49">
        <f>VLOOKUP($A27,'Data Vlaue (Cr)'!$C:$FB,46)*100</f>
        <v>24.69</v>
      </c>
      <c r="J27" s="51">
        <f>VLOOKUP($A27,'Data Vlaue (Cr)'!$C:$FB,59)</f>
        <v>709</v>
      </c>
      <c r="K27" s="51">
        <f>VLOOKUP($A27,'Data Vlaue (Cr)'!$C:$FB,60)</f>
        <v>526</v>
      </c>
      <c r="L27" s="51">
        <f>VLOOKUP($A27,'Data Vlaue (Cr)'!$C:$FB,62)*100</f>
        <v>34.69</v>
      </c>
      <c r="M27" s="51">
        <f>VLOOKUP($A27,'Data Vlaue (Cr)'!$C:$FB,63)</f>
        <v>360</v>
      </c>
      <c r="N27" s="51">
        <f>VLOOKUP($A27,'Data Vlaue (Cr)'!$C:$FB,64)</f>
        <v>348</v>
      </c>
      <c r="O27" s="51">
        <f>VLOOKUP($A27,'Data Vlaue (Cr)'!$C:$FB,66)*100</f>
        <v>3.36</v>
      </c>
    </row>
    <row r="28" spans="1:15" x14ac:dyDescent="0.25">
      <c r="A28" s="101" t="str">
        <f>'Data Vlaue (Cr)'!C23</f>
        <v>BAJFINANCE</v>
      </c>
      <c r="B28" s="50">
        <f>VLOOKUP($A28,'Data Vlaue (Cr)'!$C:$FB,8)</f>
        <v>1023.85</v>
      </c>
      <c r="C28" s="50">
        <f>VLOOKUP($A28,'Data Vlaue (Cr)'!$C:$FB,11)*100</f>
        <v>-0.02</v>
      </c>
      <c r="D28" s="50">
        <f>VLOOKUP($A28,'Data Vlaue (Cr)'!$C:$FB,143)</f>
        <v>2909.67</v>
      </c>
      <c r="E28" s="50">
        <f>VLOOKUP($A28,'Data Vlaue (Cr)'!$C:$FB,144)</f>
        <v>2418.7399999999998</v>
      </c>
      <c r="F28" s="50">
        <f>VLOOKUP($A28,'Data Vlaue (Cr)'!$C:$FB,146)*100</f>
        <v>20.3</v>
      </c>
      <c r="G28" s="49">
        <f>VLOOKUP($A28,'Data Vlaue (Cr)'!$C:$FB,43)</f>
        <v>430</v>
      </c>
      <c r="H28" s="49">
        <f>VLOOKUP($A28,'Data Vlaue (Cr)'!$C:$FB,44)</f>
        <v>407</v>
      </c>
      <c r="I28" s="49">
        <f>VLOOKUP($A28,'Data Vlaue (Cr)'!$C:$FB,46)*100</f>
        <v>5.81</v>
      </c>
      <c r="J28" s="51">
        <f>VLOOKUP($A28,'Data Vlaue (Cr)'!$C:$FB,59)</f>
        <v>1655</v>
      </c>
      <c r="K28" s="51">
        <f>VLOOKUP($A28,'Data Vlaue (Cr)'!$C:$FB,60)</f>
        <v>1133</v>
      </c>
      <c r="L28" s="51">
        <f>VLOOKUP($A28,'Data Vlaue (Cr)'!$C:$FB,62)*100</f>
        <v>46.02</v>
      </c>
      <c r="M28" s="51">
        <f>VLOOKUP($A28,'Data Vlaue (Cr)'!$C:$FB,63)</f>
        <v>781</v>
      </c>
      <c r="N28" s="51">
        <f>VLOOKUP($A28,'Data Vlaue (Cr)'!$C:$FB,64)</f>
        <v>858</v>
      </c>
      <c r="O28" s="51">
        <f>VLOOKUP($A28,'Data Vlaue (Cr)'!$C:$FB,66)*100</f>
        <v>-8.91</v>
      </c>
    </row>
    <row r="29" spans="1:15" x14ac:dyDescent="0.25">
      <c r="A29" s="101" t="str">
        <f>'Data Vlaue (Cr)'!C24</f>
        <v>BANDHANBNK</v>
      </c>
      <c r="B29" s="50">
        <f>VLOOKUP($A29,'Data Vlaue (Cr)'!$C:$FB,8)</f>
        <v>169.32</v>
      </c>
      <c r="C29" s="50">
        <f>VLOOKUP($A29,'Data Vlaue (Cr)'!$C:$FB,11)*100</f>
        <v>3.6900000000000004</v>
      </c>
      <c r="D29" s="50">
        <f>VLOOKUP($A29,'Data Vlaue (Cr)'!$C:$FB,143)</f>
        <v>2006.76</v>
      </c>
      <c r="E29" s="50">
        <f>VLOOKUP($A29,'Data Vlaue (Cr)'!$C:$FB,144)</f>
        <v>610.88</v>
      </c>
      <c r="F29" s="50">
        <f>VLOOKUP($A29,'Data Vlaue (Cr)'!$C:$FB,146)*100</f>
        <v>228.5</v>
      </c>
      <c r="G29" s="49">
        <f>VLOOKUP($A29,'Data Vlaue (Cr)'!$C:$FB,43)</f>
        <v>485</v>
      </c>
      <c r="H29" s="49">
        <f>VLOOKUP($A29,'Data Vlaue (Cr)'!$C:$FB,44)</f>
        <v>188</v>
      </c>
      <c r="I29" s="49">
        <f>VLOOKUP($A29,'Data Vlaue (Cr)'!$C:$FB,46)*100</f>
        <v>157.51999999999998</v>
      </c>
      <c r="J29" s="51">
        <f>VLOOKUP($A29,'Data Vlaue (Cr)'!$C:$FB,59)</f>
        <v>1017</v>
      </c>
      <c r="K29" s="51">
        <f>VLOOKUP($A29,'Data Vlaue (Cr)'!$C:$FB,60)</f>
        <v>310</v>
      </c>
      <c r="L29" s="51">
        <f>VLOOKUP($A29,'Data Vlaue (Cr)'!$C:$FB,62)*100</f>
        <v>228.41</v>
      </c>
      <c r="M29" s="51">
        <f>VLOOKUP($A29,'Data Vlaue (Cr)'!$C:$FB,63)</f>
        <v>494</v>
      </c>
      <c r="N29" s="51">
        <f>VLOOKUP($A29,'Data Vlaue (Cr)'!$C:$FB,64)</f>
        <v>125</v>
      </c>
      <c r="O29" s="51">
        <f>VLOOKUP($A29,'Data Vlaue (Cr)'!$C:$FB,66)*100</f>
        <v>296.66000000000003</v>
      </c>
    </row>
    <row r="30" spans="1:15" x14ac:dyDescent="0.25">
      <c r="A30" s="101" t="str">
        <f>'Data Vlaue (Cr)'!C25</f>
        <v>BANKBARODA</v>
      </c>
      <c r="B30" s="50">
        <f>VLOOKUP($A30,'Data Vlaue (Cr)'!$C:$FB,8)</f>
        <v>266.95</v>
      </c>
      <c r="C30" s="50">
        <f>VLOOKUP($A30,'Data Vlaue (Cr)'!$C:$FB,11)*100</f>
        <v>1.06</v>
      </c>
      <c r="D30" s="50">
        <f>VLOOKUP($A30,'Data Vlaue (Cr)'!$C:$FB,143)</f>
        <v>3781.75</v>
      </c>
      <c r="E30" s="50">
        <f>VLOOKUP($A30,'Data Vlaue (Cr)'!$C:$FB,144)</f>
        <v>2144.62</v>
      </c>
      <c r="F30" s="50">
        <f>VLOOKUP($A30,'Data Vlaue (Cr)'!$C:$FB,146)*100</f>
        <v>76.34</v>
      </c>
      <c r="G30" s="49">
        <f>VLOOKUP($A30,'Data Vlaue (Cr)'!$C:$FB,43)</f>
        <v>618</v>
      </c>
      <c r="H30" s="49">
        <f>VLOOKUP($A30,'Data Vlaue (Cr)'!$C:$FB,44)</f>
        <v>451</v>
      </c>
      <c r="I30" s="49">
        <f>VLOOKUP($A30,'Data Vlaue (Cr)'!$C:$FB,46)*100</f>
        <v>36.96</v>
      </c>
      <c r="J30" s="51">
        <f>VLOOKUP($A30,'Data Vlaue (Cr)'!$C:$FB,59)</f>
        <v>2181</v>
      </c>
      <c r="K30" s="51">
        <f>VLOOKUP($A30,'Data Vlaue (Cr)'!$C:$FB,60)</f>
        <v>1157</v>
      </c>
      <c r="L30" s="51">
        <f>VLOOKUP($A30,'Data Vlaue (Cr)'!$C:$FB,62)*100</f>
        <v>88.490000000000009</v>
      </c>
      <c r="M30" s="51">
        <f>VLOOKUP($A30,'Data Vlaue (Cr)'!$C:$FB,63)</f>
        <v>903</v>
      </c>
      <c r="N30" s="51">
        <f>VLOOKUP($A30,'Data Vlaue (Cr)'!$C:$FB,64)</f>
        <v>522</v>
      </c>
      <c r="O30" s="51">
        <f>VLOOKUP($A30,'Data Vlaue (Cr)'!$C:$FB,66)*100</f>
        <v>73.09</v>
      </c>
    </row>
    <row r="31" spans="1:15" x14ac:dyDescent="0.25">
      <c r="A31" s="101" t="str">
        <f>'Data Vlaue (Cr)'!C26</f>
        <v>BANKINDIA</v>
      </c>
      <c r="B31" s="50">
        <f>VLOOKUP($A31,'Data Vlaue (Cr)'!$C:$FB,8)</f>
        <v>126.77</v>
      </c>
      <c r="C31" s="50">
        <f>VLOOKUP($A31,'Data Vlaue (Cr)'!$C:$FB,11)*100</f>
        <v>0.77999999999999992</v>
      </c>
      <c r="D31" s="50">
        <f>VLOOKUP($A31,'Data Vlaue (Cr)'!$C:$FB,143)</f>
        <v>668.61</v>
      </c>
      <c r="E31" s="50">
        <f>VLOOKUP($A31,'Data Vlaue (Cr)'!$C:$FB,144)</f>
        <v>321.83</v>
      </c>
      <c r="F31" s="50">
        <f>VLOOKUP($A31,'Data Vlaue (Cr)'!$C:$FB,146)*100</f>
        <v>107.74999999999999</v>
      </c>
      <c r="G31" s="49">
        <f>VLOOKUP($A31,'Data Vlaue (Cr)'!$C:$FB,43)</f>
        <v>208</v>
      </c>
      <c r="H31" s="49">
        <f>VLOOKUP($A31,'Data Vlaue (Cr)'!$C:$FB,44)</f>
        <v>95</v>
      </c>
      <c r="I31" s="49">
        <f>VLOOKUP($A31,'Data Vlaue (Cr)'!$C:$FB,46)*100</f>
        <v>119.48</v>
      </c>
      <c r="J31" s="51">
        <f>VLOOKUP($A31,'Data Vlaue (Cr)'!$C:$FB,59)</f>
        <v>334</v>
      </c>
      <c r="K31" s="51">
        <f>VLOOKUP($A31,'Data Vlaue (Cr)'!$C:$FB,60)</f>
        <v>168</v>
      </c>
      <c r="L31" s="51">
        <f>VLOOKUP($A31,'Data Vlaue (Cr)'!$C:$FB,62)*100</f>
        <v>98.740000000000009</v>
      </c>
      <c r="M31" s="51">
        <f>VLOOKUP($A31,'Data Vlaue (Cr)'!$C:$FB,63)</f>
        <v>115</v>
      </c>
      <c r="N31" s="51">
        <f>VLOOKUP($A31,'Data Vlaue (Cr)'!$C:$FB,64)</f>
        <v>55</v>
      </c>
      <c r="O31" s="51">
        <f>VLOOKUP($A31,'Data Vlaue (Cr)'!$C:$FB,66)*100</f>
        <v>107.42</v>
      </c>
    </row>
    <row r="32" spans="1:15" x14ac:dyDescent="0.25">
      <c r="A32" s="101" t="str">
        <f>'Data Vlaue (Cr)'!C27</f>
        <v>BANKNIFTY</v>
      </c>
      <c r="B32" s="50">
        <f>VLOOKUP($A32,'Data Vlaue (Cr)'!$C:$FB,8)</f>
        <v>56609.75</v>
      </c>
      <c r="C32" s="50">
        <f>VLOOKUP($A32,'Data Vlaue (Cr)'!$C:$FB,11)*100</f>
        <v>0.74</v>
      </c>
      <c r="D32" s="50">
        <f>VLOOKUP($A32,'Data Vlaue (Cr)'!$C:$FB,143)</f>
        <v>683699.79</v>
      </c>
      <c r="E32" s="50">
        <f>VLOOKUP($A32,'Data Vlaue (Cr)'!$C:$FB,144)</f>
        <v>481090.29</v>
      </c>
      <c r="F32" s="50">
        <f>VLOOKUP($A32,'Data Vlaue (Cr)'!$C:$FB,146)*100</f>
        <v>42.11</v>
      </c>
      <c r="G32" s="49">
        <f>VLOOKUP($A32,'Data Vlaue (Cr)'!$C:$FB,43)</f>
        <v>6213</v>
      </c>
      <c r="H32" s="49">
        <f>VLOOKUP($A32,'Data Vlaue (Cr)'!$C:$FB,44)</f>
        <v>4351</v>
      </c>
      <c r="I32" s="49">
        <f>VLOOKUP($A32,'Data Vlaue (Cr)'!$C:$FB,46)*100</f>
        <v>42.8</v>
      </c>
      <c r="J32" s="51">
        <f>VLOOKUP($A32,'Data Vlaue (Cr)'!$C:$FB,59)</f>
        <v>372116</v>
      </c>
      <c r="K32" s="51">
        <f>VLOOKUP($A32,'Data Vlaue (Cr)'!$C:$FB,60)</f>
        <v>253457</v>
      </c>
      <c r="L32" s="51">
        <f>VLOOKUP($A32,'Data Vlaue (Cr)'!$C:$FB,62)*100</f>
        <v>46.82</v>
      </c>
      <c r="M32" s="51">
        <f>VLOOKUP($A32,'Data Vlaue (Cr)'!$C:$FB,63)</f>
        <v>305034</v>
      </c>
      <c r="N32" s="51">
        <f>VLOOKUP($A32,'Data Vlaue (Cr)'!$C:$FB,64)</f>
        <v>226023</v>
      </c>
      <c r="O32" s="51">
        <f>VLOOKUP($A32,'Data Vlaue (Cr)'!$C:$FB,66)*100</f>
        <v>34.96</v>
      </c>
    </row>
    <row r="33" spans="1:15" x14ac:dyDescent="0.25">
      <c r="A33" s="101" t="str">
        <f>'Data Vlaue (Cr)'!C28</f>
        <v>BDL</v>
      </c>
      <c r="B33" s="50">
        <f>VLOOKUP($A33,'Data Vlaue (Cr)'!$C:$FB,8)</f>
        <v>1537.1</v>
      </c>
      <c r="C33" s="50">
        <f>VLOOKUP($A33,'Data Vlaue (Cr)'!$C:$FB,11)*100</f>
        <v>1.1100000000000001</v>
      </c>
      <c r="D33" s="50">
        <f>VLOOKUP($A33,'Data Vlaue (Cr)'!$C:$FB,143)</f>
        <v>971.94</v>
      </c>
      <c r="E33" s="50">
        <f>VLOOKUP($A33,'Data Vlaue (Cr)'!$C:$FB,144)</f>
        <v>825.68</v>
      </c>
      <c r="F33" s="50">
        <f>VLOOKUP($A33,'Data Vlaue (Cr)'!$C:$FB,146)*100</f>
        <v>17.71</v>
      </c>
      <c r="G33" s="49">
        <f>VLOOKUP($A33,'Data Vlaue (Cr)'!$C:$FB,43)</f>
        <v>144</v>
      </c>
      <c r="H33" s="49">
        <f>VLOOKUP($A33,'Data Vlaue (Cr)'!$C:$FB,44)</f>
        <v>151</v>
      </c>
      <c r="I33" s="49">
        <f>VLOOKUP($A33,'Data Vlaue (Cr)'!$C:$FB,46)*100</f>
        <v>-5.13</v>
      </c>
      <c r="J33" s="51">
        <f>VLOOKUP($A33,'Data Vlaue (Cr)'!$C:$FB,59)</f>
        <v>606</v>
      </c>
      <c r="K33" s="51">
        <f>VLOOKUP($A33,'Data Vlaue (Cr)'!$C:$FB,60)</f>
        <v>538</v>
      </c>
      <c r="L33" s="51">
        <f>VLOOKUP($A33,'Data Vlaue (Cr)'!$C:$FB,62)*100</f>
        <v>12.68</v>
      </c>
      <c r="M33" s="51">
        <f>VLOOKUP($A33,'Data Vlaue (Cr)'!$C:$FB,63)</f>
        <v>193</v>
      </c>
      <c r="N33" s="51">
        <f>VLOOKUP($A33,'Data Vlaue (Cr)'!$C:$FB,64)</f>
        <v>118</v>
      </c>
      <c r="O33" s="51">
        <f>VLOOKUP($A33,'Data Vlaue (Cr)'!$C:$FB,66)*100</f>
        <v>63.370000000000005</v>
      </c>
    </row>
    <row r="34" spans="1:15" x14ac:dyDescent="0.25">
      <c r="A34" s="101" t="str">
        <f>'Data Vlaue (Cr)'!C29</f>
        <v>BEL</v>
      </c>
      <c r="B34" s="50">
        <f>VLOOKUP($A34,'Data Vlaue (Cr)'!$C:$FB,8)</f>
        <v>413.5</v>
      </c>
      <c r="C34" s="50">
        <f>VLOOKUP($A34,'Data Vlaue (Cr)'!$C:$FB,11)*100</f>
        <v>1.01</v>
      </c>
      <c r="D34" s="50">
        <f>VLOOKUP($A34,'Data Vlaue (Cr)'!$C:$FB,143)</f>
        <v>7428.75</v>
      </c>
      <c r="E34" s="50">
        <f>VLOOKUP($A34,'Data Vlaue (Cr)'!$C:$FB,144)</f>
        <v>5364.36</v>
      </c>
      <c r="F34" s="50">
        <f>VLOOKUP($A34,'Data Vlaue (Cr)'!$C:$FB,146)*100</f>
        <v>38.479999999999997</v>
      </c>
      <c r="G34" s="49">
        <f>VLOOKUP($A34,'Data Vlaue (Cr)'!$C:$FB,43)</f>
        <v>1092</v>
      </c>
      <c r="H34" s="49">
        <f>VLOOKUP($A34,'Data Vlaue (Cr)'!$C:$FB,44)</f>
        <v>831</v>
      </c>
      <c r="I34" s="49">
        <f>VLOOKUP($A34,'Data Vlaue (Cr)'!$C:$FB,46)*100</f>
        <v>31.45</v>
      </c>
      <c r="J34" s="51">
        <f>VLOOKUP($A34,'Data Vlaue (Cr)'!$C:$FB,59)</f>
        <v>4191</v>
      </c>
      <c r="K34" s="51">
        <f>VLOOKUP($A34,'Data Vlaue (Cr)'!$C:$FB,60)</f>
        <v>3010</v>
      </c>
      <c r="L34" s="51">
        <f>VLOOKUP($A34,'Data Vlaue (Cr)'!$C:$FB,62)*100</f>
        <v>39.229999999999997</v>
      </c>
      <c r="M34" s="51">
        <f>VLOOKUP($A34,'Data Vlaue (Cr)'!$C:$FB,63)</f>
        <v>2033</v>
      </c>
      <c r="N34" s="51">
        <f>VLOOKUP($A34,'Data Vlaue (Cr)'!$C:$FB,64)</f>
        <v>1507</v>
      </c>
      <c r="O34" s="51">
        <f>VLOOKUP($A34,'Data Vlaue (Cr)'!$C:$FB,66)*100</f>
        <v>34.9</v>
      </c>
    </row>
    <row r="35" spans="1:15" x14ac:dyDescent="0.25">
      <c r="A35" s="101" t="str">
        <f>'Data Vlaue (Cr)'!C30</f>
        <v>BHARATFORG</v>
      </c>
      <c r="B35" s="50">
        <f>VLOOKUP($A35,'Data Vlaue (Cr)'!$C:$FB,8)</f>
        <v>1220</v>
      </c>
      <c r="C35" s="50">
        <f>VLOOKUP($A35,'Data Vlaue (Cr)'!$C:$FB,11)*100</f>
        <v>0.88</v>
      </c>
      <c r="D35" s="50">
        <f>VLOOKUP($A35,'Data Vlaue (Cr)'!$C:$FB,143)</f>
        <v>740.44</v>
      </c>
      <c r="E35" s="50">
        <f>VLOOKUP($A35,'Data Vlaue (Cr)'!$C:$FB,144)</f>
        <v>702.7</v>
      </c>
      <c r="F35" s="50">
        <f>VLOOKUP($A35,'Data Vlaue (Cr)'!$C:$FB,146)*100</f>
        <v>5.37</v>
      </c>
      <c r="G35" s="49">
        <f>VLOOKUP($A35,'Data Vlaue (Cr)'!$C:$FB,43)</f>
        <v>183</v>
      </c>
      <c r="H35" s="49">
        <f>VLOOKUP($A35,'Data Vlaue (Cr)'!$C:$FB,44)</f>
        <v>219</v>
      </c>
      <c r="I35" s="49">
        <f>VLOOKUP($A35,'Data Vlaue (Cr)'!$C:$FB,46)*100</f>
        <v>-16.36</v>
      </c>
      <c r="J35" s="51">
        <f>VLOOKUP($A35,'Data Vlaue (Cr)'!$C:$FB,59)</f>
        <v>400</v>
      </c>
      <c r="K35" s="51">
        <f>VLOOKUP($A35,'Data Vlaue (Cr)'!$C:$FB,60)</f>
        <v>335</v>
      </c>
      <c r="L35" s="51">
        <f>VLOOKUP($A35,'Data Vlaue (Cr)'!$C:$FB,62)*100</f>
        <v>19.37</v>
      </c>
      <c r="M35" s="51">
        <f>VLOOKUP($A35,'Data Vlaue (Cr)'!$C:$FB,63)</f>
        <v>140</v>
      </c>
      <c r="N35" s="51">
        <f>VLOOKUP($A35,'Data Vlaue (Cr)'!$C:$FB,64)</f>
        <v>144</v>
      </c>
      <c r="O35" s="51">
        <f>VLOOKUP($A35,'Data Vlaue (Cr)'!$C:$FB,66)*100</f>
        <v>-2.62</v>
      </c>
    </row>
    <row r="36" spans="1:15" x14ac:dyDescent="0.25">
      <c r="A36" s="101" t="str">
        <f>'Data Vlaue (Cr)'!C31</f>
        <v>BHARTIARTL</v>
      </c>
      <c r="B36" s="50">
        <f>VLOOKUP($A36,'Data Vlaue (Cr)'!$C:$FB,8)</f>
        <v>1939.9</v>
      </c>
      <c r="C36" s="50">
        <f>VLOOKUP($A36,'Data Vlaue (Cr)'!$C:$FB,11)*100</f>
        <v>-0.11</v>
      </c>
      <c r="D36" s="50">
        <f>VLOOKUP($A36,'Data Vlaue (Cr)'!$C:$FB,143)</f>
        <v>4139.68</v>
      </c>
      <c r="E36" s="50">
        <f>VLOOKUP($A36,'Data Vlaue (Cr)'!$C:$FB,144)</f>
        <v>6221.01</v>
      </c>
      <c r="F36" s="50">
        <f>VLOOKUP($A36,'Data Vlaue (Cr)'!$C:$FB,146)*100</f>
        <v>-33.46</v>
      </c>
      <c r="G36" s="49">
        <f>VLOOKUP($A36,'Data Vlaue (Cr)'!$C:$FB,43)</f>
        <v>848</v>
      </c>
      <c r="H36" s="49">
        <f>VLOOKUP($A36,'Data Vlaue (Cr)'!$C:$FB,44)</f>
        <v>802</v>
      </c>
      <c r="I36" s="49">
        <f>VLOOKUP($A36,'Data Vlaue (Cr)'!$C:$FB,46)*100</f>
        <v>5.7299999999999995</v>
      </c>
      <c r="J36" s="51">
        <f>VLOOKUP($A36,'Data Vlaue (Cr)'!$C:$FB,59)</f>
        <v>2153</v>
      </c>
      <c r="K36" s="51">
        <f>VLOOKUP($A36,'Data Vlaue (Cr)'!$C:$FB,60)</f>
        <v>3523</v>
      </c>
      <c r="L36" s="51">
        <f>VLOOKUP($A36,'Data Vlaue (Cr)'!$C:$FB,62)*100</f>
        <v>-38.879999999999995</v>
      </c>
      <c r="M36" s="51">
        <f>VLOOKUP($A36,'Data Vlaue (Cr)'!$C:$FB,63)</f>
        <v>1098</v>
      </c>
      <c r="N36" s="51">
        <f>VLOOKUP($A36,'Data Vlaue (Cr)'!$C:$FB,64)</f>
        <v>1828</v>
      </c>
      <c r="O36" s="51">
        <f>VLOOKUP($A36,'Data Vlaue (Cr)'!$C:$FB,66)*100</f>
        <v>-39.950000000000003</v>
      </c>
    </row>
    <row r="37" spans="1:15" x14ac:dyDescent="0.25">
      <c r="A37" s="101" t="str">
        <f>'Data Vlaue (Cr)'!C32</f>
        <v>BHEL</v>
      </c>
      <c r="B37" s="50">
        <f>VLOOKUP($A37,'Data Vlaue (Cr)'!$C:$FB,8)</f>
        <v>239.64</v>
      </c>
      <c r="C37" s="50">
        <f>VLOOKUP($A37,'Data Vlaue (Cr)'!$C:$FB,11)*100</f>
        <v>0.25</v>
      </c>
      <c r="D37" s="50">
        <f>VLOOKUP($A37,'Data Vlaue (Cr)'!$C:$FB,143)</f>
        <v>1143.33</v>
      </c>
      <c r="E37" s="50">
        <f>VLOOKUP($A37,'Data Vlaue (Cr)'!$C:$FB,144)</f>
        <v>807.87</v>
      </c>
      <c r="F37" s="50">
        <f>VLOOKUP($A37,'Data Vlaue (Cr)'!$C:$FB,146)*100</f>
        <v>41.52</v>
      </c>
      <c r="G37" s="49">
        <f>VLOOKUP($A37,'Data Vlaue (Cr)'!$C:$FB,43)</f>
        <v>247</v>
      </c>
      <c r="H37" s="49">
        <f>VLOOKUP($A37,'Data Vlaue (Cr)'!$C:$FB,44)</f>
        <v>197</v>
      </c>
      <c r="I37" s="49">
        <f>VLOOKUP($A37,'Data Vlaue (Cr)'!$C:$FB,46)*100</f>
        <v>25.4</v>
      </c>
      <c r="J37" s="51">
        <f>VLOOKUP($A37,'Data Vlaue (Cr)'!$C:$FB,59)</f>
        <v>560</v>
      </c>
      <c r="K37" s="51">
        <f>VLOOKUP($A37,'Data Vlaue (Cr)'!$C:$FB,60)</f>
        <v>391</v>
      </c>
      <c r="L37" s="51">
        <f>VLOOKUP($A37,'Data Vlaue (Cr)'!$C:$FB,62)*100</f>
        <v>43.480000000000004</v>
      </c>
      <c r="M37" s="51">
        <f>VLOOKUP($A37,'Data Vlaue (Cr)'!$C:$FB,63)</f>
        <v>305</v>
      </c>
      <c r="N37" s="51">
        <f>VLOOKUP($A37,'Data Vlaue (Cr)'!$C:$FB,64)</f>
        <v>201</v>
      </c>
      <c r="O37" s="51">
        <f>VLOOKUP($A37,'Data Vlaue (Cr)'!$C:$FB,66)*100</f>
        <v>51.839999999999996</v>
      </c>
    </row>
    <row r="38" spans="1:15" x14ac:dyDescent="0.25">
      <c r="A38" s="101" t="str">
        <f>'Data Vlaue (Cr)'!C33</f>
        <v>BIOCON</v>
      </c>
      <c r="B38" s="50">
        <f>VLOOKUP($A38,'Data Vlaue (Cr)'!$C:$FB,8)</f>
        <v>353.45</v>
      </c>
      <c r="C38" s="50">
        <f>VLOOKUP($A38,'Data Vlaue (Cr)'!$C:$FB,11)*100</f>
        <v>0.27</v>
      </c>
      <c r="D38" s="50">
        <f>VLOOKUP($A38,'Data Vlaue (Cr)'!$C:$FB,143)</f>
        <v>2130.7600000000002</v>
      </c>
      <c r="E38" s="50">
        <f>VLOOKUP($A38,'Data Vlaue (Cr)'!$C:$FB,144)</f>
        <v>1148.08</v>
      </c>
      <c r="F38" s="50">
        <f>VLOOKUP($A38,'Data Vlaue (Cr)'!$C:$FB,146)*100</f>
        <v>85.59</v>
      </c>
      <c r="G38" s="49">
        <f>VLOOKUP($A38,'Data Vlaue (Cr)'!$C:$FB,43)</f>
        <v>379</v>
      </c>
      <c r="H38" s="49">
        <f>VLOOKUP($A38,'Data Vlaue (Cr)'!$C:$FB,44)</f>
        <v>216</v>
      </c>
      <c r="I38" s="49">
        <f>VLOOKUP($A38,'Data Vlaue (Cr)'!$C:$FB,46)*100</f>
        <v>74.929999999999993</v>
      </c>
      <c r="J38" s="51">
        <f>VLOOKUP($A38,'Data Vlaue (Cr)'!$C:$FB,59)</f>
        <v>1222</v>
      </c>
      <c r="K38" s="51">
        <f>VLOOKUP($A38,'Data Vlaue (Cr)'!$C:$FB,60)</f>
        <v>684</v>
      </c>
      <c r="L38" s="51">
        <f>VLOOKUP($A38,'Data Vlaue (Cr)'!$C:$FB,62)*100</f>
        <v>78.56</v>
      </c>
      <c r="M38" s="51">
        <f>VLOOKUP($A38,'Data Vlaue (Cr)'!$C:$FB,63)</f>
        <v>482</v>
      </c>
      <c r="N38" s="51">
        <f>VLOOKUP($A38,'Data Vlaue (Cr)'!$C:$FB,64)</f>
        <v>225</v>
      </c>
      <c r="O38" s="51">
        <f>VLOOKUP($A38,'Data Vlaue (Cr)'!$C:$FB,66)*100</f>
        <v>113.69</v>
      </c>
    </row>
    <row r="39" spans="1:15" x14ac:dyDescent="0.25">
      <c r="A39" s="101" t="str">
        <f>'Data Vlaue (Cr)'!C34</f>
        <v>BLUESTARCO</v>
      </c>
      <c r="B39" s="50">
        <f>VLOOKUP($A39,'Data Vlaue (Cr)'!$C:$FB,8)</f>
        <v>1949.1</v>
      </c>
      <c r="C39" s="50">
        <f>VLOOKUP($A39,'Data Vlaue (Cr)'!$C:$FB,11)*100</f>
        <v>3</v>
      </c>
      <c r="D39" s="50">
        <f>VLOOKUP($A39,'Data Vlaue (Cr)'!$C:$FB,143)</f>
        <v>1119.75</v>
      </c>
      <c r="E39" s="50">
        <f>VLOOKUP($A39,'Data Vlaue (Cr)'!$C:$FB,144)</f>
        <v>137.46</v>
      </c>
      <c r="F39" s="50">
        <f>VLOOKUP($A39,'Data Vlaue (Cr)'!$C:$FB,146)*100</f>
        <v>714.62</v>
      </c>
      <c r="G39" s="49">
        <f>VLOOKUP($A39,'Data Vlaue (Cr)'!$C:$FB,43)</f>
        <v>237</v>
      </c>
      <c r="H39" s="49">
        <f>VLOOKUP($A39,'Data Vlaue (Cr)'!$C:$FB,44)</f>
        <v>67</v>
      </c>
      <c r="I39" s="49">
        <f>VLOOKUP($A39,'Data Vlaue (Cr)'!$C:$FB,46)*100</f>
        <v>256.31</v>
      </c>
      <c r="J39" s="51">
        <f>VLOOKUP($A39,'Data Vlaue (Cr)'!$C:$FB,59)</f>
        <v>670</v>
      </c>
      <c r="K39" s="51">
        <f>VLOOKUP($A39,'Data Vlaue (Cr)'!$C:$FB,60)</f>
        <v>51</v>
      </c>
      <c r="L39" s="51">
        <f>VLOOKUP($A39,'Data Vlaue (Cr)'!$C:$FB,62)*100</f>
        <v>1206.2</v>
      </c>
      <c r="M39" s="51">
        <f>VLOOKUP($A39,'Data Vlaue (Cr)'!$C:$FB,63)</f>
        <v>194</v>
      </c>
      <c r="N39" s="51">
        <f>VLOOKUP($A39,'Data Vlaue (Cr)'!$C:$FB,64)</f>
        <v>23</v>
      </c>
      <c r="O39" s="51">
        <f>VLOOKUP($A39,'Data Vlaue (Cr)'!$C:$FB,66)*100</f>
        <v>750.28</v>
      </c>
    </row>
    <row r="40" spans="1:15" x14ac:dyDescent="0.25">
      <c r="A40" s="101" t="str">
        <f>'Data Vlaue (Cr)'!C35</f>
        <v>BOSCHLTD</v>
      </c>
      <c r="B40" s="50">
        <f>VLOOKUP($A40,'Data Vlaue (Cr)'!$C:$FB,8)</f>
        <v>38625</v>
      </c>
      <c r="C40" s="50">
        <f>VLOOKUP($A40,'Data Vlaue (Cr)'!$C:$FB,11)*100</f>
        <v>0.42</v>
      </c>
      <c r="D40" s="50">
        <f>VLOOKUP($A40,'Data Vlaue (Cr)'!$C:$FB,143)</f>
        <v>501.41</v>
      </c>
      <c r="E40" s="50">
        <f>VLOOKUP($A40,'Data Vlaue (Cr)'!$C:$FB,144)</f>
        <v>588.78</v>
      </c>
      <c r="F40" s="50">
        <f>VLOOKUP($A40,'Data Vlaue (Cr)'!$C:$FB,146)*100</f>
        <v>-14.84</v>
      </c>
      <c r="G40" s="49">
        <f>VLOOKUP($A40,'Data Vlaue (Cr)'!$C:$FB,43)</f>
        <v>123</v>
      </c>
      <c r="H40" s="49">
        <f>VLOOKUP($A40,'Data Vlaue (Cr)'!$C:$FB,44)</f>
        <v>70</v>
      </c>
      <c r="I40" s="49">
        <f>VLOOKUP($A40,'Data Vlaue (Cr)'!$C:$FB,46)*100</f>
        <v>75.660000000000011</v>
      </c>
      <c r="J40" s="51">
        <f>VLOOKUP($A40,'Data Vlaue (Cr)'!$C:$FB,59)</f>
        <v>285</v>
      </c>
      <c r="K40" s="51">
        <f>VLOOKUP($A40,'Data Vlaue (Cr)'!$C:$FB,60)</f>
        <v>251</v>
      </c>
      <c r="L40" s="51">
        <f>VLOOKUP($A40,'Data Vlaue (Cr)'!$C:$FB,62)*100</f>
        <v>13.489999999999998</v>
      </c>
      <c r="M40" s="51">
        <f>VLOOKUP($A40,'Data Vlaue (Cr)'!$C:$FB,63)</f>
        <v>83</v>
      </c>
      <c r="N40" s="51">
        <f>VLOOKUP($A40,'Data Vlaue (Cr)'!$C:$FB,64)</f>
        <v>255</v>
      </c>
      <c r="O40" s="51">
        <f>VLOOKUP($A40,'Data Vlaue (Cr)'!$C:$FB,66)*100</f>
        <v>-67.459999999999994</v>
      </c>
    </row>
    <row r="41" spans="1:15" x14ac:dyDescent="0.25">
      <c r="A41" s="101" t="str">
        <f>'Data Vlaue (Cr)'!C36</f>
        <v>BPCL</v>
      </c>
      <c r="B41" s="50">
        <f>VLOOKUP($A41,'Data Vlaue (Cr)'!$C:$FB,8)</f>
        <v>338.7</v>
      </c>
      <c r="C41" s="50">
        <f>VLOOKUP($A41,'Data Vlaue (Cr)'!$C:$FB,11)*100</f>
        <v>-1.54</v>
      </c>
      <c r="D41" s="50">
        <f>VLOOKUP($A41,'Data Vlaue (Cr)'!$C:$FB,143)</f>
        <v>1103.3399999999999</v>
      </c>
      <c r="E41" s="50">
        <f>VLOOKUP($A41,'Data Vlaue (Cr)'!$C:$FB,144)</f>
        <v>1649.63</v>
      </c>
      <c r="F41" s="50">
        <f>VLOOKUP($A41,'Data Vlaue (Cr)'!$C:$FB,146)*100</f>
        <v>-33.119999999999997</v>
      </c>
      <c r="G41" s="49">
        <f>VLOOKUP($A41,'Data Vlaue (Cr)'!$C:$FB,43)</f>
        <v>232</v>
      </c>
      <c r="H41" s="49">
        <f>VLOOKUP($A41,'Data Vlaue (Cr)'!$C:$FB,44)</f>
        <v>243</v>
      </c>
      <c r="I41" s="49">
        <f>VLOOKUP($A41,'Data Vlaue (Cr)'!$C:$FB,46)*100</f>
        <v>-4.3999999999999995</v>
      </c>
      <c r="J41" s="51">
        <f>VLOOKUP($A41,'Data Vlaue (Cr)'!$C:$FB,59)</f>
        <v>538</v>
      </c>
      <c r="K41" s="51">
        <f>VLOOKUP($A41,'Data Vlaue (Cr)'!$C:$FB,60)</f>
        <v>946</v>
      </c>
      <c r="L41" s="51">
        <f>VLOOKUP($A41,'Data Vlaue (Cr)'!$C:$FB,62)*100</f>
        <v>-43.08</v>
      </c>
      <c r="M41" s="51">
        <f>VLOOKUP($A41,'Data Vlaue (Cr)'!$C:$FB,63)</f>
        <v>296</v>
      </c>
      <c r="N41" s="51">
        <f>VLOOKUP($A41,'Data Vlaue (Cr)'!$C:$FB,64)</f>
        <v>387</v>
      </c>
      <c r="O41" s="51">
        <f>VLOOKUP($A41,'Data Vlaue (Cr)'!$C:$FB,66)*100</f>
        <v>-23.41</v>
      </c>
    </row>
    <row r="42" spans="1:15" x14ac:dyDescent="0.25">
      <c r="A42" s="101" t="str">
        <f>'Data Vlaue (Cr)'!C37</f>
        <v>BRITANNIA</v>
      </c>
      <c r="B42" s="50">
        <f>VLOOKUP($A42,'Data Vlaue (Cr)'!$C:$FB,8)</f>
        <v>5871.5</v>
      </c>
      <c r="C42" s="50">
        <f>VLOOKUP($A42,'Data Vlaue (Cr)'!$C:$FB,11)*100</f>
        <v>-0.08</v>
      </c>
      <c r="D42" s="50">
        <f>VLOOKUP($A42,'Data Vlaue (Cr)'!$C:$FB,143)</f>
        <v>514.26</v>
      </c>
      <c r="E42" s="50">
        <f>VLOOKUP($A42,'Data Vlaue (Cr)'!$C:$FB,144)</f>
        <v>879.36</v>
      </c>
      <c r="F42" s="50">
        <f>VLOOKUP($A42,'Data Vlaue (Cr)'!$C:$FB,146)*100</f>
        <v>-41.52</v>
      </c>
      <c r="G42" s="49">
        <f>VLOOKUP($A42,'Data Vlaue (Cr)'!$C:$FB,43)</f>
        <v>99</v>
      </c>
      <c r="H42" s="49">
        <f>VLOOKUP($A42,'Data Vlaue (Cr)'!$C:$FB,44)</f>
        <v>123</v>
      </c>
      <c r="I42" s="49">
        <f>VLOOKUP($A42,'Data Vlaue (Cr)'!$C:$FB,46)*100</f>
        <v>-19.39</v>
      </c>
      <c r="J42" s="51">
        <f>VLOOKUP($A42,'Data Vlaue (Cr)'!$C:$FB,59)</f>
        <v>304</v>
      </c>
      <c r="K42" s="51">
        <f>VLOOKUP($A42,'Data Vlaue (Cr)'!$C:$FB,60)</f>
        <v>550</v>
      </c>
      <c r="L42" s="51">
        <f>VLOOKUP($A42,'Data Vlaue (Cr)'!$C:$FB,62)*100</f>
        <v>-44.79</v>
      </c>
      <c r="M42" s="51">
        <f>VLOOKUP($A42,'Data Vlaue (Cr)'!$C:$FB,63)</f>
        <v>102</v>
      </c>
      <c r="N42" s="51">
        <f>VLOOKUP($A42,'Data Vlaue (Cr)'!$C:$FB,64)</f>
        <v>187</v>
      </c>
      <c r="O42" s="51">
        <f>VLOOKUP($A42,'Data Vlaue (Cr)'!$C:$FB,66)*100</f>
        <v>-45.56</v>
      </c>
    </row>
    <row r="43" spans="1:15" x14ac:dyDescent="0.25">
      <c r="A43" s="101" t="str">
        <f>'Data Vlaue (Cr)'!C38</f>
        <v>BSE</v>
      </c>
      <c r="B43" s="50">
        <f>VLOOKUP($A43,'Data Vlaue (Cr)'!$C:$FB,8)</f>
        <v>2385</v>
      </c>
      <c r="C43" s="50">
        <f>VLOOKUP($A43,'Data Vlaue (Cr)'!$C:$FB,11)*100</f>
        <v>2.35</v>
      </c>
      <c r="D43" s="50">
        <f>VLOOKUP($A43,'Data Vlaue (Cr)'!$C:$FB,143)</f>
        <v>13816.4</v>
      </c>
      <c r="E43" s="50">
        <f>VLOOKUP($A43,'Data Vlaue (Cr)'!$C:$FB,144)</f>
        <v>14601.26</v>
      </c>
      <c r="F43" s="50">
        <f>VLOOKUP($A43,'Data Vlaue (Cr)'!$C:$FB,146)*100</f>
        <v>-5.38</v>
      </c>
      <c r="G43" s="49">
        <f>VLOOKUP($A43,'Data Vlaue (Cr)'!$C:$FB,43)</f>
        <v>1251</v>
      </c>
      <c r="H43" s="49">
        <f>VLOOKUP($A43,'Data Vlaue (Cr)'!$C:$FB,44)</f>
        <v>1513</v>
      </c>
      <c r="I43" s="49">
        <f>VLOOKUP($A43,'Data Vlaue (Cr)'!$C:$FB,46)*100</f>
        <v>-17.34</v>
      </c>
      <c r="J43" s="51">
        <f>VLOOKUP($A43,'Data Vlaue (Cr)'!$C:$FB,59)</f>
        <v>8359</v>
      </c>
      <c r="K43" s="51">
        <f>VLOOKUP($A43,'Data Vlaue (Cr)'!$C:$FB,60)</f>
        <v>8390</v>
      </c>
      <c r="L43" s="51">
        <f>VLOOKUP($A43,'Data Vlaue (Cr)'!$C:$FB,62)*100</f>
        <v>-0.38</v>
      </c>
      <c r="M43" s="51">
        <f>VLOOKUP($A43,'Data Vlaue (Cr)'!$C:$FB,63)</f>
        <v>3856</v>
      </c>
      <c r="N43" s="51">
        <f>VLOOKUP($A43,'Data Vlaue (Cr)'!$C:$FB,64)</f>
        <v>4865</v>
      </c>
      <c r="O43" s="51">
        <f>VLOOKUP($A43,'Data Vlaue (Cr)'!$C:$FB,66)*100</f>
        <v>-20.73</v>
      </c>
    </row>
    <row r="44" spans="1:15" x14ac:dyDescent="0.25">
      <c r="A44" s="101" t="str">
        <f>'Data Vlaue (Cr)'!C39</f>
        <v>CAMS</v>
      </c>
      <c r="B44" s="50">
        <f>VLOOKUP($A44,'Data Vlaue (Cr)'!$C:$FB,8)</f>
        <v>3860.8</v>
      </c>
      <c r="C44" s="50">
        <f>VLOOKUP($A44,'Data Vlaue (Cr)'!$C:$FB,11)*100</f>
        <v>0.77999999999999992</v>
      </c>
      <c r="D44" s="50">
        <f>VLOOKUP($A44,'Data Vlaue (Cr)'!$C:$FB,143)</f>
        <v>931.51</v>
      </c>
      <c r="E44" s="50">
        <f>VLOOKUP($A44,'Data Vlaue (Cr)'!$C:$FB,144)</f>
        <v>933.69</v>
      </c>
      <c r="F44" s="50">
        <f>VLOOKUP($A44,'Data Vlaue (Cr)'!$C:$FB,146)*100</f>
        <v>-0.22999999999999998</v>
      </c>
      <c r="G44" s="49">
        <f>VLOOKUP($A44,'Data Vlaue (Cr)'!$C:$FB,43)</f>
        <v>155</v>
      </c>
      <c r="H44" s="49">
        <f>VLOOKUP($A44,'Data Vlaue (Cr)'!$C:$FB,44)</f>
        <v>156</v>
      </c>
      <c r="I44" s="49">
        <f>VLOOKUP($A44,'Data Vlaue (Cr)'!$C:$FB,46)*100</f>
        <v>-0.85000000000000009</v>
      </c>
      <c r="J44" s="51">
        <f>VLOOKUP($A44,'Data Vlaue (Cr)'!$C:$FB,59)</f>
        <v>607</v>
      </c>
      <c r="K44" s="51">
        <f>VLOOKUP($A44,'Data Vlaue (Cr)'!$C:$FB,60)</f>
        <v>619</v>
      </c>
      <c r="L44" s="51">
        <f>VLOOKUP($A44,'Data Vlaue (Cr)'!$C:$FB,62)*100</f>
        <v>-1.95</v>
      </c>
      <c r="M44" s="51">
        <f>VLOOKUP($A44,'Data Vlaue (Cr)'!$C:$FB,63)</f>
        <v>146</v>
      </c>
      <c r="N44" s="51">
        <f>VLOOKUP($A44,'Data Vlaue (Cr)'!$C:$FB,64)</f>
        <v>139</v>
      </c>
      <c r="O44" s="51">
        <f>VLOOKUP($A44,'Data Vlaue (Cr)'!$C:$FB,66)*100</f>
        <v>4.8899999999999997</v>
      </c>
    </row>
    <row r="45" spans="1:15" x14ac:dyDescent="0.25">
      <c r="A45" s="101" t="str">
        <f>'Data Vlaue (Cr)'!C40</f>
        <v>CANBK</v>
      </c>
      <c r="B45" s="50">
        <f>VLOOKUP($A45,'Data Vlaue (Cr)'!$C:$FB,8)</f>
        <v>127.39</v>
      </c>
      <c r="C45" s="50">
        <f>VLOOKUP($A45,'Data Vlaue (Cr)'!$C:$FB,11)*100</f>
        <v>0.97</v>
      </c>
      <c r="D45" s="50">
        <f>VLOOKUP($A45,'Data Vlaue (Cr)'!$C:$FB,143)</f>
        <v>4138.3</v>
      </c>
      <c r="E45" s="50">
        <f>VLOOKUP($A45,'Data Vlaue (Cr)'!$C:$FB,144)</f>
        <v>2179.94</v>
      </c>
      <c r="F45" s="50">
        <f>VLOOKUP($A45,'Data Vlaue (Cr)'!$C:$FB,146)*100</f>
        <v>89.84</v>
      </c>
      <c r="G45" s="49">
        <f>VLOOKUP($A45,'Data Vlaue (Cr)'!$C:$FB,43)</f>
        <v>692</v>
      </c>
      <c r="H45" s="49">
        <f>VLOOKUP($A45,'Data Vlaue (Cr)'!$C:$FB,44)</f>
        <v>412</v>
      </c>
      <c r="I45" s="49">
        <f>VLOOKUP($A45,'Data Vlaue (Cr)'!$C:$FB,46)*100</f>
        <v>68.08</v>
      </c>
      <c r="J45" s="51">
        <f>VLOOKUP($A45,'Data Vlaue (Cr)'!$C:$FB,59)</f>
        <v>2284</v>
      </c>
      <c r="K45" s="51">
        <f>VLOOKUP($A45,'Data Vlaue (Cr)'!$C:$FB,60)</f>
        <v>1126</v>
      </c>
      <c r="L45" s="51">
        <f>VLOOKUP($A45,'Data Vlaue (Cr)'!$C:$FB,62)*100</f>
        <v>102.85</v>
      </c>
      <c r="M45" s="51">
        <f>VLOOKUP($A45,'Data Vlaue (Cr)'!$C:$FB,63)</f>
        <v>1077</v>
      </c>
      <c r="N45" s="51">
        <f>VLOOKUP($A45,'Data Vlaue (Cr)'!$C:$FB,64)</f>
        <v>612</v>
      </c>
      <c r="O45" s="51">
        <f>VLOOKUP($A45,'Data Vlaue (Cr)'!$C:$FB,66)*100</f>
        <v>76.08</v>
      </c>
    </row>
    <row r="46" spans="1:15" x14ac:dyDescent="0.25">
      <c r="A46" s="101" t="str">
        <f>'Data Vlaue (Cr)'!C41</f>
        <v>CDSL</v>
      </c>
      <c r="B46" s="50">
        <f>VLOOKUP($A46,'Data Vlaue (Cr)'!$C:$FB,8)</f>
        <v>1605.3</v>
      </c>
      <c r="C46" s="50">
        <f>VLOOKUP($A46,'Data Vlaue (Cr)'!$C:$FB,11)*100</f>
        <v>3</v>
      </c>
      <c r="D46" s="50">
        <f>VLOOKUP($A46,'Data Vlaue (Cr)'!$C:$FB,143)</f>
        <v>5384.91</v>
      </c>
      <c r="E46" s="50">
        <f>VLOOKUP($A46,'Data Vlaue (Cr)'!$C:$FB,144)</f>
        <v>2127.64</v>
      </c>
      <c r="F46" s="50">
        <f>VLOOKUP($A46,'Data Vlaue (Cr)'!$C:$FB,146)*100</f>
        <v>153.09</v>
      </c>
      <c r="G46" s="49">
        <f>VLOOKUP($A46,'Data Vlaue (Cr)'!$C:$FB,43)</f>
        <v>699</v>
      </c>
      <c r="H46" s="49">
        <f>VLOOKUP($A46,'Data Vlaue (Cr)'!$C:$FB,44)</f>
        <v>303</v>
      </c>
      <c r="I46" s="49">
        <f>VLOOKUP($A46,'Data Vlaue (Cr)'!$C:$FB,46)*100</f>
        <v>130.80000000000001</v>
      </c>
      <c r="J46" s="51">
        <f>VLOOKUP($A46,'Data Vlaue (Cr)'!$C:$FB,59)</f>
        <v>3631</v>
      </c>
      <c r="K46" s="51">
        <f>VLOOKUP($A46,'Data Vlaue (Cr)'!$C:$FB,60)</f>
        <v>1362</v>
      </c>
      <c r="L46" s="51">
        <f>VLOOKUP($A46,'Data Vlaue (Cr)'!$C:$FB,62)*100</f>
        <v>166.5</v>
      </c>
      <c r="M46" s="51">
        <f>VLOOKUP($A46,'Data Vlaue (Cr)'!$C:$FB,63)</f>
        <v>996</v>
      </c>
      <c r="N46" s="51">
        <f>VLOOKUP($A46,'Data Vlaue (Cr)'!$C:$FB,64)</f>
        <v>483</v>
      </c>
      <c r="O46" s="51">
        <f>VLOOKUP($A46,'Data Vlaue (Cr)'!$C:$FB,66)*100</f>
        <v>106.32</v>
      </c>
    </row>
    <row r="47" spans="1:15" x14ac:dyDescent="0.25">
      <c r="A47" s="101" t="str">
        <f>'Data Vlaue (Cr)'!C42</f>
        <v>CGPOWER</v>
      </c>
      <c r="B47" s="50">
        <f>VLOOKUP($A47,'Data Vlaue (Cr)'!$C:$FB,8)</f>
        <v>753.4</v>
      </c>
      <c r="C47" s="50">
        <f>VLOOKUP($A47,'Data Vlaue (Cr)'!$C:$FB,11)*100</f>
        <v>-1.02</v>
      </c>
      <c r="D47" s="50">
        <f>VLOOKUP($A47,'Data Vlaue (Cr)'!$C:$FB,143)</f>
        <v>886.38</v>
      </c>
      <c r="E47" s="50">
        <f>VLOOKUP($A47,'Data Vlaue (Cr)'!$C:$FB,144)</f>
        <v>1346.52</v>
      </c>
      <c r="F47" s="50">
        <f>VLOOKUP($A47,'Data Vlaue (Cr)'!$C:$FB,146)*100</f>
        <v>-34.17</v>
      </c>
      <c r="G47" s="49">
        <f>VLOOKUP($A47,'Data Vlaue (Cr)'!$C:$FB,43)</f>
        <v>193</v>
      </c>
      <c r="H47" s="49">
        <f>VLOOKUP($A47,'Data Vlaue (Cr)'!$C:$FB,44)</f>
        <v>274</v>
      </c>
      <c r="I47" s="49">
        <f>VLOOKUP($A47,'Data Vlaue (Cr)'!$C:$FB,46)*100</f>
        <v>-29.67</v>
      </c>
      <c r="J47" s="51">
        <f>VLOOKUP($A47,'Data Vlaue (Cr)'!$C:$FB,59)</f>
        <v>485</v>
      </c>
      <c r="K47" s="51">
        <f>VLOOKUP($A47,'Data Vlaue (Cr)'!$C:$FB,60)</f>
        <v>829</v>
      </c>
      <c r="L47" s="51">
        <f>VLOOKUP($A47,'Data Vlaue (Cr)'!$C:$FB,62)*100</f>
        <v>-41.47</v>
      </c>
      <c r="M47" s="51">
        <f>VLOOKUP($A47,'Data Vlaue (Cr)'!$C:$FB,63)</f>
        <v>188</v>
      </c>
      <c r="N47" s="51">
        <f>VLOOKUP($A47,'Data Vlaue (Cr)'!$C:$FB,64)</f>
        <v>203</v>
      </c>
      <c r="O47" s="51">
        <f>VLOOKUP($A47,'Data Vlaue (Cr)'!$C:$FB,66)*100</f>
        <v>-7.37</v>
      </c>
    </row>
    <row r="48" spans="1:15" x14ac:dyDescent="0.25">
      <c r="A48" s="101" t="str">
        <f>'Data Vlaue (Cr)'!C43</f>
        <v>CHOLAFIN</v>
      </c>
      <c r="B48" s="50">
        <f>VLOOKUP($A48,'Data Vlaue (Cr)'!$C:$FB,8)</f>
        <v>1614.2</v>
      </c>
      <c r="C48" s="50">
        <f>VLOOKUP($A48,'Data Vlaue (Cr)'!$C:$FB,11)*100</f>
        <v>-0.44</v>
      </c>
      <c r="D48" s="50">
        <f>VLOOKUP($A48,'Data Vlaue (Cr)'!$C:$FB,143)</f>
        <v>906.95</v>
      </c>
      <c r="E48" s="50">
        <f>VLOOKUP($A48,'Data Vlaue (Cr)'!$C:$FB,144)</f>
        <v>1126.55</v>
      </c>
      <c r="F48" s="50">
        <f>VLOOKUP($A48,'Data Vlaue (Cr)'!$C:$FB,146)*100</f>
        <v>-19.489999999999998</v>
      </c>
      <c r="G48" s="49">
        <f>VLOOKUP($A48,'Data Vlaue (Cr)'!$C:$FB,43)</f>
        <v>185</v>
      </c>
      <c r="H48" s="49">
        <f>VLOOKUP($A48,'Data Vlaue (Cr)'!$C:$FB,44)</f>
        <v>305</v>
      </c>
      <c r="I48" s="49">
        <f>VLOOKUP($A48,'Data Vlaue (Cr)'!$C:$FB,46)*100</f>
        <v>-39.369999999999997</v>
      </c>
      <c r="J48" s="51">
        <f>VLOOKUP($A48,'Data Vlaue (Cr)'!$C:$FB,59)</f>
        <v>507</v>
      </c>
      <c r="K48" s="51">
        <f>VLOOKUP($A48,'Data Vlaue (Cr)'!$C:$FB,60)</f>
        <v>549</v>
      </c>
      <c r="L48" s="51">
        <f>VLOOKUP($A48,'Data Vlaue (Cr)'!$C:$FB,62)*100</f>
        <v>-7.53</v>
      </c>
      <c r="M48" s="51">
        <f>VLOOKUP($A48,'Data Vlaue (Cr)'!$C:$FB,63)</f>
        <v>198</v>
      </c>
      <c r="N48" s="51">
        <f>VLOOKUP($A48,'Data Vlaue (Cr)'!$C:$FB,64)</f>
        <v>257</v>
      </c>
      <c r="O48" s="51">
        <f>VLOOKUP($A48,'Data Vlaue (Cr)'!$C:$FB,66)*100</f>
        <v>-23.16</v>
      </c>
    </row>
    <row r="49" spans="1:15" x14ac:dyDescent="0.25">
      <c r="A49" s="101" t="str">
        <f>'Data Vlaue (Cr)'!C44</f>
        <v>CIPLA</v>
      </c>
      <c r="B49" s="50">
        <f>VLOOKUP($A49,'Data Vlaue (Cr)'!$C:$FB,8)</f>
        <v>1561.8</v>
      </c>
      <c r="C49" s="50">
        <f>VLOOKUP($A49,'Data Vlaue (Cr)'!$C:$FB,11)*100</f>
        <v>3.2199999999999998</v>
      </c>
      <c r="D49" s="50">
        <f>VLOOKUP($A49,'Data Vlaue (Cr)'!$C:$FB,143)</f>
        <v>5071.51</v>
      </c>
      <c r="E49" s="50">
        <f>VLOOKUP($A49,'Data Vlaue (Cr)'!$C:$FB,144)</f>
        <v>1249.31</v>
      </c>
      <c r="F49" s="50">
        <f>VLOOKUP($A49,'Data Vlaue (Cr)'!$C:$FB,146)*100</f>
        <v>305.95</v>
      </c>
      <c r="G49" s="49">
        <f>VLOOKUP($A49,'Data Vlaue (Cr)'!$C:$FB,43)</f>
        <v>555</v>
      </c>
      <c r="H49" s="49">
        <f>VLOOKUP($A49,'Data Vlaue (Cr)'!$C:$FB,44)</f>
        <v>211</v>
      </c>
      <c r="I49" s="49">
        <f>VLOOKUP($A49,'Data Vlaue (Cr)'!$C:$FB,46)*100</f>
        <v>162.82000000000002</v>
      </c>
      <c r="J49" s="51">
        <f>VLOOKUP($A49,'Data Vlaue (Cr)'!$C:$FB,59)</f>
        <v>3265</v>
      </c>
      <c r="K49" s="51">
        <f>VLOOKUP($A49,'Data Vlaue (Cr)'!$C:$FB,60)</f>
        <v>807</v>
      </c>
      <c r="L49" s="51">
        <f>VLOOKUP($A49,'Data Vlaue (Cr)'!$C:$FB,62)*100</f>
        <v>304.39999999999998</v>
      </c>
      <c r="M49" s="51">
        <f>VLOOKUP($A49,'Data Vlaue (Cr)'!$C:$FB,63)</f>
        <v>1244</v>
      </c>
      <c r="N49" s="51">
        <f>VLOOKUP($A49,'Data Vlaue (Cr)'!$C:$FB,64)</f>
        <v>259</v>
      </c>
      <c r="O49" s="51">
        <f>VLOOKUP($A49,'Data Vlaue (Cr)'!$C:$FB,66)*100</f>
        <v>380.79999999999995</v>
      </c>
    </row>
    <row r="50" spans="1:15" x14ac:dyDescent="0.25">
      <c r="A50" s="101" t="str">
        <f>'Data Vlaue (Cr)'!C45</f>
        <v>COALINDIA</v>
      </c>
      <c r="B50" s="50">
        <f>VLOOKUP($A50,'Data Vlaue (Cr)'!$C:$FB,8)</f>
        <v>384.5</v>
      </c>
      <c r="C50" s="50">
        <f>VLOOKUP($A50,'Data Vlaue (Cr)'!$C:$FB,11)*100</f>
        <v>0.3</v>
      </c>
      <c r="D50" s="50">
        <f>VLOOKUP($A50,'Data Vlaue (Cr)'!$C:$FB,143)</f>
        <v>1193.47</v>
      </c>
      <c r="E50" s="50">
        <f>VLOOKUP($A50,'Data Vlaue (Cr)'!$C:$FB,144)</f>
        <v>1336.34</v>
      </c>
      <c r="F50" s="50">
        <f>VLOOKUP($A50,'Data Vlaue (Cr)'!$C:$FB,146)*100</f>
        <v>-10.69</v>
      </c>
      <c r="G50" s="49">
        <f>VLOOKUP($A50,'Data Vlaue (Cr)'!$C:$FB,43)</f>
        <v>219</v>
      </c>
      <c r="H50" s="49">
        <f>VLOOKUP($A50,'Data Vlaue (Cr)'!$C:$FB,44)</f>
        <v>201</v>
      </c>
      <c r="I50" s="49">
        <f>VLOOKUP($A50,'Data Vlaue (Cr)'!$C:$FB,46)*100</f>
        <v>8.6499999999999986</v>
      </c>
      <c r="J50" s="51">
        <f>VLOOKUP($A50,'Data Vlaue (Cr)'!$C:$FB,59)</f>
        <v>650</v>
      </c>
      <c r="K50" s="51">
        <f>VLOOKUP($A50,'Data Vlaue (Cr)'!$C:$FB,60)</f>
        <v>767</v>
      </c>
      <c r="L50" s="51">
        <f>VLOOKUP($A50,'Data Vlaue (Cr)'!$C:$FB,62)*100</f>
        <v>-15.24</v>
      </c>
      <c r="M50" s="51">
        <f>VLOOKUP($A50,'Data Vlaue (Cr)'!$C:$FB,63)</f>
        <v>303</v>
      </c>
      <c r="N50" s="51">
        <f>VLOOKUP($A50,'Data Vlaue (Cr)'!$C:$FB,64)</f>
        <v>348</v>
      </c>
      <c r="O50" s="51">
        <f>VLOOKUP($A50,'Data Vlaue (Cr)'!$C:$FB,66)*100</f>
        <v>-12.959999999999999</v>
      </c>
    </row>
    <row r="51" spans="1:15" x14ac:dyDescent="0.25">
      <c r="A51" s="101" t="str">
        <f>'Data Vlaue (Cr)'!C46</f>
        <v>COFORGE</v>
      </c>
      <c r="B51" s="50">
        <f>VLOOKUP($A51,'Data Vlaue (Cr)'!$C:$FB,8)</f>
        <v>1722.3</v>
      </c>
      <c r="C51" s="50">
        <f>VLOOKUP($A51,'Data Vlaue (Cr)'!$C:$FB,11)*100</f>
        <v>0.13</v>
      </c>
      <c r="D51" s="50">
        <f>VLOOKUP($A51,'Data Vlaue (Cr)'!$C:$FB,143)</f>
        <v>2355.46</v>
      </c>
      <c r="E51" s="50">
        <f>VLOOKUP($A51,'Data Vlaue (Cr)'!$C:$FB,144)</f>
        <v>2386.7600000000002</v>
      </c>
      <c r="F51" s="50">
        <f>VLOOKUP($A51,'Data Vlaue (Cr)'!$C:$FB,146)*100</f>
        <v>-1.31</v>
      </c>
      <c r="G51" s="49">
        <f>VLOOKUP($A51,'Data Vlaue (Cr)'!$C:$FB,43)</f>
        <v>430</v>
      </c>
      <c r="H51" s="49">
        <f>VLOOKUP($A51,'Data Vlaue (Cr)'!$C:$FB,44)</f>
        <v>408</v>
      </c>
      <c r="I51" s="49">
        <f>VLOOKUP($A51,'Data Vlaue (Cr)'!$C:$FB,46)*100</f>
        <v>5.3</v>
      </c>
      <c r="J51" s="51">
        <f>VLOOKUP($A51,'Data Vlaue (Cr)'!$C:$FB,59)</f>
        <v>1234</v>
      </c>
      <c r="K51" s="51">
        <f>VLOOKUP($A51,'Data Vlaue (Cr)'!$C:$FB,60)</f>
        <v>1239</v>
      </c>
      <c r="L51" s="51">
        <f>VLOOKUP($A51,'Data Vlaue (Cr)'!$C:$FB,62)*100</f>
        <v>-0.4</v>
      </c>
      <c r="M51" s="51">
        <f>VLOOKUP($A51,'Data Vlaue (Cr)'!$C:$FB,63)</f>
        <v>639</v>
      </c>
      <c r="N51" s="51">
        <f>VLOOKUP($A51,'Data Vlaue (Cr)'!$C:$FB,64)</f>
        <v>699</v>
      </c>
      <c r="O51" s="51">
        <f>VLOOKUP($A51,'Data Vlaue (Cr)'!$C:$FB,66)*100</f>
        <v>-8.4699999999999989</v>
      </c>
    </row>
    <row r="52" spans="1:15" x14ac:dyDescent="0.25">
      <c r="A52" s="101" t="str">
        <f>'Data Vlaue (Cr)'!C47</f>
        <v>COLPAL</v>
      </c>
      <c r="B52" s="50">
        <f>VLOOKUP($A52,'Data Vlaue (Cr)'!$C:$FB,8)</f>
        <v>2227.8000000000002</v>
      </c>
      <c r="C52" s="50">
        <f>VLOOKUP($A52,'Data Vlaue (Cr)'!$C:$FB,11)*100</f>
        <v>0.86999999999999988</v>
      </c>
      <c r="D52" s="50">
        <f>VLOOKUP($A52,'Data Vlaue (Cr)'!$C:$FB,143)</f>
        <v>532.9</v>
      </c>
      <c r="E52" s="50">
        <f>VLOOKUP($A52,'Data Vlaue (Cr)'!$C:$FB,144)</f>
        <v>321.58999999999997</v>
      </c>
      <c r="F52" s="50">
        <f>VLOOKUP($A52,'Data Vlaue (Cr)'!$C:$FB,146)*100</f>
        <v>65.710000000000008</v>
      </c>
      <c r="G52" s="49">
        <f>VLOOKUP($A52,'Data Vlaue (Cr)'!$C:$FB,43)</f>
        <v>138</v>
      </c>
      <c r="H52" s="49">
        <f>VLOOKUP($A52,'Data Vlaue (Cr)'!$C:$FB,44)</f>
        <v>128</v>
      </c>
      <c r="I52" s="49">
        <f>VLOOKUP($A52,'Data Vlaue (Cr)'!$C:$FB,46)*100</f>
        <v>7.580000000000001</v>
      </c>
      <c r="J52" s="51">
        <f>VLOOKUP($A52,'Data Vlaue (Cr)'!$C:$FB,59)</f>
        <v>297</v>
      </c>
      <c r="K52" s="51">
        <f>VLOOKUP($A52,'Data Vlaue (Cr)'!$C:$FB,60)</f>
        <v>148</v>
      </c>
      <c r="L52" s="51">
        <f>VLOOKUP($A52,'Data Vlaue (Cr)'!$C:$FB,62)*100</f>
        <v>99.76</v>
      </c>
      <c r="M52" s="51">
        <f>VLOOKUP($A52,'Data Vlaue (Cr)'!$C:$FB,63)</f>
        <v>90</v>
      </c>
      <c r="N52" s="51">
        <f>VLOOKUP($A52,'Data Vlaue (Cr)'!$C:$FB,64)</f>
        <v>42</v>
      </c>
      <c r="O52" s="51">
        <f>VLOOKUP($A52,'Data Vlaue (Cr)'!$C:$FB,66)*100</f>
        <v>112.33999999999999</v>
      </c>
    </row>
    <row r="53" spans="1:15" x14ac:dyDescent="0.25">
      <c r="A53" s="101" t="str">
        <f>'Data Vlaue (Cr)'!C48</f>
        <v>CONCOR</v>
      </c>
      <c r="B53" s="50">
        <f>VLOOKUP($A53,'Data Vlaue (Cr)'!$C:$FB,8)</f>
        <v>541.4</v>
      </c>
      <c r="C53" s="50">
        <f>VLOOKUP($A53,'Data Vlaue (Cr)'!$C:$FB,11)*100</f>
        <v>0.67999999999999994</v>
      </c>
      <c r="D53" s="50">
        <f>VLOOKUP($A53,'Data Vlaue (Cr)'!$C:$FB,143)</f>
        <v>995.47</v>
      </c>
      <c r="E53" s="50">
        <f>VLOOKUP($A53,'Data Vlaue (Cr)'!$C:$FB,144)</f>
        <v>1467.34</v>
      </c>
      <c r="F53" s="50">
        <f>VLOOKUP($A53,'Data Vlaue (Cr)'!$C:$FB,146)*100</f>
        <v>-32.159999999999997</v>
      </c>
      <c r="G53" s="49">
        <f>VLOOKUP($A53,'Data Vlaue (Cr)'!$C:$FB,43)</f>
        <v>189</v>
      </c>
      <c r="H53" s="49">
        <f>VLOOKUP($A53,'Data Vlaue (Cr)'!$C:$FB,44)</f>
        <v>294</v>
      </c>
      <c r="I53" s="49">
        <f>VLOOKUP($A53,'Data Vlaue (Cr)'!$C:$FB,46)*100</f>
        <v>-35.75</v>
      </c>
      <c r="J53" s="51">
        <f>VLOOKUP($A53,'Data Vlaue (Cr)'!$C:$FB,59)</f>
        <v>604</v>
      </c>
      <c r="K53" s="51">
        <f>VLOOKUP($A53,'Data Vlaue (Cr)'!$C:$FB,60)</f>
        <v>868</v>
      </c>
      <c r="L53" s="51">
        <f>VLOOKUP($A53,'Data Vlaue (Cr)'!$C:$FB,62)*100</f>
        <v>-30.43</v>
      </c>
      <c r="M53" s="51">
        <f>VLOOKUP($A53,'Data Vlaue (Cr)'!$C:$FB,63)</f>
        <v>183</v>
      </c>
      <c r="N53" s="51">
        <f>VLOOKUP($A53,'Data Vlaue (Cr)'!$C:$FB,64)</f>
        <v>288</v>
      </c>
      <c r="O53" s="51">
        <f>VLOOKUP($A53,'Data Vlaue (Cr)'!$C:$FB,66)*100</f>
        <v>-36.549999999999997</v>
      </c>
    </row>
    <row r="54" spans="1:15" x14ac:dyDescent="0.25">
      <c r="A54" s="101" t="str">
        <f>'Data Vlaue (Cr)'!C49</f>
        <v>CROMPTON</v>
      </c>
      <c r="B54" s="50">
        <f>VLOOKUP($A54,'Data Vlaue (Cr)'!$C:$FB,8)</f>
        <v>287.75</v>
      </c>
      <c r="C54" s="50">
        <f>VLOOKUP($A54,'Data Vlaue (Cr)'!$C:$FB,11)*100</f>
        <v>1.1199999999999999</v>
      </c>
      <c r="D54" s="50">
        <f>VLOOKUP($A54,'Data Vlaue (Cr)'!$C:$FB,143)</f>
        <v>796.72</v>
      </c>
      <c r="E54" s="50">
        <f>VLOOKUP($A54,'Data Vlaue (Cr)'!$C:$FB,144)</f>
        <v>572.23</v>
      </c>
      <c r="F54" s="50">
        <f>VLOOKUP($A54,'Data Vlaue (Cr)'!$C:$FB,146)*100</f>
        <v>39.229999999999997</v>
      </c>
      <c r="G54" s="49">
        <f>VLOOKUP($A54,'Data Vlaue (Cr)'!$C:$FB,43)</f>
        <v>165</v>
      </c>
      <c r="H54" s="49">
        <f>VLOOKUP($A54,'Data Vlaue (Cr)'!$C:$FB,44)</f>
        <v>157</v>
      </c>
      <c r="I54" s="49">
        <f>VLOOKUP($A54,'Data Vlaue (Cr)'!$C:$FB,46)*100</f>
        <v>5.5100000000000007</v>
      </c>
      <c r="J54" s="51">
        <f>VLOOKUP($A54,'Data Vlaue (Cr)'!$C:$FB,59)</f>
        <v>477</v>
      </c>
      <c r="K54" s="51">
        <f>VLOOKUP($A54,'Data Vlaue (Cr)'!$C:$FB,60)</f>
        <v>317</v>
      </c>
      <c r="L54" s="51">
        <f>VLOOKUP($A54,'Data Vlaue (Cr)'!$C:$FB,62)*100</f>
        <v>50.760000000000005</v>
      </c>
      <c r="M54" s="51">
        <f>VLOOKUP($A54,'Data Vlaue (Cr)'!$C:$FB,63)</f>
        <v>124</v>
      </c>
      <c r="N54" s="51">
        <f>VLOOKUP($A54,'Data Vlaue (Cr)'!$C:$FB,64)</f>
        <v>81</v>
      </c>
      <c r="O54" s="51">
        <f>VLOOKUP($A54,'Data Vlaue (Cr)'!$C:$FB,66)*100</f>
        <v>52.43</v>
      </c>
    </row>
    <row r="55" spans="1:15" x14ac:dyDescent="0.25">
      <c r="A55" s="101" t="str">
        <f>'Data Vlaue (Cr)'!C50</f>
        <v>CUMMINSIND</v>
      </c>
      <c r="B55" s="50">
        <f>VLOOKUP($A55,'Data Vlaue (Cr)'!$C:$FB,8)</f>
        <v>3966</v>
      </c>
      <c r="C55" s="50">
        <f>VLOOKUP($A55,'Data Vlaue (Cr)'!$C:$FB,11)*100</f>
        <v>0.22</v>
      </c>
      <c r="D55" s="50">
        <f>VLOOKUP($A55,'Data Vlaue (Cr)'!$C:$FB,143)</f>
        <v>1672.75</v>
      </c>
      <c r="E55" s="50">
        <f>VLOOKUP($A55,'Data Vlaue (Cr)'!$C:$FB,144)</f>
        <v>729.71</v>
      </c>
      <c r="F55" s="50">
        <f>VLOOKUP($A55,'Data Vlaue (Cr)'!$C:$FB,146)*100</f>
        <v>129.24</v>
      </c>
      <c r="G55" s="49">
        <f>VLOOKUP($A55,'Data Vlaue (Cr)'!$C:$FB,43)</f>
        <v>401</v>
      </c>
      <c r="H55" s="49">
        <f>VLOOKUP($A55,'Data Vlaue (Cr)'!$C:$FB,44)</f>
        <v>184</v>
      </c>
      <c r="I55" s="49">
        <f>VLOOKUP($A55,'Data Vlaue (Cr)'!$C:$FB,46)*100</f>
        <v>117.77</v>
      </c>
      <c r="J55" s="51">
        <f>VLOOKUP($A55,'Data Vlaue (Cr)'!$C:$FB,59)</f>
        <v>976</v>
      </c>
      <c r="K55" s="51">
        <f>VLOOKUP($A55,'Data Vlaue (Cr)'!$C:$FB,60)</f>
        <v>422</v>
      </c>
      <c r="L55" s="51">
        <f>VLOOKUP($A55,'Data Vlaue (Cr)'!$C:$FB,62)*100</f>
        <v>131.19</v>
      </c>
      <c r="M55" s="51">
        <f>VLOOKUP($A55,'Data Vlaue (Cr)'!$C:$FB,63)</f>
        <v>260</v>
      </c>
      <c r="N55" s="51">
        <f>VLOOKUP($A55,'Data Vlaue (Cr)'!$C:$FB,64)</f>
        <v>116</v>
      </c>
      <c r="O55" s="51">
        <f>VLOOKUP($A55,'Data Vlaue (Cr)'!$C:$FB,66)*100</f>
        <v>124.71000000000001</v>
      </c>
    </row>
    <row r="56" spans="1:15" x14ac:dyDescent="0.25">
      <c r="A56" s="101" t="str">
        <f>'Data Vlaue (Cr)'!C51</f>
        <v>CYIENT</v>
      </c>
      <c r="B56" s="50">
        <f>VLOOKUP($A56,'Data Vlaue (Cr)'!$C:$FB,8)</f>
        <v>1176.9000000000001</v>
      </c>
      <c r="C56" s="50">
        <f>VLOOKUP($A56,'Data Vlaue (Cr)'!$C:$FB,11)*100</f>
        <v>0.02</v>
      </c>
      <c r="D56" s="50">
        <f>VLOOKUP($A56,'Data Vlaue (Cr)'!$C:$FB,143)</f>
        <v>290.75</v>
      </c>
      <c r="E56" s="50">
        <f>VLOOKUP($A56,'Data Vlaue (Cr)'!$C:$FB,144)</f>
        <v>262.02</v>
      </c>
      <c r="F56" s="50">
        <f>VLOOKUP($A56,'Data Vlaue (Cr)'!$C:$FB,146)*100</f>
        <v>10.97</v>
      </c>
      <c r="G56" s="49">
        <f>VLOOKUP($A56,'Data Vlaue (Cr)'!$C:$FB,43)</f>
        <v>46</v>
      </c>
      <c r="H56" s="49">
        <f>VLOOKUP($A56,'Data Vlaue (Cr)'!$C:$FB,44)</f>
        <v>72</v>
      </c>
      <c r="I56" s="49">
        <f>VLOOKUP($A56,'Data Vlaue (Cr)'!$C:$FB,46)*100</f>
        <v>-36.340000000000003</v>
      </c>
      <c r="J56" s="51">
        <f>VLOOKUP($A56,'Data Vlaue (Cr)'!$C:$FB,59)</f>
        <v>194</v>
      </c>
      <c r="K56" s="51">
        <f>VLOOKUP($A56,'Data Vlaue (Cr)'!$C:$FB,60)</f>
        <v>127</v>
      </c>
      <c r="L56" s="51">
        <f>VLOOKUP($A56,'Data Vlaue (Cr)'!$C:$FB,62)*100</f>
        <v>53.02</v>
      </c>
      <c r="M56" s="51">
        <f>VLOOKUP($A56,'Data Vlaue (Cr)'!$C:$FB,63)</f>
        <v>37</v>
      </c>
      <c r="N56" s="51">
        <f>VLOOKUP($A56,'Data Vlaue (Cr)'!$C:$FB,64)</f>
        <v>57</v>
      </c>
      <c r="O56" s="51">
        <f>VLOOKUP($A56,'Data Vlaue (Cr)'!$C:$FB,66)*100</f>
        <v>-35.630000000000003</v>
      </c>
    </row>
    <row r="57" spans="1:15" x14ac:dyDescent="0.25">
      <c r="A57" s="101" t="str">
        <f>'Data Vlaue (Cr)'!C52</f>
        <v>DABUR</v>
      </c>
      <c r="B57" s="50">
        <f>VLOOKUP($A57,'Data Vlaue (Cr)'!$C:$FB,8)</f>
        <v>489.7</v>
      </c>
      <c r="C57" s="50">
        <f>VLOOKUP($A57,'Data Vlaue (Cr)'!$C:$FB,11)*100</f>
        <v>0.89</v>
      </c>
      <c r="D57" s="50">
        <f>VLOOKUP($A57,'Data Vlaue (Cr)'!$C:$FB,143)</f>
        <v>828.11</v>
      </c>
      <c r="E57" s="50">
        <f>VLOOKUP($A57,'Data Vlaue (Cr)'!$C:$FB,144)</f>
        <v>1174.24</v>
      </c>
      <c r="F57" s="50">
        <f>VLOOKUP($A57,'Data Vlaue (Cr)'!$C:$FB,146)*100</f>
        <v>-29.48</v>
      </c>
      <c r="G57" s="49">
        <f>VLOOKUP($A57,'Data Vlaue (Cr)'!$C:$FB,43)</f>
        <v>117</v>
      </c>
      <c r="H57" s="49">
        <f>VLOOKUP($A57,'Data Vlaue (Cr)'!$C:$FB,44)</f>
        <v>174</v>
      </c>
      <c r="I57" s="49">
        <f>VLOOKUP($A57,'Data Vlaue (Cr)'!$C:$FB,46)*100</f>
        <v>-32.92</v>
      </c>
      <c r="J57" s="51">
        <f>VLOOKUP($A57,'Data Vlaue (Cr)'!$C:$FB,59)</f>
        <v>501</v>
      </c>
      <c r="K57" s="51">
        <f>VLOOKUP($A57,'Data Vlaue (Cr)'!$C:$FB,60)</f>
        <v>689</v>
      </c>
      <c r="L57" s="51">
        <f>VLOOKUP($A57,'Data Vlaue (Cr)'!$C:$FB,62)*100</f>
        <v>-27.26</v>
      </c>
      <c r="M57" s="51">
        <f>VLOOKUP($A57,'Data Vlaue (Cr)'!$C:$FB,63)</f>
        <v>194</v>
      </c>
      <c r="N57" s="51">
        <f>VLOOKUP($A57,'Data Vlaue (Cr)'!$C:$FB,64)</f>
        <v>298</v>
      </c>
      <c r="O57" s="51">
        <f>VLOOKUP($A57,'Data Vlaue (Cr)'!$C:$FB,66)*100</f>
        <v>-34.770000000000003</v>
      </c>
    </row>
    <row r="58" spans="1:15" x14ac:dyDescent="0.25">
      <c r="A58" s="101" t="str">
        <f>'Data Vlaue (Cr)'!C53</f>
        <v>DALBHARAT</v>
      </c>
      <c r="B58" s="50">
        <f>VLOOKUP($A58,'Data Vlaue (Cr)'!$C:$FB,8)</f>
        <v>2227.6999999999998</v>
      </c>
      <c r="C58" s="50">
        <f>VLOOKUP($A58,'Data Vlaue (Cr)'!$C:$FB,11)*100</f>
        <v>-0.31</v>
      </c>
      <c r="D58" s="50">
        <f>VLOOKUP($A58,'Data Vlaue (Cr)'!$C:$FB,143)</f>
        <v>178.66</v>
      </c>
      <c r="E58" s="50">
        <f>VLOOKUP($A58,'Data Vlaue (Cr)'!$C:$FB,144)</f>
        <v>289.89</v>
      </c>
      <c r="F58" s="50">
        <f>VLOOKUP($A58,'Data Vlaue (Cr)'!$C:$FB,146)*100</f>
        <v>-38.369999999999997</v>
      </c>
      <c r="G58" s="49">
        <f>VLOOKUP($A58,'Data Vlaue (Cr)'!$C:$FB,43)</f>
        <v>71</v>
      </c>
      <c r="H58" s="49">
        <f>VLOOKUP($A58,'Data Vlaue (Cr)'!$C:$FB,44)</f>
        <v>110</v>
      </c>
      <c r="I58" s="49">
        <f>VLOOKUP($A58,'Data Vlaue (Cr)'!$C:$FB,46)*100</f>
        <v>-36.01</v>
      </c>
      <c r="J58" s="51">
        <f>VLOOKUP($A58,'Data Vlaue (Cr)'!$C:$FB,59)</f>
        <v>61</v>
      </c>
      <c r="K58" s="51">
        <f>VLOOKUP($A58,'Data Vlaue (Cr)'!$C:$FB,60)</f>
        <v>83</v>
      </c>
      <c r="L58" s="51">
        <f>VLOOKUP($A58,'Data Vlaue (Cr)'!$C:$FB,62)*100</f>
        <v>-26.5</v>
      </c>
      <c r="M58" s="51">
        <f>VLOOKUP($A58,'Data Vlaue (Cr)'!$C:$FB,63)</f>
        <v>44</v>
      </c>
      <c r="N58" s="51">
        <f>VLOOKUP($A58,'Data Vlaue (Cr)'!$C:$FB,64)</f>
        <v>91</v>
      </c>
      <c r="O58" s="51">
        <f>VLOOKUP($A58,'Data Vlaue (Cr)'!$C:$FB,66)*100</f>
        <v>-52.31</v>
      </c>
    </row>
    <row r="59" spans="1:15" x14ac:dyDescent="0.25">
      <c r="A59" s="101" t="str">
        <f>'Data Vlaue (Cr)'!C54</f>
        <v>DELHIVERY</v>
      </c>
      <c r="B59" s="50">
        <f>VLOOKUP($A59,'Data Vlaue (Cr)'!$C:$FB,8)</f>
        <v>464.85</v>
      </c>
      <c r="C59" s="50">
        <f>VLOOKUP($A59,'Data Vlaue (Cr)'!$C:$FB,11)*100</f>
        <v>-0.67</v>
      </c>
      <c r="D59" s="50">
        <f>VLOOKUP($A59,'Data Vlaue (Cr)'!$C:$FB,143)</f>
        <v>755.7</v>
      </c>
      <c r="E59" s="50">
        <f>VLOOKUP($A59,'Data Vlaue (Cr)'!$C:$FB,144)</f>
        <v>896.81</v>
      </c>
      <c r="F59" s="50">
        <f>VLOOKUP($A59,'Data Vlaue (Cr)'!$C:$FB,146)*100</f>
        <v>-15.73</v>
      </c>
      <c r="G59" s="49">
        <f>VLOOKUP($A59,'Data Vlaue (Cr)'!$C:$FB,43)</f>
        <v>180</v>
      </c>
      <c r="H59" s="49">
        <f>VLOOKUP($A59,'Data Vlaue (Cr)'!$C:$FB,44)</f>
        <v>149</v>
      </c>
      <c r="I59" s="49">
        <f>VLOOKUP($A59,'Data Vlaue (Cr)'!$C:$FB,46)*100</f>
        <v>21.04</v>
      </c>
      <c r="J59" s="51">
        <f>VLOOKUP($A59,'Data Vlaue (Cr)'!$C:$FB,59)</f>
        <v>349</v>
      </c>
      <c r="K59" s="51">
        <f>VLOOKUP($A59,'Data Vlaue (Cr)'!$C:$FB,60)</f>
        <v>484</v>
      </c>
      <c r="L59" s="51">
        <f>VLOOKUP($A59,'Data Vlaue (Cr)'!$C:$FB,62)*100</f>
        <v>-27.860000000000003</v>
      </c>
      <c r="M59" s="51">
        <f>VLOOKUP($A59,'Data Vlaue (Cr)'!$C:$FB,63)</f>
        <v>211</v>
      </c>
      <c r="N59" s="51">
        <f>VLOOKUP($A59,'Data Vlaue (Cr)'!$C:$FB,64)</f>
        <v>239</v>
      </c>
      <c r="O59" s="51">
        <f>VLOOKUP($A59,'Data Vlaue (Cr)'!$C:$FB,66)*100</f>
        <v>-11.87</v>
      </c>
    </row>
    <row r="60" spans="1:15" x14ac:dyDescent="0.25">
      <c r="A60" s="101" t="str">
        <f>'Data Vlaue (Cr)'!C55</f>
        <v>DIVISLAB</v>
      </c>
      <c r="B60" s="50">
        <f>VLOOKUP($A60,'Data Vlaue (Cr)'!$C:$FB,8)</f>
        <v>6474.5</v>
      </c>
      <c r="C60" s="50">
        <f>VLOOKUP($A60,'Data Vlaue (Cr)'!$C:$FB,11)*100</f>
        <v>5.59</v>
      </c>
      <c r="D60" s="50">
        <f>VLOOKUP($A60,'Data Vlaue (Cr)'!$C:$FB,143)</f>
        <v>14199.44</v>
      </c>
      <c r="E60" s="50">
        <f>VLOOKUP($A60,'Data Vlaue (Cr)'!$C:$FB,144)</f>
        <v>1892.12</v>
      </c>
      <c r="F60" s="50">
        <f>VLOOKUP($A60,'Data Vlaue (Cr)'!$C:$FB,146)*100</f>
        <v>650.45000000000005</v>
      </c>
      <c r="G60" s="49">
        <f>VLOOKUP($A60,'Data Vlaue (Cr)'!$C:$FB,43)</f>
        <v>878</v>
      </c>
      <c r="H60" s="49">
        <f>VLOOKUP($A60,'Data Vlaue (Cr)'!$C:$FB,44)</f>
        <v>188</v>
      </c>
      <c r="I60" s="49">
        <f>VLOOKUP($A60,'Data Vlaue (Cr)'!$C:$FB,46)*100</f>
        <v>367.91</v>
      </c>
      <c r="J60" s="51">
        <f>VLOOKUP($A60,'Data Vlaue (Cr)'!$C:$FB,59)</f>
        <v>9502</v>
      </c>
      <c r="K60" s="51">
        <f>VLOOKUP($A60,'Data Vlaue (Cr)'!$C:$FB,60)</f>
        <v>1207</v>
      </c>
      <c r="L60" s="51">
        <f>VLOOKUP($A60,'Data Vlaue (Cr)'!$C:$FB,62)*100</f>
        <v>687</v>
      </c>
      <c r="M60" s="51">
        <f>VLOOKUP($A60,'Data Vlaue (Cr)'!$C:$FB,63)</f>
        <v>3659</v>
      </c>
      <c r="N60" s="51">
        <f>VLOOKUP($A60,'Data Vlaue (Cr)'!$C:$FB,64)</f>
        <v>552</v>
      </c>
      <c r="O60" s="51">
        <f>VLOOKUP($A60,'Data Vlaue (Cr)'!$C:$FB,66)*100</f>
        <v>562.69000000000005</v>
      </c>
    </row>
    <row r="61" spans="1:15" x14ac:dyDescent="0.25">
      <c r="A61" s="101" t="str">
        <f>'Data Vlaue (Cr)'!C56</f>
        <v>DIXON</v>
      </c>
      <c r="B61" s="50">
        <f>VLOOKUP($A61,'Data Vlaue (Cr)'!$C:$FB,8)</f>
        <v>17445</v>
      </c>
      <c r="C61" s="50">
        <f>VLOOKUP($A61,'Data Vlaue (Cr)'!$C:$FB,11)*100</f>
        <v>2.0299999999999998</v>
      </c>
      <c r="D61" s="50">
        <f>VLOOKUP($A61,'Data Vlaue (Cr)'!$C:$FB,143)</f>
        <v>5134.1400000000003</v>
      </c>
      <c r="E61" s="50">
        <f>VLOOKUP($A61,'Data Vlaue (Cr)'!$C:$FB,144)</f>
        <v>3057.99</v>
      </c>
      <c r="F61" s="50">
        <f>VLOOKUP($A61,'Data Vlaue (Cr)'!$C:$FB,146)*100</f>
        <v>67.89</v>
      </c>
      <c r="G61" s="49">
        <f>VLOOKUP($A61,'Data Vlaue (Cr)'!$C:$FB,43)</f>
        <v>590</v>
      </c>
      <c r="H61" s="49">
        <f>VLOOKUP($A61,'Data Vlaue (Cr)'!$C:$FB,44)</f>
        <v>316</v>
      </c>
      <c r="I61" s="49">
        <f>VLOOKUP($A61,'Data Vlaue (Cr)'!$C:$FB,46)*100</f>
        <v>86.59</v>
      </c>
      <c r="J61" s="51">
        <f>VLOOKUP($A61,'Data Vlaue (Cr)'!$C:$FB,59)</f>
        <v>2949</v>
      </c>
      <c r="K61" s="51">
        <f>VLOOKUP($A61,'Data Vlaue (Cr)'!$C:$FB,60)</f>
        <v>1692</v>
      </c>
      <c r="L61" s="51">
        <f>VLOOKUP($A61,'Data Vlaue (Cr)'!$C:$FB,62)*100</f>
        <v>74.319999999999993</v>
      </c>
      <c r="M61" s="51">
        <f>VLOOKUP($A61,'Data Vlaue (Cr)'!$C:$FB,63)</f>
        <v>1553</v>
      </c>
      <c r="N61" s="51">
        <f>VLOOKUP($A61,'Data Vlaue (Cr)'!$C:$FB,64)</f>
        <v>1078</v>
      </c>
      <c r="O61" s="51">
        <f>VLOOKUP($A61,'Data Vlaue (Cr)'!$C:$FB,66)*100</f>
        <v>44.1</v>
      </c>
    </row>
    <row r="62" spans="1:15" x14ac:dyDescent="0.25">
      <c r="A62" s="101" t="str">
        <f>'Data Vlaue (Cr)'!C57</f>
        <v>DLF</v>
      </c>
      <c r="B62" s="50">
        <f>VLOOKUP($A62,'Data Vlaue (Cr)'!$C:$FB,8)</f>
        <v>740.2</v>
      </c>
      <c r="C62" s="50">
        <f>VLOOKUP($A62,'Data Vlaue (Cr)'!$C:$FB,11)*100</f>
        <v>1.54</v>
      </c>
      <c r="D62" s="50">
        <f>VLOOKUP($A62,'Data Vlaue (Cr)'!$C:$FB,143)</f>
        <v>3327.34</v>
      </c>
      <c r="E62" s="50">
        <f>VLOOKUP($A62,'Data Vlaue (Cr)'!$C:$FB,144)</f>
        <v>1430.75</v>
      </c>
      <c r="F62" s="50">
        <f>VLOOKUP($A62,'Data Vlaue (Cr)'!$C:$FB,146)*100</f>
        <v>132.56</v>
      </c>
      <c r="G62" s="49">
        <f>VLOOKUP($A62,'Data Vlaue (Cr)'!$C:$FB,43)</f>
        <v>511</v>
      </c>
      <c r="H62" s="49">
        <f>VLOOKUP($A62,'Data Vlaue (Cr)'!$C:$FB,44)</f>
        <v>338</v>
      </c>
      <c r="I62" s="49">
        <f>VLOOKUP($A62,'Data Vlaue (Cr)'!$C:$FB,46)*100</f>
        <v>51.019999999999996</v>
      </c>
      <c r="J62" s="51">
        <f>VLOOKUP($A62,'Data Vlaue (Cr)'!$C:$FB,59)</f>
        <v>1970</v>
      </c>
      <c r="K62" s="51">
        <f>VLOOKUP($A62,'Data Vlaue (Cr)'!$C:$FB,60)</f>
        <v>813</v>
      </c>
      <c r="L62" s="51">
        <f>VLOOKUP($A62,'Data Vlaue (Cr)'!$C:$FB,62)*100</f>
        <v>142.30000000000001</v>
      </c>
      <c r="M62" s="51">
        <f>VLOOKUP($A62,'Data Vlaue (Cr)'!$C:$FB,63)</f>
        <v>789</v>
      </c>
      <c r="N62" s="51">
        <f>VLOOKUP($A62,'Data Vlaue (Cr)'!$C:$FB,64)</f>
        <v>268</v>
      </c>
      <c r="O62" s="51">
        <f>VLOOKUP($A62,'Data Vlaue (Cr)'!$C:$FB,66)*100</f>
        <v>194.67000000000002</v>
      </c>
    </row>
    <row r="63" spans="1:15" x14ac:dyDescent="0.25">
      <c r="A63" s="101" t="str">
        <f>'Data Vlaue (Cr)'!C58</f>
        <v>DMART</v>
      </c>
      <c r="B63" s="50">
        <f>VLOOKUP($A63,'Data Vlaue (Cr)'!$C:$FB,8)</f>
        <v>4320.3999999999996</v>
      </c>
      <c r="C63" s="50">
        <f>VLOOKUP($A63,'Data Vlaue (Cr)'!$C:$FB,11)*100</f>
        <v>0.36</v>
      </c>
      <c r="D63" s="50">
        <f>VLOOKUP($A63,'Data Vlaue (Cr)'!$C:$FB,143)</f>
        <v>4971.67</v>
      </c>
      <c r="E63" s="50">
        <f>VLOOKUP($A63,'Data Vlaue (Cr)'!$C:$FB,144)</f>
        <v>1177.3</v>
      </c>
      <c r="F63" s="50">
        <f>VLOOKUP($A63,'Data Vlaue (Cr)'!$C:$FB,146)*100</f>
        <v>322.29000000000002</v>
      </c>
      <c r="G63" s="49">
        <f>VLOOKUP($A63,'Data Vlaue (Cr)'!$C:$FB,43)</f>
        <v>469</v>
      </c>
      <c r="H63" s="49">
        <f>VLOOKUP($A63,'Data Vlaue (Cr)'!$C:$FB,44)</f>
        <v>193</v>
      </c>
      <c r="I63" s="49">
        <f>VLOOKUP($A63,'Data Vlaue (Cr)'!$C:$FB,46)*100</f>
        <v>143.44</v>
      </c>
      <c r="J63" s="51">
        <f>VLOOKUP($A63,'Data Vlaue (Cr)'!$C:$FB,59)</f>
        <v>3004</v>
      </c>
      <c r="K63" s="51">
        <f>VLOOKUP($A63,'Data Vlaue (Cr)'!$C:$FB,60)</f>
        <v>693</v>
      </c>
      <c r="L63" s="51">
        <f>VLOOKUP($A63,'Data Vlaue (Cr)'!$C:$FB,62)*100</f>
        <v>333.52</v>
      </c>
      <c r="M63" s="51">
        <f>VLOOKUP($A63,'Data Vlaue (Cr)'!$C:$FB,63)</f>
        <v>1331</v>
      </c>
      <c r="N63" s="51">
        <f>VLOOKUP($A63,'Data Vlaue (Cr)'!$C:$FB,64)</f>
        <v>263</v>
      </c>
      <c r="O63" s="51">
        <f>VLOOKUP($A63,'Data Vlaue (Cr)'!$C:$FB,66)*100</f>
        <v>406.98999999999995</v>
      </c>
    </row>
    <row r="64" spans="1:15" x14ac:dyDescent="0.25">
      <c r="A64" s="101" t="str">
        <f>'Data Vlaue (Cr)'!C59</f>
        <v>DRREDDY</v>
      </c>
      <c r="B64" s="50">
        <f>VLOOKUP($A64,'Data Vlaue (Cr)'!$C:$FB,8)</f>
        <v>1264.4000000000001</v>
      </c>
      <c r="C64" s="50">
        <f>VLOOKUP($A64,'Data Vlaue (Cr)'!$C:$FB,11)*100</f>
        <v>1.47</v>
      </c>
      <c r="D64" s="50">
        <f>VLOOKUP($A64,'Data Vlaue (Cr)'!$C:$FB,143)</f>
        <v>1654.07</v>
      </c>
      <c r="E64" s="50">
        <f>VLOOKUP($A64,'Data Vlaue (Cr)'!$C:$FB,144)</f>
        <v>2665.1</v>
      </c>
      <c r="F64" s="50">
        <f>VLOOKUP($A64,'Data Vlaue (Cr)'!$C:$FB,146)*100</f>
        <v>-37.940000000000005</v>
      </c>
      <c r="G64" s="49">
        <f>VLOOKUP($A64,'Data Vlaue (Cr)'!$C:$FB,43)</f>
        <v>307</v>
      </c>
      <c r="H64" s="49">
        <f>VLOOKUP($A64,'Data Vlaue (Cr)'!$C:$FB,44)</f>
        <v>408</v>
      </c>
      <c r="I64" s="49">
        <f>VLOOKUP($A64,'Data Vlaue (Cr)'!$C:$FB,46)*100</f>
        <v>-24.82</v>
      </c>
      <c r="J64" s="51">
        <f>VLOOKUP($A64,'Data Vlaue (Cr)'!$C:$FB,59)</f>
        <v>978</v>
      </c>
      <c r="K64" s="51">
        <f>VLOOKUP($A64,'Data Vlaue (Cr)'!$C:$FB,60)</f>
        <v>1740</v>
      </c>
      <c r="L64" s="51">
        <f>VLOOKUP($A64,'Data Vlaue (Cr)'!$C:$FB,62)*100</f>
        <v>-43.76</v>
      </c>
      <c r="M64" s="51">
        <f>VLOOKUP($A64,'Data Vlaue (Cr)'!$C:$FB,63)</f>
        <v>348</v>
      </c>
      <c r="N64" s="51">
        <f>VLOOKUP($A64,'Data Vlaue (Cr)'!$C:$FB,64)</f>
        <v>484</v>
      </c>
      <c r="O64" s="51">
        <f>VLOOKUP($A64,'Data Vlaue (Cr)'!$C:$FB,66)*100</f>
        <v>-27.98</v>
      </c>
    </row>
    <row r="65" spans="1:15" x14ac:dyDescent="0.25">
      <c r="A65" s="101" t="str">
        <f>'Data Vlaue (Cr)'!C60</f>
        <v>EICHERMOT</v>
      </c>
      <c r="B65" s="50">
        <f>VLOOKUP($A65,'Data Vlaue (Cr)'!$C:$FB,8)</f>
        <v>6965</v>
      </c>
      <c r="C65" s="50">
        <f>VLOOKUP($A65,'Data Vlaue (Cr)'!$C:$FB,11)*100</f>
        <v>0.9900000000000001</v>
      </c>
      <c r="D65" s="50">
        <f>VLOOKUP($A65,'Data Vlaue (Cr)'!$C:$FB,143)</f>
        <v>2604.5500000000002</v>
      </c>
      <c r="E65" s="50">
        <f>VLOOKUP($A65,'Data Vlaue (Cr)'!$C:$FB,144)</f>
        <v>3440.55</v>
      </c>
      <c r="F65" s="50">
        <f>VLOOKUP($A65,'Data Vlaue (Cr)'!$C:$FB,146)*100</f>
        <v>-24.3</v>
      </c>
      <c r="G65" s="49">
        <f>VLOOKUP($A65,'Data Vlaue (Cr)'!$C:$FB,43)</f>
        <v>361</v>
      </c>
      <c r="H65" s="49">
        <f>VLOOKUP($A65,'Data Vlaue (Cr)'!$C:$FB,44)</f>
        <v>475</v>
      </c>
      <c r="I65" s="49">
        <f>VLOOKUP($A65,'Data Vlaue (Cr)'!$C:$FB,46)*100</f>
        <v>-23.96</v>
      </c>
      <c r="J65" s="51">
        <f>VLOOKUP($A65,'Data Vlaue (Cr)'!$C:$FB,59)</f>
        <v>1409</v>
      </c>
      <c r="K65" s="51">
        <f>VLOOKUP($A65,'Data Vlaue (Cr)'!$C:$FB,60)</f>
        <v>1664</v>
      </c>
      <c r="L65" s="51">
        <f>VLOOKUP($A65,'Data Vlaue (Cr)'!$C:$FB,62)*100</f>
        <v>-15.340000000000002</v>
      </c>
      <c r="M65" s="51">
        <f>VLOOKUP($A65,'Data Vlaue (Cr)'!$C:$FB,63)</f>
        <v>805</v>
      </c>
      <c r="N65" s="51">
        <f>VLOOKUP($A65,'Data Vlaue (Cr)'!$C:$FB,64)</f>
        <v>1286</v>
      </c>
      <c r="O65" s="51">
        <f>VLOOKUP($A65,'Data Vlaue (Cr)'!$C:$FB,66)*100</f>
        <v>-37.4</v>
      </c>
    </row>
    <row r="66" spans="1:15" x14ac:dyDescent="0.25">
      <c r="A66" s="101" t="str">
        <f>'Data Vlaue (Cr)'!C61</f>
        <v>ETERNAL</v>
      </c>
      <c r="B66" s="50">
        <f>VLOOKUP($A66,'Data Vlaue (Cr)'!$C:$FB,8)</f>
        <v>348.3</v>
      </c>
      <c r="C66" s="50">
        <f>VLOOKUP($A66,'Data Vlaue (Cr)'!$C:$FB,11)*100</f>
        <v>0.80999999999999994</v>
      </c>
      <c r="D66" s="50">
        <f>VLOOKUP($A66,'Data Vlaue (Cr)'!$C:$FB,143)</f>
        <v>3973.97</v>
      </c>
      <c r="E66" s="50">
        <f>VLOOKUP($A66,'Data Vlaue (Cr)'!$C:$FB,144)</f>
        <v>6267.04</v>
      </c>
      <c r="F66" s="50">
        <f>VLOOKUP($A66,'Data Vlaue (Cr)'!$C:$FB,146)*100</f>
        <v>-36.590000000000003</v>
      </c>
      <c r="G66" s="49">
        <f>VLOOKUP($A66,'Data Vlaue (Cr)'!$C:$FB,43)</f>
        <v>788</v>
      </c>
      <c r="H66" s="49">
        <f>VLOOKUP($A66,'Data Vlaue (Cr)'!$C:$FB,44)</f>
        <v>1003</v>
      </c>
      <c r="I66" s="49">
        <f>VLOOKUP($A66,'Data Vlaue (Cr)'!$C:$FB,46)*100</f>
        <v>-21.46</v>
      </c>
      <c r="J66" s="51">
        <f>VLOOKUP($A66,'Data Vlaue (Cr)'!$C:$FB,59)</f>
        <v>1880</v>
      </c>
      <c r="K66" s="51">
        <f>VLOOKUP($A66,'Data Vlaue (Cr)'!$C:$FB,60)</f>
        <v>3349</v>
      </c>
      <c r="L66" s="51">
        <f>VLOOKUP($A66,'Data Vlaue (Cr)'!$C:$FB,62)*100</f>
        <v>-43.85</v>
      </c>
      <c r="M66" s="51">
        <f>VLOOKUP($A66,'Data Vlaue (Cr)'!$C:$FB,63)</f>
        <v>1290</v>
      </c>
      <c r="N66" s="51">
        <f>VLOOKUP($A66,'Data Vlaue (Cr)'!$C:$FB,64)</f>
        <v>1929</v>
      </c>
      <c r="O66" s="51">
        <f>VLOOKUP($A66,'Data Vlaue (Cr)'!$C:$FB,66)*100</f>
        <v>-33.129999999999995</v>
      </c>
    </row>
    <row r="67" spans="1:15" x14ac:dyDescent="0.25">
      <c r="A67" s="101" t="str">
        <f>'Data Vlaue (Cr)'!C62</f>
        <v>EXIDEIND</v>
      </c>
      <c r="B67" s="50">
        <f>VLOOKUP($A67,'Data Vlaue (Cr)'!$C:$FB,8)</f>
        <v>400.65</v>
      </c>
      <c r="C67" s="50">
        <f>VLOOKUP($A67,'Data Vlaue (Cr)'!$C:$FB,11)*100</f>
        <v>0.77</v>
      </c>
      <c r="D67" s="50">
        <f>VLOOKUP($A67,'Data Vlaue (Cr)'!$C:$FB,143)</f>
        <v>1220.05</v>
      </c>
      <c r="E67" s="50">
        <f>VLOOKUP($A67,'Data Vlaue (Cr)'!$C:$FB,144)</f>
        <v>1261.3</v>
      </c>
      <c r="F67" s="50">
        <f>VLOOKUP($A67,'Data Vlaue (Cr)'!$C:$FB,146)*100</f>
        <v>-3.27</v>
      </c>
      <c r="G67" s="49">
        <f>VLOOKUP($A67,'Data Vlaue (Cr)'!$C:$FB,43)</f>
        <v>202</v>
      </c>
      <c r="H67" s="49">
        <f>VLOOKUP($A67,'Data Vlaue (Cr)'!$C:$FB,44)</f>
        <v>248</v>
      </c>
      <c r="I67" s="49">
        <f>VLOOKUP($A67,'Data Vlaue (Cr)'!$C:$FB,46)*100</f>
        <v>-18.86</v>
      </c>
      <c r="J67" s="51">
        <f>VLOOKUP($A67,'Data Vlaue (Cr)'!$C:$FB,59)</f>
        <v>529</v>
      </c>
      <c r="K67" s="51">
        <f>VLOOKUP($A67,'Data Vlaue (Cr)'!$C:$FB,60)</f>
        <v>532</v>
      </c>
      <c r="L67" s="51">
        <f>VLOOKUP($A67,'Data Vlaue (Cr)'!$C:$FB,62)*100</f>
        <v>-0.53</v>
      </c>
      <c r="M67" s="51">
        <f>VLOOKUP($A67,'Data Vlaue (Cr)'!$C:$FB,63)</f>
        <v>475</v>
      </c>
      <c r="N67" s="51">
        <f>VLOOKUP($A67,'Data Vlaue (Cr)'!$C:$FB,64)</f>
        <v>473</v>
      </c>
      <c r="O67" s="51">
        <f>VLOOKUP($A67,'Data Vlaue (Cr)'!$C:$FB,66)*100</f>
        <v>0.32</v>
      </c>
    </row>
    <row r="68" spans="1:15" x14ac:dyDescent="0.25">
      <c r="A68" s="101" t="str">
        <f>'Data Vlaue (Cr)'!C63</f>
        <v>FEDERALBNK</v>
      </c>
      <c r="B68" s="50">
        <f>VLOOKUP($A68,'Data Vlaue (Cr)'!$C:$FB,8)</f>
        <v>208.3</v>
      </c>
      <c r="C68" s="50">
        <f>VLOOKUP($A68,'Data Vlaue (Cr)'!$C:$FB,11)*100</f>
        <v>0.45999999999999996</v>
      </c>
      <c r="D68" s="50">
        <f>VLOOKUP($A68,'Data Vlaue (Cr)'!$C:$FB,143)</f>
        <v>4118.21</v>
      </c>
      <c r="E68" s="50">
        <f>VLOOKUP($A68,'Data Vlaue (Cr)'!$C:$FB,144)</f>
        <v>5069.16</v>
      </c>
      <c r="F68" s="50">
        <f>VLOOKUP($A68,'Data Vlaue (Cr)'!$C:$FB,146)*100</f>
        <v>-18.759999999999998</v>
      </c>
      <c r="G68" s="49">
        <f>VLOOKUP($A68,'Data Vlaue (Cr)'!$C:$FB,43)</f>
        <v>674</v>
      </c>
      <c r="H68" s="49">
        <f>VLOOKUP($A68,'Data Vlaue (Cr)'!$C:$FB,44)</f>
        <v>796</v>
      </c>
      <c r="I68" s="49">
        <f>VLOOKUP($A68,'Data Vlaue (Cr)'!$C:$FB,46)*100</f>
        <v>-15.39</v>
      </c>
      <c r="J68" s="51">
        <f>VLOOKUP($A68,'Data Vlaue (Cr)'!$C:$FB,59)</f>
        <v>2063</v>
      </c>
      <c r="K68" s="51">
        <f>VLOOKUP($A68,'Data Vlaue (Cr)'!$C:$FB,60)</f>
        <v>2939</v>
      </c>
      <c r="L68" s="51">
        <f>VLOOKUP($A68,'Data Vlaue (Cr)'!$C:$FB,62)*100</f>
        <v>-29.799999999999997</v>
      </c>
      <c r="M68" s="51">
        <f>VLOOKUP($A68,'Data Vlaue (Cr)'!$C:$FB,63)</f>
        <v>1324</v>
      </c>
      <c r="N68" s="51">
        <f>VLOOKUP($A68,'Data Vlaue (Cr)'!$C:$FB,64)</f>
        <v>1315</v>
      </c>
      <c r="O68" s="51">
        <f>VLOOKUP($A68,'Data Vlaue (Cr)'!$C:$FB,66)*100</f>
        <v>0.64</v>
      </c>
    </row>
    <row r="69" spans="1:15" x14ac:dyDescent="0.25">
      <c r="A69" s="101" t="str">
        <f>'Data Vlaue (Cr)'!C64</f>
        <v>FINNIFTY</v>
      </c>
      <c r="B69" s="50">
        <f>VLOOKUP($A69,'Data Vlaue (Cr)'!$C:$FB,8)</f>
        <v>26842.25</v>
      </c>
      <c r="C69" s="50">
        <f>VLOOKUP($A69,'Data Vlaue (Cr)'!$C:$FB,11)*100</f>
        <v>0.44</v>
      </c>
      <c r="D69" s="50">
        <f>VLOOKUP($A69,'Data Vlaue (Cr)'!$C:$FB,143)</f>
        <v>10618.97</v>
      </c>
      <c r="E69" s="50">
        <f>VLOOKUP($A69,'Data Vlaue (Cr)'!$C:$FB,144)</f>
        <v>7527.69</v>
      </c>
      <c r="F69" s="50">
        <f>VLOOKUP($A69,'Data Vlaue (Cr)'!$C:$FB,146)*100</f>
        <v>41.07</v>
      </c>
      <c r="G69" s="49">
        <f>VLOOKUP($A69,'Data Vlaue (Cr)'!$C:$FB,43)</f>
        <v>66</v>
      </c>
      <c r="H69" s="49">
        <f>VLOOKUP($A69,'Data Vlaue (Cr)'!$C:$FB,44)</f>
        <v>60</v>
      </c>
      <c r="I69" s="49">
        <f>VLOOKUP($A69,'Data Vlaue (Cr)'!$C:$FB,46)*100</f>
        <v>11.14</v>
      </c>
      <c r="J69" s="51">
        <f>VLOOKUP($A69,'Data Vlaue (Cr)'!$C:$FB,59)</f>
        <v>6878</v>
      </c>
      <c r="K69" s="51">
        <f>VLOOKUP($A69,'Data Vlaue (Cr)'!$C:$FB,60)</f>
        <v>4588</v>
      </c>
      <c r="L69" s="51">
        <f>VLOOKUP($A69,'Data Vlaue (Cr)'!$C:$FB,62)*100</f>
        <v>49.919999999999995</v>
      </c>
      <c r="M69" s="51">
        <f>VLOOKUP($A69,'Data Vlaue (Cr)'!$C:$FB,63)</f>
        <v>3593</v>
      </c>
      <c r="N69" s="51">
        <f>VLOOKUP($A69,'Data Vlaue (Cr)'!$C:$FB,64)</f>
        <v>2872</v>
      </c>
      <c r="O69" s="51">
        <f>VLOOKUP($A69,'Data Vlaue (Cr)'!$C:$FB,66)*100</f>
        <v>25.119999999999997</v>
      </c>
    </row>
    <row r="70" spans="1:15" x14ac:dyDescent="0.25">
      <c r="A70" s="101" t="str">
        <f>'Data Vlaue (Cr)'!C65</f>
        <v>FORTIS</v>
      </c>
      <c r="B70" s="50">
        <f>VLOOKUP($A70,'Data Vlaue (Cr)'!$C:$FB,8)</f>
        <v>1060.3</v>
      </c>
      <c r="C70" s="50">
        <f>VLOOKUP($A70,'Data Vlaue (Cr)'!$C:$FB,11)*100</f>
        <v>-0.8</v>
      </c>
      <c r="D70" s="50">
        <f>VLOOKUP($A70,'Data Vlaue (Cr)'!$C:$FB,143)</f>
        <v>1023.78</v>
      </c>
      <c r="E70" s="50">
        <f>VLOOKUP($A70,'Data Vlaue (Cr)'!$C:$FB,144)</f>
        <v>1499.87</v>
      </c>
      <c r="F70" s="50">
        <f>VLOOKUP($A70,'Data Vlaue (Cr)'!$C:$FB,146)*100</f>
        <v>-31.740000000000002</v>
      </c>
      <c r="G70" s="49">
        <f>VLOOKUP($A70,'Data Vlaue (Cr)'!$C:$FB,43)</f>
        <v>206</v>
      </c>
      <c r="H70" s="49">
        <f>VLOOKUP($A70,'Data Vlaue (Cr)'!$C:$FB,44)</f>
        <v>185</v>
      </c>
      <c r="I70" s="49">
        <f>VLOOKUP($A70,'Data Vlaue (Cr)'!$C:$FB,46)*100</f>
        <v>11.33</v>
      </c>
      <c r="J70" s="51">
        <f>VLOOKUP($A70,'Data Vlaue (Cr)'!$C:$FB,59)</f>
        <v>478</v>
      </c>
      <c r="K70" s="51">
        <f>VLOOKUP($A70,'Data Vlaue (Cr)'!$C:$FB,60)</f>
        <v>871</v>
      </c>
      <c r="L70" s="51">
        <f>VLOOKUP($A70,'Data Vlaue (Cr)'!$C:$FB,62)*100</f>
        <v>-45.11</v>
      </c>
      <c r="M70" s="51">
        <f>VLOOKUP($A70,'Data Vlaue (Cr)'!$C:$FB,63)</f>
        <v>330</v>
      </c>
      <c r="N70" s="51">
        <f>VLOOKUP($A70,'Data Vlaue (Cr)'!$C:$FB,64)</f>
        <v>419</v>
      </c>
      <c r="O70" s="51">
        <f>VLOOKUP($A70,'Data Vlaue (Cr)'!$C:$FB,66)*100</f>
        <v>-21.349999999999998</v>
      </c>
    </row>
    <row r="71" spans="1:15" x14ac:dyDescent="0.25">
      <c r="A71" s="101" t="str">
        <f>'Data Vlaue (Cr)'!C66</f>
        <v>GAIL</v>
      </c>
      <c r="B71" s="50">
        <f>VLOOKUP($A71,'Data Vlaue (Cr)'!$C:$FB,8)</f>
        <v>179.21</v>
      </c>
      <c r="C71" s="50">
        <f>VLOOKUP($A71,'Data Vlaue (Cr)'!$C:$FB,11)*100</f>
        <v>0.43</v>
      </c>
      <c r="D71" s="50">
        <f>VLOOKUP($A71,'Data Vlaue (Cr)'!$C:$FB,143)</f>
        <v>1109.33</v>
      </c>
      <c r="E71" s="50">
        <f>VLOOKUP($A71,'Data Vlaue (Cr)'!$C:$FB,144)</f>
        <v>656.66</v>
      </c>
      <c r="F71" s="50">
        <f>VLOOKUP($A71,'Data Vlaue (Cr)'!$C:$FB,146)*100</f>
        <v>68.94</v>
      </c>
      <c r="G71" s="49">
        <f>VLOOKUP($A71,'Data Vlaue (Cr)'!$C:$FB,43)</f>
        <v>259</v>
      </c>
      <c r="H71" s="49">
        <f>VLOOKUP($A71,'Data Vlaue (Cr)'!$C:$FB,44)</f>
        <v>114</v>
      </c>
      <c r="I71" s="49">
        <f>VLOOKUP($A71,'Data Vlaue (Cr)'!$C:$FB,46)*100</f>
        <v>126.69</v>
      </c>
      <c r="J71" s="51">
        <f>VLOOKUP($A71,'Data Vlaue (Cr)'!$C:$FB,59)</f>
        <v>582</v>
      </c>
      <c r="K71" s="51">
        <f>VLOOKUP($A71,'Data Vlaue (Cr)'!$C:$FB,60)</f>
        <v>387</v>
      </c>
      <c r="L71" s="51">
        <f>VLOOKUP($A71,'Data Vlaue (Cr)'!$C:$FB,62)*100</f>
        <v>50.339999999999996</v>
      </c>
      <c r="M71" s="51">
        <f>VLOOKUP($A71,'Data Vlaue (Cr)'!$C:$FB,63)</f>
        <v>242</v>
      </c>
      <c r="N71" s="51">
        <f>VLOOKUP($A71,'Data Vlaue (Cr)'!$C:$FB,64)</f>
        <v>143</v>
      </c>
      <c r="O71" s="51">
        <f>VLOOKUP($A71,'Data Vlaue (Cr)'!$C:$FB,66)*100</f>
        <v>69</v>
      </c>
    </row>
    <row r="72" spans="1:15" x14ac:dyDescent="0.25">
      <c r="A72" s="101" t="str">
        <f>'Data Vlaue (Cr)'!C67</f>
        <v>GLENMARK</v>
      </c>
      <c r="B72" s="50">
        <f>VLOOKUP($A72,'Data Vlaue (Cr)'!$C:$FB,8)</f>
        <v>1939.3</v>
      </c>
      <c r="C72" s="50">
        <f>VLOOKUP($A72,'Data Vlaue (Cr)'!$C:$FB,11)*100</f>
        <v>0.19</v>
      </c>
      <c r="D72" s="50">
        <f>VLOOKUP($A72,'Data Vlaue (Cr)'!$C:$FB,143)</f>
        <v>837.69</v>
      </c>
      <c r="E72" s="50">
        <f>VLOOKUP($A72,'Data Vlaue (Cr)'!$C:$FB,144)</f>
        <v>584.23</v>
      </c>
      <c r="F72" s="50">
        <f>VLOOKUP($A72,'Data Vlaue (Cr)'!$C:$FB,146)*100</f>
        <v>43.38</v>
      </c>
      <c r="G72" s="49">
        <f>VLOOKUP($A72,'Data Vlaue (Cr)'!$C:$FB,43)</f>
        <v>235</v>
      </c>
      <c r="H72" s="49">
        <f>VLOOKUP($A72,'Data Vlaue (Cr)'!$C:$FB,44)</f>
        <v>142</v>
      </c>
      <c r="I72" s="49">
        <f>VLOOKUP($A72,'Data Vlaue (Cr)'!$C:$FB,46)*100</f>
        <v>66.180000000000007</v>
      </c>
      <c r="J72" s="51">
        <f>VLOOKUP($A72,'Data Vlaue (Cr)'!$C:$FB,59)</f>
        <v>435</v>
      </c>
      <c r="K72" s="51">
        <f>VLOOKUP($A72,'Data Vlaue (Cr)'!$C:$FB,60)</f>
        <v>337</v>
      </c>
      <c r="L72" s="51">
        <f>VLOOKUP($A72,'Data Vlaue (Cr)'!$C:$FB,62)*100</f>
        <v>29.21</v>
      </c>
      <c r="M72" s="51">
        <f>VLOOKUP($A72,'Data Vlaue (Cr)'!$C:$FB,63)</f>
        <v>147</v>
      </c>
      <c r="N72" s="51">
        <f>VLOOKUP($A72,'Data Vlaue (Cr)'!$C:$FB,64)</f>
        <v>90</v>
      </c>
      <c r="O72" s="51">
        <f>VLOOKUP($A72,'Data Vlaue (Cr)'!$C:$FB,66)*100</f>
        <v>62.56</v>
      </c>
    </row>
    <row r="73" spans="1:15" x14ac:dyDescent="0.25">
      <c r="A73" s="101" t="str">
        <f>'Data Vlaue (Cr)'!C68</f>
        <v>GMRAIRPORT</v>
      </c>
      <c r="B73" s="50">
        <f>VLOOKUP($A73,'Data Vlaue (Cr)'!$C:$FB,8)</f>
        <v>90.35</v>
      </c>
      <c r="C73" s="50">
        <f>VLOOKUP($A73,'Data Vlaue (Cr)'!$C:$FB,11)*100</f>
        <v>-0.4</v>
      </c>
      <c r="D73" s="50">
        <f>VLOOKUP($A73,'Data Vlaue (Cr)'!$C:$FB,143)</f>
        <v>647.29999999999995</v>
      </c>
      <c r="E73" s="50">
        <f>VLOOKUP($A73,'Data Vlaue (Cr)'!$C:$FB,144)</f>
        <v>1620.14</v>
      </c>
      <c r="F73" s="50">
        <f>VLOOKUP($A73,'Data Vlaue (Cr)'!$C:$FB,146)*100</f>
        <v>-60.050000000000004</v>
      </c>
      <c r="G73" s="49">
        <f>VLOOKUP($A73,'Data Vlaue (Cr)'!$C:$FB,43)</f>
        <v>177</v>
      </c>
      <c r="H73" s="49">
        <f>VLOOKUP($A73,'Data Vlaue (Cr)'!$C:$FB,44)</f>
        <v>350</v>
      </c>
      <c r="I73" s="49">
        <f>VLOOKUP($A73,'Data Vlaue (Cr)'!$C:$FB,46)*100</f>
        <v>-49.53</v>
      </c>
      <c r="J73" s="51">
        <f>VLOOKUP($A73,'Data Vlaue (Cr)'!$C:$FB,59)</f>
        <v>343</v>
      </c>
      <c r="K73" s="51">
        <f>VLOOKUP($A73,'Data Vlaue (Cr)'!$C:$FB,60)</f>
        <v>878</v>
      </c>
      <c r="L73" s="51">
        <f>VLOOKUP($A73,'Data Vlaue (Cr)'!$C:$FB,62)*100</f>
        <v>-60.95</v>
      </c>
      <c r="M73" s="51">
        <f>VLOOKUP($A73,'Data Vlaue (Cr)'!$C:$FB,63)</f>
        <v>112</v>
      </c>
      <c r="N73" s="51">
        <f>VLOOKUP($A73,'Data Vlaue (Cr)'!$C:$FB,64)</f>
        <v>371</v>
      </c>
      <c r="O73" s="51">
        <f>VLOOKUP($A73,'Data Vlaue (Cr)'!$C:$FB,66)*100</f>
        <v>-69.710000000000008</v>
      </c>
    </row>
    <row r="74" spans="1:15" x14ac:dyDescent="0.25">
      <c r="A74" s="101" t="str">
        <f>'Data Vlaue (Cr)'!C69</f>
        <v>GODREJCP</v>
      </c>
      <c r="B74" s="50">
        <f>VLOOKUP($A74,'Data Vlaue (Cr)'!$C:$FB,8)</f>
        <v>1129.8</v>
      </c>
      <c r="C74" s="50">
        <f>VLOOKUP($A74,'Data Vlaue (Cr)'!$C:$FB,11)*100</f>
        <v>0.09</v>
      </c>
      <c r="D74" s="50">
        <f>VLOOKUP($A74,'Data Vlaue (Cr)'!$C:$FB,143)</f>
        <v>474.48</v>
      </c>
      <c r="E74" s="50">
        <f>VLOOKUP($A74,'Data Vlaue (Cr)'!$C:$FB,144)</f>
        <v>513.16999999999996</v>
      </c>
      <c r="F74" s="50">
        <f>VLOOKUP($A74,'Data Vlaue (Cr)'!$C:$FB,146)*100</f>
        <v>-7.5399999999999991</v>
      </c>
      <c r="G74" s="49">
        <f>VLOOKUP($A74,'Data Vlaue (Cr)'!$C:$FB,43)</f>
        <v>152</v>
      </c>
      <c r="H74" s="49">
        <f>VLOOKUP($A74,'Data Vlaue (Cr)'!$C:$FB,44)</f>
        <v>162</v>
      </c>
      <c r="I74" s="49">
        <f>VLOOKUP($A74,'Data Vlaue (Cr)'!$C:$FB,46)*100</f>
        <v>-6.0600000000000005</v>
      </c>
      <c r="J74" s="51">
        <f>VLOOKUP($A74,'Data Vlaue (Cr)'!$C:$FB,59)</f>
        <v>257</v>
      </c>
      <c r="K74" s="51">
        <f>VLOOKUP($A74,'Data Vlaue (Cr)'!$C:$FB,60)</f>
        <v>259</v>
      </c>
      <c r="L74" s="51">
        <f>VLOOKUP($A74,'Data Vlaue (Cr)'!$C:$FB,62)*100</f>
        <v>-0.83</v>
      </c>
      <c r="M74" s="51">
        <f>VLOOKUP($A74,'Data Vlaue (Cr)'!$C:$FB,63)</f>
        <v>55</v>
      </c>
      <c r="N74" s="51">
        <f>VLOOKUP($A74,'Data Vlaue (Cr)'!$C:$FB,64)</f>
        <v>82</v>
      </c>
      <c r="O74" s="51">
        <f>VLOOKUP($A74,'Data Vlaue (Cr)'!$C:$FB,66)*100</f>
        <v>-32.340000000000003</v>
      </c>
    </row>
    <row r="75" spans="1:15" x14ac:dyDescent="0.25">
      <c r="A75" s="101" t="str">
        <f>'Data Vlaue (Cr)'!C70</f>
        <v>GODREJPROP</v>
      </c>
      <c r="B75" s="50">
        <f>VLOOKUP($A75,'Data Vlaue (Cr)'!$C:$FB,8)</f>
        <v>2091.9</v>
      </c>
      <c r="C75" s="50">
        <f>VLOOKUP($A75,'Data Vlaue (Cr)'!$C:$FB,11)*100</f>
        <v>2.97</v>
      </c>
      <c r="D75" s="50">
        <f>VLOOKUP($A75,'Data Vlaue (Cr)'!$C:$FB,143)</f>
        <v>2629.23</v>
      </c>
      <c r="E75" s="50">
        <f>VLOOKUP($A75,'Data Vlaue (Cr)'!$C:$FB,144)</f>
        <v>1187.68</v>
      </c>
      <c r="F75" s="50">
        <f>VLOOKUP($A75,'Data Vlaue (Cr)'!$C:$FB,146)*100</f>
        <v>121.37</v>
      </c>
      <c r="G75" s="49">
        <f>VLOOKUP($A75,'Data Vlaue (Cr)'!$C:$FB,43)</f>
        <v>481</v>
      </c>
      <c r="H75" s="49">
        <f>VLOOKUP($A75,'Data Vlaue (Cr)'!$C:$FB,44)</f>
        <v>295</v>
      </c>
      <c r="I75" s="49">
        <f>VLOOKUP($A75,'Data Vlaue (Cr)'!$C:$FB,46)*100</f>
        <v>63.01</v>
      </c>
      <c r="J75" s="51">
        <f>VLOOKUP($A75,'Data Vlaue (Cr)'!$C:$FB,59)</f>
        <v>1583</v>
      </c>
      <c r="K75" s="51">
        <f>VLOOKUP($A75,'Data Vlaue (Cr)'!$C:$FB,60)</f>
        <v>634</v>
      </c>
      <c r="L75" s="51">
        <f>VLOOKUP($A75,'Data Vlaue (Cr)'!$C:$FB,62)*100</f>
        <v>149.62</v>
      </c>
      <c r="M75" s="51">
        <f>VLOOKUP($A75,'Data Vlaue (Cr)'!$C:$FB,63)</f>
        <v>525</v>
      </c>
      <c r="N75" s="51">
        <f>VLOOKUP($A75,'Data Vlaue (Cr)'!$C:$FB,64)</f>
        <v>259</v>
      </c>
      <c r="O75" s="51">
        <f>VLOOKUP($A75,'Data Vlaue (Cr)'!$C:$FB,66)*100</f>
        <v>102.51999999999998</v>
      </c>
    </row>
    <row r="76" spans="1:15" x14ac:dyDescent="0.25">
      <c r="A76" s="101" t="str">
        <f>'Data Vlaue (Cr)'!C71</f>
        <v>GRASIM</v>
      </c>
      <c r="B76" s="50">
        <f>VLOOKUP($A76,'Data Vlaue (Cr)'!$C:$FB,8)</f>
        <v>2811</v>
      </c>
      <c r="C76" s="50">
        <f>VLOOKUP($A76,'Data Vlaue (Cr)'!$C:$FB,11)*100</f>
        <v>0.01</v>
      </c>
      <c r="D76" s="50">
        <f>VLOOKUP($A76,'Data Vlaue (Cr)'!$C:$FB,143)</f>
        <v>819.95</v>
      </c>
      <c r="E76" s="50">
        <f>VLOOKUP($A76,'Data Vlaue (Cr)'!$C:$FB,144)</f>
        <v>852.05</v>
      </c>
      <c r="F76" s="50">
        <f>VLOOKUP($A76,'Data Vlaue (Cr)'!$C:$FB,146)*100</f>
        <v>-3.7699999999999996</v>
      </c>
      <c r="G76" s="49">
        <f>VLOOKUP($A76,'Data Vlaue (Cr)'!$C:$FB,43)</f>
        <v>205</v>
      </c>
      <c r="H76" s="49">
        <f>VLOOKUP($A76,'Data Vlaue (Cr)'!$C:$FB,44)</f>
        <v>163</v>
      </c>
      <c r="I76" s="49">
        <f>VLOOKUP($A76,'Data Vlaue (Cr)'!$C:$FB,46)*100</f>
        <v>25.95</v>
      </c>
      <c r="J76" s="51">
        <f>VLOOKUP($A76,'Data Vlaue (Cr)'!$C:$FB,59)</f>
        <v>443</v>
      </c>
      <c r="K76" s="51">
        <f>VLOOKUP($A76,'Data Vlaue (Cr)'!$C:$FB,60)</f>
        <v>491</v>
      </c>
      <c r="L76" s="51">
        <f>VLOOKUP($A76,'Data Vlaue (Cr)'!$C:$FB,62)*100</f>
        <v>-9.8699999999999992</v>
      </c>
      <c r="M76" s="51">
        <f>VLOOKUP($A76,'Data Vlaue (Cr)'!$C:$FB,63)</f>
        <v>162</v>
      </c>
      <c r="N76" s="51">
        <f>VLOOKUP($A76,'Data Vlaue (Cr)'!$C:$FB,64)</f>
        <v>189</v>
      </c>
      <c r="O76" s="51">
        <f>VLOOKUP($A76,'Data Vlaue (Cr)'!$C:$FB,66)*100</f>
        <v>-14.510000000000002</v>
      </c>
    </row>
    <row r="77" spans="1:15" x14ac:dyDescent="0.25">
      <c r="A77" s="101" t="str">
        <f>'Data Vlaue (Cr)'!C72</f>
        <v>HAL</v>
      </c>
      <c r="B77" s="50">
        <f>VLOOKUP($A77,'Data Vlaue (Cr)'!$C:$FB,8)</f>
        <v>4832.8999999999996</v>
      </c>
      <c r="C77" s="50">
        <f>VLOOKUP($A77,'Data Vlaue (Cr)'!$C:$FB,11)*100</f>
        <v>-0.27999999999999997</v>
      </c>
      <c r="D77" s="50">
        <f>VLOOKUP($A77,'Data Vlaue (Cr)'!$C:$FB,143)</f>
        <v>4520</v>
      </c>
      <c r="E77" s="50">
        <f>VLOOKUP($A77,'Data Vlaue (Cr)'!$C:$FB,144)</f>
        <v>5567.94</v>
      </c>
      <c r="F77" s="50">
        <f>VLOOKUP($A77,'Data Vlaue (Cr)'!$C:$FB,146)*100</f>
        <v>-18.82</v>
      </c>
      <c r="G77" s="49">
        <f>VLOOKUP($A77,'Data Vlaue (Cr)'!$C:$FB,43)</f>
        <v>579</v>
      </c>
      <c r="H77" s="49">
        <f>VLOOKUP($A77,'Data Vlaue (Cr)'!$C:$FB,44)</f>
        <v>893</v>
      </c>
      <c r="I77" s="49">
        <f>VLOOKUP($A77,'Data Vlaue (Cr)'!$C:$FB,46)*100</f>
        <v>-35.229999999999997</v>
      </c>
      <c r="J77" s="51">
        <f>VLOOKUP($A77,'Data Vlaue (Cr)'!$C:$FB,59)</f>
        <v>2774</v>
      </c>
      <c r="K77" s="51">
        <f>VLOOKUP($A77,'Data Vlaue (Cr)'!$C:$FB,60)</f>
        <v>3385</v>
      </c>
      <c r="L77" s="51">
        <f>VLOOKUP($A77,'Data Vlaue (Cr)'!$C:$FB,62)*100</f>
        <v>-18.04</v>
      </c>
      <c r="M77" s="51">
        <f>VLOOKUP($A77,'Data Vlaue (Cr)'!$C:$FB,63)</f>
        <v>1060</v>
      </c>
      <c r="N77" s="51">
        <f>VLOOKUP($A77,'Data Vlaue (Cr)'!$C:$FB,64)</f>
        <v>1179</v>
      </c>
      <c r="O77" s="51">
        <f>VLOOKUP($A77,'Data Vlaue (Cr)'!$C:$FB,66)*100</f>
        <v>-10.09</v>
      </c>
    </row>
    <row r="78" spans="1:15" x14ac:dyDescent="0.25">
      <c r="A78" s="101" t="str">
        <f>'Data Vlaue (Cr)'!C73</f>
        <v>HAVELLS</v>
      </c>
      <c r="B78" s="50">
        <f>VLOOKUP($A78,'Data Vlaue (Cr)'!$C:$FB,8)</f>
        <v>1495.9</v>
      </c>
      <c r="C78" s="50">
        <f>VLOOKUP($A78,'Data Vlaue (Cr)'!$C:$FB,11)*100</f>
        <v>0.67999999999999994</v>
      </c>
      <c r="D78" s="50">
        <f>VLOOKUP($A78,'Data Vlaue (Cr)'!$C:$FB,143)</f>
        <v>1696.96</v>
      </c>
      <c r="E78" s="50">
        <f>VLOOKUP($A78,'Data Vlaue (Cr)'!$C:$FB,144)</f>
        <v>971.26</v>
      </c>
      <c r="F78" s="50">
        <f>VLOOKUP($A78,'Data Vlaue (Cr)'!$C:$FB,146)*100</f>
        <v>74.72</v>
      </c>
      <c r="G78" s="49">
        <f>VLOOKUP($A78,'Data Vlaue (Cr)'!$C:$FB,43)</f>
        <v>417</v>
      </c>
      <c r="H78" s="49">
        <f>VLOOKUP($A78,'Data Vlaue (Cr)'!$C:$FB,44)</f>
        <v>278</v>
      </c>
      <c r="I78" s="49">
        <f>VLOOKUP($A78,'Data Vlaue (Cr)'!$C:$FB,46)*100</f>
        <v>49.62</v>
      </c>
      <c r="J78" s="51">
        <f>VLOOKUP($A78,'Data Vlaue (Cr)'!$C:$FB,59)</f>
        <v>896</v>
      </c>
      <c r="K78" s="51">
        <f>VLOOKUP($A78,'Data Vlaue (Cr)'!$C:$FB,60)</f>
        <v>444</v>
      </c>
      <c r="L78" s="51">
        <f>VLOOKUP($A78,'Data Vlaue (Cr)'!$C:$FB,62)*100</f>
        <v>101.76</v>
      </c>
      <c r="M78" s="51">
        <f>VLOOKUP($A78,'Data Vlaue (Cr)'!$C:$FB,63)</f>
        <v>343</v>
      </c>
      <c r="N78" s="51">
        <f>VLOOKUP($A78,'Data Vlaue (Cr)'!$C:$FB,64)</f>
        <v>236</v>
      </c>
      <c r="O78" s="51">
        <f>VLOOKUP($A78,'Data Vlaue (Cr)'!$C:$FB,66)*100</f>
        <v>45.16</v>
      </c>
    </row>
    <row r="79" spans="1:15" x14ac:dyDescent="0.25">
      <c r="A79" s="101" t="str">
        <f>'Data Vlaue (Cr)'!C74</f>
        <v>HCLTECH</v>
      </c>
      <c r="B79" s="50">
        <f>VLOOKUP($A79,'Data Vlaue (Cr)'!$C:$FB,8)</f>
        <v>1495.5</v>
      </c>
      <c r="C79" s="50">
        <f>VLOOKUP($A79,'Data Vlaue (Cr)'!$C:$FB,11)*100</f>
        <v>0.61</v>
      </c>
      <c r="D79" s="50">
        <f>VLOOKUP($A79,'Data Vlaue (Cr)'!$C:$FB,143)</f>
        <v>4205.83</v>
      </c>
      <c r="E79" s="50">
        <f>VLOOKUP($A79,'Data Vlaue (Cr)'!$C:$FB,144)</f>
        <v>5820.56</v>
      </c>
      <c r="F79" s="50">
        <f>VLOOKUP($A79,'Data Vlaue (Cr)'!$C:$FB,146)*100</f>
        <v>-27.74</v>
      </c>
      <c r="G79" s="49">
        <f>VLOOKUP($A79,'Data Vlaue (Cr)'!$C:$FB,43)</f>
        <v>801</v>
      </c>
      <c r="H79" s="49">
        <f>VLOOKUP($A79,'Data Vlaue (Cr)'!$C:$FB,44)</f>
        <v>1004</v>
      </c>
      <c r="I79" s="49">
        <f>VLOOKUP($A79,'Data Vlaue (Cr)'!$C:$FB,46)*100</f>
        <v>-20.23</v>
      </c>
      <c r="J79" s="51">
        <f>VLOOKUP($A79,'Data Vlaue (Cr)'!$C:$FB,59)</f>
        <v>2069</v>
      </c>
      <c r="K79" s="51">
        <f>VLOOKUP($A79,'Data Vlaue (Cr)'!$C:$FB,60)</f>
        <v>3012</v>
      </c>
      <c r="L79" s="51">
        <f>VLOOKUP($A79,'Data Vlaue (Cr)'!$C:$FB,62)*100</f>
        <v>-31.3</v>
      </c>
      <c r="M79" s="51">
        <f>VLOOKUP($A79,'Data Vlaue (Cr)'!$C:$FB,63)</f>
        <v>1278</v>
      </c>
      <c r="N79" s="51">
        <f>VLOOKUP($A79,'Data Vlaue (Cr)'!$C:$FB,64)</f>
        <v>1761</v>
      </c>
      <c r="O79" s="51">
        <f>VLOOKUP($A79,'Data Vlaue (Cr)'!$C:$FB,66)*100</f>
        <v>-27.47</v>
      </c>
    </row>
    <row r="80" spans="1:15" x14ac:dyDescent="0.25">
      <c r="A80" s="101" t="str">
        <f>'Data Vlaue (Cr)'!C75</f>
        <v>HDFCAMC</v>
      </c>
      <c r="B80" s="50">
        <f>VLOOKUP($A80,'Data Vlaue (Cr)'!$C:$FB,8)</f>
        <v>5520</v>
      </c>
      <c r="C80" s="50">
        <f>VLOOKUP($A80,'Data Vlaue (Cr)'!$C:$FB,11)*100</f>
        <v>0.75</v>
      </c>
      <c r="D80" s="50">
        <f>VLOOKUP($A80,'Data Vlaue (Cr)'!$C:$FB,143)</f>
        <v>1162.58</v>
      </c>
      <c r="E80" s="50">
        <f>VLOOKUP($A80,'Data Vlaue (Cr)'!$C:$FB,144)</f>
        <v>1084.4000000000001</v>
      </c>
      <c r="F80" s="50">
        <f>VLOOKUP($A80,'Data Vlaue (Cr)'!$C:$FB,146)*100</f>
        <v>7.21</v>
      </c>
      <c r="G80" s="49">
        <f>VLOOKUP($A80,'Data Vlaue (Cr)'!$C:$FB,43)</f>
        <v>236</v>
      </c>
      <c r="H80" s="49">
        <f>VLOOKUP($A80,'Data Vlaue (Cr)'!$C:$FB,44)</f>
        <v>238</v>
      </c>
      <c r="I80" s="49">
        <f>VLOOKUP($A80,'Data Vlaue (Cr)'!$C:$FB,46)*100</f>
        <v>-0.70000000000000007</v>
      </c>
      <c r="J80" s="51">
        <f>VLOOKUP($A80,'Data Vlaue (Cr)'!$C:$FB,59)</f>
        <v>674</v>
      </c>
      <c r="K80" s="51">
        <f>VLOOKUP($A80,'Data Vlaue (Cr)'!$C:$FB,60)</f>
        <v>568</v>
      </c>
      <c r="L80" s="51">
        <f>VLOOKUP($A80,'Data Vlaue (Cr)'!$C:$FB,62)*100</f>
        <v>18.740000000000002</v>
      </c>
      <c r="M80" s="51">
        <f>VLOOKUP($A80,'Data Vlaue (Cr)'!$C:$FB,63)</f>
        <v>231</v>
      </c>
      <c r="N80" s="51">
        <f>VLOOKUP($A80,'Data Vlaue (Cr)'!$C:$FB,64)</f>
        <v>265</v>
      </c>
      <c r="O80" s="51">
        <f>VLOOKUP($A80,'Data Vlaue (Cr)'!$C:$FB,66)*100</f>
        <v>-12.879999999999999</v>
      </c>
    </row>
    <row r="81" spans="1:15" x14ac:dyDescent="0.25">
      <c r="A81" s="101" t="str">
        <f>'Data Vlaue (Cr)'!C76</f>
        <v>HDFCBANK</v>
      </c>
      <c r="B81" s="50">
        <f>VLOOKUP($A81,'Data Vlaue (Cr)'!$C:$FB,8)</f>
        <v>980.9</v>
      </c>
      <c r="C81" s="50">
        <f>VLOOKUP($A81,'Data Vlaue (Cr)'!$C:$FB,11)*100</f>
        <v>0.38999999999999996</v>
      </c>
      <c r="D81" s="50">
        <f>VLOOKUP($A81,'Data Vlaue (Cr)'!$C:$FB,143)</f>
        <v>8597.68</v>
      </c>
      <c r="E81" s="50">
        <f>VLOOKUP($A81,'Data Vlaue (Cr)'!$C:$FB,144)</f>
        <v>7372.67</v>
      </c>
      <c r="F81" s="50">
        <f>VLOOKUP($A81,'Data Vlaue (Cr)'!$C:$FB,146)*100</f>
        <v>16.619999999999997</v>
      </c>
      <c r="G81" s="49">
        <f>VLOOKUP($A81,'Data Vlaue (Cr)'!$C:$FB,43)</f>
        <v>1825</v>
      </c>
      <c r="H81" s="49">
        <f>VLOOKUP($A81,'Data Vlaue (Cr)'!$C:$FB,44)</f>
        <v>1807</v>
      </c>
      <c r="I81" s="49">
        <f>VLOOKUP($A81,'Data Vlaue (Cr)'!$C:$FB,46)*100</f>
        <v>0.95</v>
      </c>
      <c r="J81" s="51">
        <f>VLOOKUP($A81,'Data Vlaue (Cr)'!$C:$FB,59)</f>
        <v>4401</v>
      </c>
      <c r="K81" s="51">
        <f>VLOOKUP($A81,'Data Vlaue (Cr)'!$C:$FB,60)</f>
        <v>3311</v>
      </c>
      <c r="L81" s="51">
        <f>VLOOKUP($A81,'Data Vlaue (Cr)'!$C:$FB,62)*100</f>
        <v>32.910000000000004</v>
      </c>
      <c r="M81" s="51">
        <f>VLOOKUP($A81,'Data Vlaue (Cr)'!$C:$FB,63)</f>
        <v>2289</v>
      </c>
      <c r="N81" s="51">
        <f>VLOOKUP($A81,'Data Vlaue (Cr)'!$C:$FB,64)</f>
        <v>2233</v>
      </c>
      <c r="O81" s="51">
        <f>VLOOKUP($A81,'Data Vlaue (Cr)'!$C:$FB,66)*100</f>
        <v>2.52</v>
      </c>
    </row>
    <row r="82" spans="1:15" x14ac:dyDescent="0.25">
      <c r="A82" s="101" t="str">
        <f>'Data Vlaue (Cr)'!C77</f>
        <v>HDFCLIFE</v>
      </c>
      <c r="B82" s="50">
        <f>VLOOKUP($A82,'Data Vlaue (Cr)'!$C:$FB,8)</f>
        <v>747.3</v>
      </c>
      <c r="C82" s="50">
        <f>VLOOKUP($A82,'Data Vlaue (Cr)'!$C:$FB,11)*100</f>
        <v>-0.92999999999999994</v>
      </c>
      <c r="D82" s="50">
        <f>VLOOKUP($A82,'Data Vlaue (Cr)'!$C:$FB,143)</f>
        <v>1147.3399999999999</v>
      </c>
      <c r="E82" s="50">
        <f>VLOOKUP($A82,'Data Vlaue (Cr)'!$C:$FB,144)</f>
        <v>1592.35</v>
      </c>
      <c r="F82" s="50">
        <f>VLOOKUP($A82,'Data Vlaue (Cr)'!$C:$FB,146)*100</f>
        <v>-27.950000000000003</v>
      </c>
      <c r="G82" s="49">
        <f>VLOOKUP($A82,'Data Vlaue (Cr)'!$C:$FB,43)</f>
        <v>282</v>
      </c>
      <c r="H82" s="49">
        <f>VLOOKUP($A82,'Data Vlaue (Cr)'!$C:$FB,44)</f>
        <v>396</v>
      </c>
      <c r="I82" s="49">
        <f>VLOOKUP($A82,'Data Vlaue (Cr)'!$C:$FB,46)*100</f>
        <v>-28.84</v>
      </c>
      <c r="J82" s="51">
        <f>VLOOKUP($A82,'Data Vlaue (Cr)'!$C:$FB,59)</f>
        <v>568</v>
      </c>
      <c r="K82" s="51">
        <f>VLOOKUP($A82,'Data Vlaue (Cr)'!$C:$FB,60)</f>
        <v>764</v>
      </c>
      <c r="L82" s="51">
        <f>VLOOKUP($A82,'Data Vlaue (Cr)'!$C:$FB,62)*100</f>
        <v>-25.679999999999996</v>
      </c>
      <c r="M82" s="51">
        <f>VLOOKUP($A82,'Data Vlaue (Cr)'!$C:$FB,63)</f>
        <v>270</v>
      </c>
      <c r="N82" s="51">
        <f>VLOOKUP($A82,'Data Vlaue (Cr)'!$C:$FB,64)</f>
        <v>396</v>
      </c>
      <c r="O82" s="51">
        <f>VLOOKUP($A82,'Data Vlaue (Cr)'!$C:$FB,66)*100</f>
        <v>-31.990000000000002</v>
      </c>
    </row>
    <row r="83" spans="1:15" x14ac:dyDescent="0.25">
      <c r="A83" s="101" t="str">
        <f>'Data Vlaue (Cr)'!C78</f>
        <v>HEROMOTOCO</v>
      </c>
      <c r="B83" s="50">
        <f>VLOOKUP($A83,'Data Vlaue (Cr)'!$C:$FB,8)</f>
        <v>5500</v>
      </c>
      <c r="C83" s="50">
        <f>VLOOKUP($A83,'Data Vlaue (Cr)'!$C:$FB,11)*100</f>
        <v>-0.22</v>
      </c>
      <c r="D83" s="50">
        <f>VLOOKUP($A83,'Data Vlaue (Cr)'!$C:$FB,143)</f>
        <v>4572.0600000000004</v>
      </c>
      <c r="E83" s="50">
        <f>VLOOKUP($A83,'Data Vlaue (Cr)'!$C:$FB,144)</f>
        <v>3163.21</v>
      </c>
      <c r="F83" s="50">
        <f>VLOOKUP($A83,'Data Vlaue (Cr)'!$C:$FB,146)*100</f>
        <v>44.54</v>
      </c>
      <c r="G83" s="49">
        <f>VLOOKUP($A83,'Data Vlaue (Cr)'!$C:$FB,43)</f>
        <v>670</v>
      </c>
      <c r="H83" s="49">
        <f>VLOOKUP($A83,'Data Vlaue (Cr)'!$C:$FB,44)</f>
        <v>553</v>
      </c>
      <c r="I83" s="49">
        <f>VLOOKUP($A83,'Data Vlaue (Cr)'!$C:$FB,46)*100</f>
        <v>21.16</v>
      </c>
      <c r="J83" s="51">
        <f>VLOOKUP($A83,'Data Vlaue (Cr)'!$C:$FB,59)</f>
        <v>2877</v>
      </c>
      <c r="K83" s="51">
        <f>VLOOKUP($A83,'Data Vlaue (Cr)'!$C:$FB,60)</f>
        <v>1691</v>
      </c>
      <c r="L83" s="51">
        <f>VLOOKUP($A83,'Data Vlaue (Cr)'!$C:$FB,62)*100</f>
        <v>70.14</v>
      </c>
      <c r="M83" s="51">
        <f>VLOOKUP($A83,'Data Vlaue (Cr)'!$C:$FB,63)</f>
        <v>900</v>
      </c>
      <c r="N83" s="51">
        <f>VLOOKUP($A83,'Data Vlaue (Cr)'!$C:$FB,64)</f>
        <v>837</v>
      </c>
      <c r="O83" s="51">
        <f>VLOOKUP($A83,'Data Vlaue (Cr)'!$C:$FB,66)*100</f>
        <v>7.51</v>
      </c>
    </row>
    <row r="84" spans="1:15" x14ac:dyDescent="0.25">
      <c r="A84" s="101" t="str">
        <f>'Data Vlaue (Cr)'!C79</f>
        <v>HFCL</v>
      </c>
      <c r="B84" s="50">
        <f>VLOOKUP($A84,'Data Vlaue (Cr)'!$C:$FB,8)</f>
        <v>76.040000000000006</v>
      </c>
      <c r="C84" s="50">
        <f>VLOOKUP($A84,'Data Vlaue (Cr)'!$C:$FB,11)*100</f>
        <v>2.78</v>
      </c>
      <c r="D84" s="50">
        <f>VLOOKUP($A84,'Data Vlaue (Cr)'!$C:$FB,143)</f>
        <v>935.39</v>
      </c>
      <c r="E84" s="50">
        <f>VLOOKUP($A84,'Data Vlaue (Cr)'!$C:$FB,144)</f>
        <v>519.28</v>
      </c>
      <c r="F84" s="50">
        <f>VLOOKUP($A84,'Data Vlaue (Cr)'!$C:$FB,146)*100</f>
        <v>80.13</v>
      </c>
      <c r="G84" s="49">
        <f>VLOOKUP($A84,'Data Vlaue (Cr)'!$C:$FB,43)</f>
        <v>244</v>
      </c>
      <c r="H84" s="49">
        <f>VLOOKUP($A84,'Data Vlaue (Cr)'!$C:$FB,44)</f>
        <v>142</v>
      </c>
      <c r="I84" s="49">
        <f>VLOOKUP($A84,'Data Vlaue (Cr)'!$C:$FB,46)*100</f>
        <v>71.77</v>
      </c>
      <c r="J84" s="51">
        <f>VLOOKUP($A84,'Data Vlaue (Cr)'!$C:$FB,59)</f>
        <v>505</v>
      </c>
      <c r="K84" s="51">
        <f>VLOOKUP($A84,'Data Vlaue (Cr)'!$C:$FB,60)</f>
        <v>270</v>
      </c>
      <c r="L84" s="51">
        <f>VLOOKUP($A84,'Data Vlaue (Cr)'!$C:$FB,62)*100</f>
        <v>87.25</v>
      </c>
      <c r="M84" s="51">
        <f>VLOOKUP($A84,'Data Vlaue (Cr)'!$C:$FB,63)</f>
        <v>157</v>
      </c>
      <c r="N84" s="51">
        <f>VLOOKUP($A84,'Data Vlaue (Cr)'!$C:$FB,64)</f>
        <v>104</v>
      </c>
      <c r="O84" s="51">
        <f>VLOOKUP($A84,'Data Vlaue (Cr)'!$C:$FB,66)*100</f>
        <v>50.09</v>
      </c>
    </row>
    <row r="85" spans="1:15" x14ac:dyDescent="0.25">
      <c r="A85" s="101" t="str">
        <f>'Data Vlaue (Cr)'!C80</f>
        <v>HINDALCO</v>
      </c>
      <c r="B85" s="50">
        <f>VLOOKUP($A85,'Data Vlaue (Cr)'!$C:$FB,8)</f>
        <v>773.95</v>
      </c>
      <c r="C85" s="50">
        <f>VLOOKUP($A85,'Data Vlaue (Cr)'!$C:$FB,11)*100</f>
        <v>-0.02</v>
      </c>
      <c r="D85" s="50">
        <f>VLOOKUP($A85,'Data Vlaue (Cr)'!$C:$FB,143)</f>
        <v>3763.15</v>
      </c>
      <c r="E85" s="50">
        <f>VLOOKUP($A85,'Data Vlaue (Cr)'!$C:$FB,144)</f>
        <v>3728.03</v>
      </c>
      <c r="F85" s="50">
        <f>VLOOKUP($A85,'Data Vlaue (Cr)'!$C:$FB,146)*100</f>
        <v>0.94000000000000006</v>
      </c>
      <c r="G85" s="49">
        <f>VLOOKUP($A85,'Data Vlaue (Cr)'!$C:$FB,43)</f>
        <v>739</v>
      </c>
      <c r="H85" s="49">
        <f>VLOOKUP($A85,'Data Vlaue (Cr)'!$C:$FB,44)</f>
        <v>686</v>
      </c>
      <c r="I85" s="49">
        <f>VLOOKUP($A85,'Data Vlaue (Cr)'!$C:$FB,46)*100</f>
        <v>7.82</v>
      </c>
      <c r="J85" s="51">
        <f>VLOOKUP($A85,'Data Vlaue (Cr)'!$C:$FB,59)</f>
        <v>1958</v>
      </c>
      <c r="K85" s="51">
        <f>VLOOKUP($A85,'Data Vlaue (Cr)'!$C:$FB,60)</f>
        <v>2121</v>
      </c>
      <c r="L85" s="51">
        <f>VLOOKUP($A85,'Data Vlaue (Cr)'!$C:$FB,62)*100</f>
        <v>-7.68</v>
      </c>
      <c r="M85" s="51">
        <f>VLOOKUP($A85,'Data Vlaue (Cr)'!$C:$FB,63)</f>
        <v>1019</v>
      </c>
      <c r="N85" s="51">
        <f>VLOOKUP($A85,'Data Vlaue (Cr)'!$C:$FB,64)</f>
        <v>838</v>
      </c>
      <c r="O85" s="51">
        <f>VLOOKUP($A85,'Data Vlaue (Cr)'!$C:$FB,66)*100</f>
        <v>21.69</v>
      </c>
    </row>
    <row r="86" spans="1:15" x14ac:dyDescent="0.25">
      <c r="A86" s="101" t="str">
        <f>'Data Vlaue (Cr)'!C81</f>
        <v>HINDPETRO</v>
      </c>
      <c r="B86" s="50">
        <f>VLOOKUP($A86,'Data Vlaue (Cr)'!$C:$FB,8)</f>
        <v>452.5</v>
      </c>
      <c r="C86" s="50">
        <f>VLOOKUP($A86,'Data Vlaue (Cr)'!$C:$FB,11)*100</f>
        <v>-1.2</v>
      </c>
      <c r="D86" s="50">
        <f>VLOOKUP($A86,'Data Vlaue (Cr)'!$C:$FB,143)</f>
        <v>1324.88</v>
      </c>
      <c r="E86" s="50">
        <f>VLOOKUP($A86,'Data Vlaue (Cr)'!$C:$FB,144)</f>
        <v>2268.33</v>
      </c>
      <c r="F86" s="50">
        <f>VLOOKUP($A86,'Data Vlaue (Cr)'!$C:$FB,146)*100</f>
        <v>-41.589999999999996</v>
      </c>
      <c r="G86" s="49">
        <f>VLOOKUP($A86,'Data Vlaue (Cr)'!$C:$FB,43)</f>
        <v>259</v>
      </c>
      <c r="H86" s="49">
        <f>VLOOKUP($A86,'Data Vlaue (Cr)'!$C:$FB,44)</f>
        <v>365</v>
      </c>
      <c r="I86" s="49">
        <f>VLOOKUP($A86,'Data Vlaue (Cr)'!$C:$FB,46)*100</f>
        <v>-28.910000000000004</v>
      </c>
      <c r="J86" s="51">
        <f>VLOOKUP($A86,'Data Vlaue (Cr)'!$C:$FB,59)</f>
        <v>645</v>
      </c>
      <c r="K86" s="51">
        <f>VLOOKUP($A86,'Data Vlaue (Cr)'!$C:$FB,60)</f>
        <v>1231</v>
      </c>
      <c r="L86" s="51">
        <f>VLOOKUP($A86,'Data Vlaue (Cr)'!$C:$FB,62)*100</f>
        <v>-47.55</v>
      </c>
      <c r="M86" s="51">
        <f>VLOOKUP($A86,'Data Vlaue (Cr)'!$C:$FB,63)</f>
        <v>374</v>
      </c>
      <c r="N86" s="51">
        <f>VLOOKUP($A86,'Data Vlaue (Cr)'!$C:$FB,64)</f>
        <v>584</v>
      </c>
      <c r="O86" s="51">
        <f>VLOOKUP($A86,'Data Vlaue (Cr)'!$C:$FB,66)*100</f>
        <v>-36</v>
      </c>
    </row>
    <row r="87" spans="1:15" x14ac:dyDescent="0.25">
      <c r="A87" s="101" t="str">
        <f>'Data Vlaue (Cr)'!C82</f>
        <v>HINDUNILVR</v>
      </c>
      <c r="B87" s="50">
        <f>VLOOKUP($A87,'Data Vlaue (Cr)'!$C:$FB,8)</f>
        <v>2528.9</v>
      </c>
      <c r="C87" s="50">
        <f>VLOOKUP($A87,'Data Vlaue (Cr)'!$C:$FB,11)*100</f>
        <v>0.44999999999999996</v>
      </c>
      <c r="D87" s="50">
        <f>VLOOKUP($A87,'Data Vlaue (Cr)'!$C:$FB,143)</f>
        <v>1986.54</v>
      </c>
      <c r="E87" s="50">
        <f>VLOOKUP($A87,'Data Vlaue (Cr)'!$C:$FB,144)</f>
        <v>1497.12</v>
      </c>
      <c r="F87" s="50">
        <f>VLOOKUP($A87,'Data Vlaue (Cr)'!$C:$FB,146)*100</f>
        <v>32.690000000000005</v>
      </c>
      <c r="G87" s="49">
        <f>VLOOKUP($A87,'Data Vlaue (Cr)'!$C:$FB,43)</f>
        <v>360</v>
      </c>
      <c r="H87" s="49">
        <f>VLOOKUP($A87,'Data Vlaue (Cr)'!$C:$FB,44)</f>
        <v>287</v>
      </c>
      <c r="I87" s="49">
        <f>VLOOKUP($A87,'Data Vlaue (Cr)'!$C:$FB,46)*100</f>
        <v>25.46</v>
      </c>
      <c r="J87" s="51">
        <f>VLOOKUP($A87,'Data Vlaue (Cr)'!$C:$FB,59)</f>
        <v>1036</v>
      </c>
      <c r="K87" s="51">
        <f>VLOOKUP($A87,'Data Vlaue (Cr)'!$C:$FB,60)</f>
        <v>812</v>
      </c>
      <c r="L87" s="51">
        <f>VLOOKUP($A87,'Data Vlaue (Cr)'!$C:$FB,62)*100</f>
        <v>27.589999999999996</v>
      </c>
      <c r="M87" s="51">
        <f>VLOOKUP($A87,'Data Vlaue (Cr)'!$C:$FB,63)</f>
        <v>564</v>
      </c>
      <c r="N87" s="51">
        <f>VLOOKUP($A87,'Data Vlaue (Cr)'!$C:$FB,64)</f>
        <v>373</v>
      </c>
      <c r="O87" s="51">
        <f>VLOOKUP($A87,'Data Vlaue (Cr)'!$C:$FB,66)*100</f>
        <v>51.12</v>
      </c>
    </row>
    <row r="88" spans="1:15" x14ac:dyDescent="0.25">
      <c r="A88" s="101" t="str">
        <f>'Data Vlaue (Cr)'!C83</f>
        <v>HINDZINC</v>
      </c>
      <c r="B88" s="50">
        <f>VLOOKUP($A88,'Data Vlaue (Cr)'!$C:$FB,8)</f>
        <v>498.3</v>
      </c>
      <c r="C88" s="50">
        <f>VLOOKUP($A88,'Data Vlaue (Cr)'!$C:$FB,11)*100</f>
        <v>-2.7199999999999998</v>
      </c>
      <c r="D88" s="50">
        <f>VLOOKUP($A88,'Data Vlaue (Cr)'!$C:$FB,143)</f>
        <v>5598.71</v>
      </c>
      <c r="E88" s="50">
        <f>VLOOKUP($A88,'Data Vlaue (Cr)'!$C:$FB,144)</f>
        <v>7214.87</v>
      </c>
      <c r="F88" s="50">
        <f>VLOOKUP($A88,'Data Vlaue (Cr)'!$C:$FB,146)*100</f>
        <v>-22.400000000000002</v>
      </c>
      <c r="G88" s="49">
        <f>VLOOKUP($A88,'Data Vlaue (Cr)'!$C:$FB,43)</f>
        <v>998</v>
      </c>
      <c r="H88" s="49">
        <f>VLOOKUP($A88,'Data Vlaue (Cr)'!$C:$FB,44)</f>
        <v>995</v>
      </c>
      <c r="I88" s="49">
        <f>VLOOKUP($A88,'Data Vlaue (Cr)'!$C:$FB,46)*100</f>
        <v>0.28999999999999998</v>
      </c>
      <c r="J88" s="51">
        <f>VLOOKUP($A88,'Data Vlaue (Cr)'!$C:$FB,59)</f>
        <v>3109</v>
      </c>
      <c r="K88" s="51">
        <f>VLOOKUP($A88,'Data Vlaue (Cr)'!$C:$FB,60)</f>
        <v>4518</v>
      </c>
      <c r="L88" s="51">
        <f>VLOOKUP($A88,'Data Vlaue (Cr)'!$C:$FB,62)*100</f>
        <v>-31.2</v>
      </c>
      <c r="M88" s="51">
        <f>VLOOKUP($A88,'Data Vlaue (Cr)'!$C:$FB,63)</f>
        <v>1355</v>
      </c>
      <c r="N88" s="51">
        <f>VLOOKUP($A88,'Data Vlaue (Cr)'!$C:$FB,64)</f>
        <v>1418</v>
      </c>
      <c r="O88" s="51">
        <f>VLOOKUP($A88,'Data Vlaue (Cr)'!$C:$FB,66)*100</f>
        <v>-4.42</v>
      </c>
    </row>
    <row r="89" spans="1:15" x14ac:dyDescent="0.25">
      <c r="A89" s="101" t="str">
        <f>'Data Vlaue (Cr)'!C84</f>
        <v>HUDCO</v>
      </c>
      <c r="B89" s="50">
        <f>VLOOKUP($A89,'Data Vlaue (Cr)'!$C:$FB,8)</f>
        <v>232.92</v>
      </c>
      <c r="C89" s="50">
        <f>VLOOKUP($A89,'Data Vlaue (Cr)'!$C:$FB,11)*100</f>
        <v>1.5</v>
      </c>
      <c r="D89" s="50">
        <f>VLOOKUP($A89,'Data Vlaue (Cr)'!$C:$FB,143)</f>
        <v>985.61</v>
      </c>
      <c r="E89" s="50">
        <f>VLOOKUP($A89,'Data Vlaue (Cr)'!$C:$FB,144)</f>
        <v>532.79</v>
      </c>
      <c r="F89" s="50">
        <f>VLOOKUP($A89,'Data Vlaue (Cr)'!$C:$FB,146)*100</f>
        <v>84.99</v>
      </c>
      <c r="G89" s="49">
        <f>VLOOKUP($A89,'Data Vlaue (Cr)'!$C:$FB,43)</f>
        <v>172</v>
      </c>
      <c r="H89" s="49">
        <f>VLOOKUP($A89,'Data Vlaue (Cr)'!$C:$FB,44)</f>
        <v>100</v>
      </c>
      <c r="I89" s="49">
        <f>VLOOKUP($A89,'Data Vlaue (Cr)'!$C:$FB,46)*100</f>
        <v>72.350000000000009</v>
      </c>
      <c r="J89" s="51">
        <f>VLOOKUP($A89,'Data Vlaue (Cr)'!$C:$FB,59)</f>
        <v>539</v>
      </c>
      <c r="K89" s="51">
        <f>VLOOKUP($A89,'Data Vlaue (Cr)'!$C:$FB,60)</f>
        <v>314</v>
      </c>
      <c r="L89" s="51">
        <f>VLOOKUP($A89,'Data Vlaue (Cr)'!$C:$FB,62)*100</f>
        <v>71.91</v>
      </c>
      <c r="M89" s="51">
        <f>VLOOKUP($A89,'Data Vlaue (Cr)'!$C:$FB,63)</f>
        <v>256</v>
      </c>
      <c r="N89" s="51">
        <f>VLOOKUP($A89,'Data Vlaue (Cr)'!$C:$FB,64)</f>
        <v>116</v>
      </c>
      <c r="O89" s="51">
        <f>VLOOKUP($A89,'Data Vlaue (Cr)'!$C:$FB,66)*100</f>
        <v>121.10000000000001</v>
      </c>
    </row>
    <row r="90" spans="1:15" x14ac:dyDescent="0.25">
      <c r="A90" s="101" t="str">
        <f>'Data Vlaue (Cr)'!C85</f>
        <v>ICICIBANK</v>
      </c>
      <c r="B90" s="50">
        <f>VLOOKUP($A90,'Data Vlaue (Cr)'!$C:$FB,8)</f>
        <v>1380.3</v>
      </c>
      <c r="C90" s="50">
        <f>VLOOKUP($A90,'Data Vlaue (Cr)'!$C:$FB,11)*100</f>
        <v>0.3</v>
      </c>
      <c r="D90" s="50">
        <f>VLOOKUP($A90,'Data Vlaue (Cr)'!$C:$FB,143)</f>
        <v>7518.55</v>
      </c>
      <c r="E90" s="50">
        <f>VLOOKUP($A90,'Data Vlaue (Cr)'!$C:$FB,144)</f>
        <v>6276.01</v>
      </c>
      <c r="F90" s="50">
        <f>VLOOKUP($A90,'Data Vlaue (Cr)'!$C:$FB,146)*100</f>
        <v>19.8</v>
      </c>
      <c r="G90" s="49">
        <f>VLOOKUP($A90,'Data Vlaue (Cr)'!$C:$FB,43)</f>
        <v>1660</v>
      </c>
      <c r="H90" s="49">
        <f>VLOOKUP($A90,'Data Vlaue (Cr)'!$C:$FB,44)</f>
        <v>1416</v>
      </c>
      <c r="I90" s="49">
        <f>VLOOKUP($A90,'Data Vlaue (Cr)'!$C:$FB,46)*100</f>
        <v>17.22</v>
      </c>
      <c r="J90" s="51">
        <f>VLOOKUP($A90,'Data Vlaue (Cr)'!$C:$FB,59)</f>
        <v>3844</v>
      </c>
      <c r="K90" s="51">
        <f>VLOOKUP($A90,'Data Vlaue (Cr)'!$C:$FB,60)</f>
        <v>3092</v>
      </c>
      <c r="L90" s="51">
        <f>VLOOKUP($A90,'Data Vlaue (Cr)'!$C:$FB,62)*100</f>
        <v>24.32</v>
      </c>
      <c r="M90" s="51">
        <f>VLOOKUP($A90,'Data Vlaue (Cr)'!$C:$FB,63)</f>
        <v>1938</v>
      </c>
      <c r="N90" s="51">
        <f>VLOOKUP($A90,'Data Vlaue (Cr)'!$C:$FB,64)</f>
        <v>1734</v>
      </c>
      <c r="O90" s="51">
        <f>VLOOKUP($A90,'Data Vlaue (Cr)'!$C:$FB,66)*100</f>
        <v>11.77</v>
      </c>
    </row>
    <row r="91" spans="1:15" x14ac:dyDescent="0.25">
      <c r="A91" s="101" t="str">
        <f>'Data Vlaue (Cr)'!C86</f>
        <v>ICICIGI</v>
      </c>
      <c r="B91" s="50">
        <f>VLOOKUP($A91,'Data Vlaue (Cr)'!$C:$FB,8)</f>
        <v>1862.8</v>
      </c>
      <c r="C91" s="50">
        <f>VLOOKUP($A91,'Data Vlaue (Cr)'!$C:$FB,11)*100</f>
        <v>-1.06</v>
      </c>
      <c r="D91" s="50">
        <f>VLOOKUP($A91,'Data Vlaue (Cr)'!$C:$FB,143)</f>
        <v>343.54</v>
      </c>
      <c r="E91" s="50">
        <f>VLOOKUP($A91,'Data Vlaue (Cr)'!$C:$FB,144)</f>
        <v>441.99</v>
      </c>
      <c r="F91" s="50">
        <f>VLOOKUP($A91,'Data Vlaue (Cr)'!$C:$FB,146)*100</f>
        <v>-22.27</v>
      </c>
      <c r="G91" s="49">
        <f>VLOOKUP($A91,'Data Vlaue (Cr)'!$C:$FB,43)</f>
        <v>124</v>
      </c>
      <c r="H91" s="49">
        <f>VLOOKUP($A91,'Data Vlaue (Cr)'!$C:$FB,44)</f>
        <v>143</v>
      </c>
      <c r="I91" s="49">
        <f>VLOOKUP($A91,'Data Vlaue (Cr)'!$C:$FB,46)*100</f>
        <v>-13.33</v>
      </c>
      <c r="J91" s="51">
        <f>VLOOKUP($A91,'Data Vlaue (Cr)'!$C:$FB,59)</f>
        <v>135</v>
      </c>
      <c r="K91" s="51">
        <f>VLOOKUP($A91,'Data Vlaue (Cr)'!$C:$FB,60)</f>
        <v>198</v>
      </c>
      <c r="L91" s="51">
        <f>VLOOKUP($A91,'Data Vlaue (Cr)'!$C:$FB,62)*100</f>
        <v>-31.869999999999997</v>
      </c>
      <c r="M91" s="51">
        <f>VLOOKUP($A91,'Data Vlaue (Cr)'!$C:$FB,63)</f>
        <v>76</v>
      </c>
      <c r="N91" s="51">
        <f>VLOOKUP($A91,'Data Vlaue (Cr)'!$C:$FB,64)</f>
        <v>91</v>
      </c>
      <c r="O91" s="51">
        <f>VLOOKUP($A91,'Data Vlaue (Cr)'!$C:$FB,66)*100</f>
        <v>-15.939999999999998</v>
      </c>
    </row>
    <row r="92" spans="1:15" x14ac:dyDescent="0.25">
      <c r="A92" s="101" t="str">
        <f>'Data Vlaue (Cr)'!C87</f>
        <v>ICICIPRULI</v>
      </c>
      <c r="B92" s="50">
        <f>VLOOKUP($A92,'Data Vlaue (Cr)'!$C:$FB,8)</f>
        <v>597.70000000000005</v>
      </c>
      <c r="C92" s="50">
        <f>VLOOKUP($A92,'Data Vlaue (Cr)'!$C:$FB,11)*100</f>
        <v>0.72</v>
      </c>
      <c r="D92" s="50">
        <f>VLOOKUP($A92,'Data Vlaue (Cr)'!$C:$FB,143)</f>
        <v>375.07</v>
      </c>
      <c r="E92" s="50">
        <f>VLOOKUP($A92,'Data Vlaue (Cr)'!$C:$FB,144)</f>
        <v>180.87</v>
      </c>
      <c r="F92" s="50">
        <f>VLOOKUP($A92,'Data Vlaue (Cr)'!$C:$FB,146)*100</f>
        <v>107.37</v>
      </c>
      <c r="G92" s="49">
        <f>VLOOKUP($A92,'Data Vlaue (Cr)'!$C:$FB,43)</f>
        <v>103</v>
      </c>
      <c r="H92" s="49">
        <f>VLOOKUP($A92,'Data Vlaue (Cr)'!$C:$FB,44)</f>
        <v>53</v>
      </c>
      <c r="I92" s="49">
        <f>VLOOKUP($A92,'Data Vlaue (Cr)'!$C:$FB,46)*100</f>
        <v>95.89</v>
      </c>
      <c r="J92" s="51">
        <f>VLOOKUP($A92,'Data Vlaue (Cr)'!$C:$FB,59)</f>
        <v>192</v>
      </c>
      <c r="K92" s="51">
        <f>VLOOKUP($A92,'Data Vlaue (Cr)'!$C:$FB,60)</f>
        <v>94</v>
      </c>
      <c r="L92" s="51">
        <f>VLOOKUP($A92,'Data Vlaue (Cr)'!$C:$FB,62)*100</f>
        <v>103.47999999999999</v>
      </c>
      <c r="M92" s="51">
        <f>VLOOKUP($A92,'Data Vlaue (Cr)'!$C:$FB,63)</f>
        <v>72</v>
      </c>
      <c r="N92" s="51">
        <f>VLOOKUP($A92,'Data Vlaue (Cr)'!$C:$FB,64)</f>
        <v>31</v>
      </c>
      <c r="O92" s="51">
        <f>VLOOKUP($A92,'Data Vlaue (Cr)'!$C:$FB,66)*100</f>
        <v>132.54999999999998</v>
      </c>
    </row>
    <row r="93" spans="1:15" x14ac:dyDescent="0.25">
      <c r="A93" s="101" t="str">
        <f>'Data Vlaue (Cr)'!C88</f>
        <v>IDEA</v>
      </c>
      <c r="B93" s="50">
        <f>VLOOKUP($A93,'Data Vlaue (Cr)'!$C:$FB,8)</f>
        <v>9.0399999999999991</v>
      </c>
      <c r="C93" s="50">
        <f>VLOOKUP($A93,'Data Vlaue (Cr)'!$C:$FB,11)*100</f>
        <v>0.11</v>
      </c>
      <c r="D93" s="50">
        <f>VLOOKUP($A93,'Data Vlaue (Cr)'!$C:$FB,143)</f>
        <v>2513.42</v>
      </c>
      <c r="E93" s="50">
        <f>VLOOKUP($A93,'Data Vlaue (Cr)'!$C:$FB,144)</f>
        <v>2309.77</v>
      </c>
      <c r="F93" s="50">
        <f>VLOOKUP($A93,'Data Vlaue (Cr)'!$C:$FB,146)*100</f>
        <v>8.82</v>
      </c>
      <c r="G93" s="49">
        <f>VLOOKUP($A93,'Data Vlaue (Cr)'!$C:$FB,43)</f>
        <v>658</v>
      </c>
      <c r="H93" s="49">
        <f>VLOOKUP($A93,'Data Vlaue (Cr)'!$C:$FB,44)</f>
        <v>621</v>
      </c>
      <c r="I93" s="49">
        <f>VLOOKUP($A93,'Data Vlaue (Cr)'!$C:$FB,46)*100</f>
        <v>5.92</v>
      </c>
      <c r="J93" s="51">
        <f>VLOOKUP($A93,'Data Vlaue (Cr)'!$C:$FB,59)</f>
        <v>1269</v>
      </c>
      <c r="K93" s="51">
        <f>VLOOKUP($A93,'Data Vlaue (Cr)'!$C:$FB,60)</f>
        <v>1141</v>
      </c>
      <c r="L93" s="51">
        <f>VLOOKUP($A93,'Data Vlaue (Cr)'!$C:$FB,62)*100</f>
        <v>11.19</v>
      </c>
      <c r="M93" s="51">
        <f>VLOOKUP($A93,'Data Vlaue (Cr)'!$C:$FB,63)</f>
        <v>409</v>
      </c>
      <c r="N93" s="51">
        <f>VLOOKUP($A93,'Data Vlaue (Cr)'!$C:$FB,64)</f>
        <v>381</v>
      </c>
      <c r="O93" s="51">
        <f>VLOOKUP($A93,'Data Vlaue (Cr)'!$C:$FB,66)*100</f>
        <v>7.3400000000000007</v>
      </c>
    </row>
    <row r="94" spans="1:15" x14ac:dyDescent="0.25">
      <c r="A94" s="101" t="str">
        <f>'Data Vlaue (Cr)'!C89</f>
        <v>IDFCFIRSTB</v>
      </c>
      <c r="B94" s="50">
        <f>VLOOKUP($A94,'Data Vlaue (Cr)'!$C:$FB,8)</f>
        <v>74.430000000000007</v>
      </c>
      <c r="C94" s="50">
        <f>VLOOKUP($A94,'Data Vlaue (Cr)'!$C:$FB,11)*100</f>
        <v>1.3299999999999998</v>
      </c>
      <c r="D94" s="50">
        <f>VLOOKUP($A94,'Data Vlaue (Cr)'!$C:$FB,143)</f>
        <v>3336.23</v>
      </c>
      <c r="E94" s="50">
        <f>VLOOKUP($A94,'Data Vlaue (Cr)'!$C:$FB,144)</f>
        <v>2153.98</v>
      </c>
      <c r="F94" s="50">
        <f>VLOOKUP($A94,'Data Vlaue (Cr)'!$C:$FB,146)*100</f>
        <v>54.890000000000008</v>
      </c>
      <c r="G94" s="49">
        <f>VLOOKUP($A94,'Data Vlaue (Cr)'!$C:$FB,43)</f>
        <v>551</v>
      </c>
      <c r="H94" s="49">
        <f>VLOOKUP($A94,'Data Vlaue (Cr)'!$C:$FB,44)</f>
        <v>402</v>
      </c>
      <c r="I94" s="49">
        <f>VLOOKUP($A94,'Data Vlaue (Cr)'!$C:$FB,46)*100</f>
        <v>36.82</v>
      </c>
      <c r="J94" s="51">
        <f>VLOOKUP($A94,'Data Vlaue (Cr)'!$C:$FB,59)</f>
        <v>2007</v>
      </c>
      <c r="K94" s="51">
        <f>VLOOKUP($A94,'Data Vlaue (Cr)'!$C:$FB,60)</f>
        <v>1022</v>
      </c>
      <c r="L94" s="51">
        <f>VLOOKUP($A94,'Data Vlaue (Cr)'!$C:$FB,62)*100</f>
        <v>96.399999999999991</v>
      </c>
      <c r="M94" s="51">
        <f>VLOOKUP($A94,'Data Vlaue (Cr)'!$C:$FB,63)</f>
        <v>735</v>
      </c>
      <c r="N94" s="51">
        <f>VLOOKUP($A94,'Data Vlaue (Cr)'!$C:$FB,64)</f>
        <v>751</v>
      </c>
      <c r="O94" s="51">
        <f>VLOOKUP($A94,'Data Vlaue (Cr)'!$C:$FB,66)*100</f>
        <v>-2.2200000000000002</v>
      </c>
    </row>
    <row r="95" spans="1:15" x14ac:dyDescent="0.25">
      <c r="A95" s="101" t="str">
        <f>'Data Vlaue (Cr)'!C90</f>
        <v>IEX</v>
      </c>
      <c r="B95" s="50">
        <f>VLOOKUP($A95,'Data Vlaue (Cr)'!$C:$FB,8)</f>
        <v>139.87</v>
      </c>
      <c r="C95" s="50">
        <f>VLOOKUP($A95,'Data Vlaue (Cr)'!$C:$FB,11)*100</f>
        <v>-0.38999999999999996</v>
      </c>
      <c r="D95" s="50">
        <f>VLOOKUP($A95,'Data Vlaue (Cr)'!$C:$FB,143)</f>
        <v>362.18</v>
      </c>
      <c r="E95" s="50">
        <f>VLOOKUP($A95,'Data Vlaue (Cr)'!$C:$FB,144)</f>
        <v>294.95</v>
      </c>
      <c r="F95" s="50">
        <f>VLOOKUP($A95,'Data Vlaue (Cr)'!$C:$FB,146)*100</f>
        <v>22.79</v>
      </c>
      <c r="G95" s="49">
        <f>VLOOKUP($A95,'Data Vlaue (Cr)'!$C:$FB,43)</f>
        <v>79</v>
      </c>
      <c r="H95" s="49">
        <f>VLOOKUP($A95,'Data Vlaue (Cr)'!$C:$FB,44)</f>
        <v>48</v>
      </c>
      <c r="I95" s="49">
        <f>VLOOKUP($A95,'Data Vlaue (Cr)'!$C:$FB,46)*100</f>
        <v>65.010000000000005</v>
      </c>
      <c r="J95" s="51">
        <f>VLOOKUP($A95,'Data Vlaue (Cr)'!$C:$FB,59)</f>
        <v>191</v>
      </c>
      <c r="K95" s="51">
        <f>VLOOKUP($A95,'Data Vlaue (Cr)'!$C:$FB,60)</f>
        <v>159</v>
      </c>
      <c r="L95" s="51">
        <f>VLOOKUP($A95,'Data Vlaue (Cr)'!$C:$FB,62)*100</f>
        <v>20.05</v>
      </c>
      <c r="M95" s="51">
        <f>VLOOKUP($A95,'Data Vlaue (Cr)'!$C:$FB,63)</f>
        <v>81</v>
      </c>
      <c r="N95" s="51">
        <f>VLOOKUP($A95,'Data Vlaue (Cr)'!$C:$FB,64)</f>
        <v>79</v>
      </c>
      <c r="O95" s="51">
        <f>VLOOKUP($A95,'Data Vlaue (Cr)'!$C:$FB,66)*100</f>
        <v>2.46</v>
      </c>
    </row>
    <row r="96" spans="1:15" x14ac:dyDescent="0.25">
      <c r="A96" s="101" t="str">
        <f>'Data Vlaue (Cr)'!C91</f>
        <v>IGL</v>
      </c>
      <c r="B96" s="50">
        <f>VLOOKUP($A96,'Data Vlaue (Cr)'!$C:$FB,8)</f>
        <v>216.18</v>
      </c>
      <c r="C96" s="50">
        <f>VLOOKUP($A96,'Data Vlaue (Cr)'!$C:$FB,11)*100</f>
        <v>-1.0699999999999998</v>
      </c>
      <c r="D96" s="50">
        <f>VLOOKUP($A96,'Data Vlaue (Cr)'!$C:$FB,143)</f>
        <v>483.39</v>
      </c>
      <c r="E96" s="50">
        <f>VLOOKUP($A96,'Data Vlaue (Cr)'!$C:$FB,144)</f>
        <v>838.11</v>
      </c>
      <c r="F96" s="50">
        <f>VLOOKUP($A96,'Data Vlaue (Cr)'!$C:$FB,146)*100</f>
        <v>-42.32</v>
      </c>
      <c r="G96" s="49">
        <f>VLOOKUP($A96,'Data Vlaue (Cr)'!$C:$FB,43)</f>
        <v>84</v>
      </c>
      <c r="H96" s="49">
        <f>VLOOKUP($A96,'Data Vlaue (Cr)'!$C:$FB,44)</f>
        <v>149</v>
      </c>
      <c r="I96" s="49">
        <f>VLOOKUP($A96,'Data Vlaue (Cr)'!$C:$FB,46)*100</f>
        <v>-43.66</v>
      </c>
      <c r="J96" s="51">
        <f>VLOOKUP($A96,'Data Vlaue (Cr)'!$C:$FB,59)</f>
        <v>267</v>
      </c>
      <c r="K96" s="51">
        <f>VLOOKUP($A96,'Data Vlaue (Cr)'!$C:$FB,60)</f>
        <v>472</v>
      </c>
      <c r="L96" s="51">
        <f>VLOOKUP($A96,'Data Vlaue (Cr)'!$C:$FB,62)*100</f>
        <v>-43.47</v>
      </c>
      <c r="M96" s="51">
        <f>VLOOKUP($A96,'Data Vlaue (Cr)'!$C:$FB,63)</f>
        <v>116</v>
      </c>
      <c r="N96" s="51">
        <f>VLOOKUP($A96,'Data Vlaue (Cr)'!$C:$FB,64)</f>
        <v>185</v>
      </c>
      <c r="O96" s="51">
        <f>VLOOKUP($A96,'Data Vlaue (Cr)'!$C:$FB,66)*100</f>
        <v>-37.36</v>
      </c>
    </row>
    <row r="97" spans="1:15" x14ac:dyDescent="0.25">
      <c r="A97" s="101" t="str">
        <f>'Data Vlaue (Cr)'!C92</f>
        <v>IIFL</v>
      </c>
      <c r="B97" s="50">
        <f>VLOOKUP($A97,'Data Vlaue (Cr)'!$C:$FB,8)</f>
        <v>490</v>
      </c>
      <c r="C97" s="50">
        <f>VLOOKUP($A97,'Data Vlaue (Cr)'!$C:$FB,11)*100</f>
        <v>-1.04</v>
      </c>
      <c r="D97" s="50">
        <f>VLOOKUP($A97,'Data Vlaue (Cr)'!$C:$FB,143)</f>
        <v>457.71</v>
      </c>
      <c r="E97" s="50">
        <f>VLOOKUP($A97,'Data Vlaue (Cr)'!$C:$FB,144)</f>
        <v>1199.57</v>
      </c>
      <c r="F97" s="50">
        <f>VLOOKUP($A97,'Data Vlaue (Cr)'!$C:$FB,146)*100</f>
        <v>-61.839999999999996</v>
      </c>
      <c r="G97" s="49">
        <f>VLOOKUP($A97,'Data Vlaue (Cr)'!$C:$FB,43)</f>
        <v>143</v>
      </c>
      <c r="H97" s="49">
        <f>VLOOKUP($A97,'Data Vlaue (Cr)'!$C:$FB,44)</f>
        <v>283</v>
      </c>
      <c r="I97" s="49">
        <f>VLOOKUP($A97,'Data Vlaue (Cr)'!$C:$FB,46)*100</f>
        <v>-49.58</v>
      </c>
      <c r="J97" s="51">
        <f>VLOOKUP($A97,'Data Vlaue (Cr)'!$C:$FB,59)</f>
        <v>192</v>
      </c>
      <c r="K97" s="51">
        <f>VLOOKUP($A97,'Data Vlaue (Cr)'!$C:$FB,60)</f>
        <v>660</v>
      </c>
      <c r="L97" s="51">
        <f>VLOOKUP($A97,'Data Vlaue (Cr)'!$C:$FB,62)*100</f>
        <v>-70.98</v>
      </c>
      <c r="M97" s="51">
        <f>VLOOKUP($A97,'Data Vlaue (Cr)'!$C:$FB,63)</f>
        <v>115</v>
      </c>
      <c r="N97" s="51">
        <f>VLOOKUP($A97,'Data Vlaue (Cr)'!$C:$FB,64)</f>
        <v>221</v>
      </c>
      <c r="O97" s="51">
        <f>VLOOKUP($A97,'Data Vlaue (Cr)'!$C:$FB,66)*100</f>
        <v>-47.81</v>
      </c>
    </row>
    <row r="98" spans="1:15" x14ac:dyDescent="0.25">
      <c r="A98" s="101" t="str">
        <f>'Data Vlaue (Cr)'!C93</f>
        <v>INDHOTEL</v>
      </c>
      <c r="B98" s="50">
        <f>VLOOKUP($A98,'Data Vlaue (Cr)'!$C:$FB,8)</f>
        <v>735.55</v>
      </c>
      <c r="C98" s="50">
        <f>VLOOKUP($A98,'Data Vlaue (Cr)'!$C:$FB,11)*100</f>
        <v>0.45999999999999996</v>
      </c>
      <c r="D98" s="50">
        <f>VLOOKUP($A98,'Data Vlaue (Cr)'!$C:$FB,143)</f>
        <v>1580.49</v>
      </c>
      <c r="E98" s="50">
        <f>VLOOKUP($A98,'Data Vlaue (Cr)'!$C:$FB,144)</f>
        <v>949.57</v>
      </c>
      <c r="F98" s="50">
        <f>VLOOKUP($A98,'Data Vlaue (Cr)'!$C:$FB,146)*100</f>
        <v>66.44</v>
      </c>
      <c r="G98" s="49">
        <f>VLOOKUP($A98,'Data Vlaue (Cr)'!$C:$FB,43)</f>
        <v>226</v>
      </c>
      <c r="H98" s="49">
        <f>VLOOKUP($A98,'Data Vlaue (Cr)'!$C:$FB,44)</f>
        <v>156</v>
      </c>
      <c r="I98" s="49">
        <f>VLOOKUP($A98,'Data Vlaue (Cr)'!$C:$FB,46)*100</f>
        <v>44.29</v>
      </c>
      <c r="J98" s="51">
        <f>VLOOKUP($A98,'Data Vlaue (Cr)'!$C:$FB,59)</f>
        <v>1020</v>
      </c>
      <c r="K98" s="51">
        <f>VLOOKUP($A98,'Data Vlaue (Cr)'!$C:$FB,60)</f>
        <v>652</v>
      </c>
      <c r="L98" s="51">
        <f>VLOOKUP($A98,'Data Vlaue (Cr)'!$C:$FB,62)*100</f>
        <v>56.42</v>
      </c>
      <c r="M98" s="51">
        <f>VLOOKUP($A98,'Data Vlaue (Cr)'!$C:$FB,63)</f>
        <v>295</v>
      </c>
      <c r="N98" s="51">
        <f>VLOOKUP($A98,'Data Vlaue (Cr)'!$C:$FB,64)</f>
        <v>120</v>
      </c>
      <c r="O98" s="51">
        <f>VLOOKUP($A98,'Data Vlaue (Cr)'!$C:$FB,66)*100</f>
        <v>145.67000000000002</v>
      </c>
    </row>
    <row r="99" spans="1:15" x14ac:dyDescent="0.25">
      <c r="A99" s="101" t="str">
        <f>'Data Vlaue (Cr)'!C94</f>
        <v>INDIANB</v>
      </c>
      <c r="B99" s="50">
        <f>VLOOKUP($A99,'Data Vlaue (Cr)'!$C:$FB,8)</f>
        <v>776.25</v>
      </c>
      <c r="C99" s="50">
        <f>VLOOKUP($A99,'Data Vlaue (Cr)'!$C:$FB,11)*100</f>
        <v>1.31</v>
      </c>
      <c r="D99" s="50">
        <f>VLOOKUP($A99,'Data Vlaue (Cr)'!$C:$FB,143)</f>
        <v>762.91</v>
      </c>
      <c r="E99" s="50">
        <f>VLOOKUP($A99,'Data Vlaue (Cr)'!$C:$FB,144)</f>
        <v>351.41</v>
      </c>
      <c r="F99" s="50">
        <f>VLOOKUP($A99,'Data Vlaue (Cr)'!$C:$FB,146)*100</f>
        <v>117.10000000000001</v>
      </c>
      <c r="G99" s="49">
        <f>VLOOKUP($A99,'Data Vlaue (Cr)'!$C:$FB,43)</f>
        <v>185</v>
      </c>
      <c r="H99" s="49">
        <f>VLOOKUP($A99,'Data Vlaue (Cr)'!$C:$FB,44)</f>
        <v>113</v>
      </c>
      <c r="I99" s="49">
        <f>VLOOKUP($A99,'Data Vlaue (Cr)'!$C:$FB,46)*100</f>
        <v>64.09</v>
      </c>
      <c r="J99" s="51">
        <f>VLOOKUP($A99,'Data Vlaue (Cr)'!$C:$FB,59)</f>
        <v>374</v>
      </c>
      <c r="K99" s="51">
        <f>VLOOKUP($A99,'Data Vlaue (Cr)'!$C:$FB,60)</f>
        <v>136</v>
      </c>
      <c r="L99" s="51">
        <f>VLOOKUP($A99,'Data Vlaue (Cr)'!$C:$FB,62)*100</f>
        <v>174.64</v>
      </c>
      <c r="M99" s="51">
        <f>VLOOKUP($A99,'Data Vlaue (Cr)'!$C:$FB,63)</f>
        <v>200</v>
      </c>
      <c r="N99" s="51">
        <f>VLOOKUP($A99,'Data Vlaue (Cr)'!$C:$FB,64)</f>
        <v>107</v>
      </c>
      <c r="O99" s="51">
        <f>VLOOKUP($A99,'Data Vlaue (Cr)'!$C:$FB,66)*100</f>
        <v>86.99</v>
      </c>
    </row>
    <row r="100" spans="1:15" x14ac:dyDescent="0.25">
      <c r="A100" s="101" t="str">
        <f>'Data Vlaue (Cr)'!C95</f>
        <v>INDIAVIX</v>
      </c>
      <c r="B100" s="50">
        <f>VLOOKUP($A100,'Data Vlaue (Cr)'!$C:$FB,8)</f>
        <v>10.1</v>
      </c>
      <c r="C100" s="50">
        <f>VLOOKUP($A100,'Data Vlaue (Cr)'!$C:$FB,11)*100</f>
        <v>-0.16999999999999998</v>
      </c>
      <c r="D100" s="50">
        <f>VLOOKUP($A100,'Data Vlaue (Cr)'!$C:$FB,143)</f>
        <v>0</v>
      </c>
      <c r="E100" s="50">
        <f>VLOOKUP($A100,'Data Vlaue (Cr)'!$C:$FB,144)</f>
        <v>0</v>
      </c>
      <c r="F100" s="50">
        <f>VLOOKUP($A100,'Data Vlaue (Cr)'!$C:$FB,146)*100</f>
        <v>0</v>
      </c>
      <c r="G100" s="49">
        <f>VLOOKUP($A100,'Data Vlaue (Cr)'!$C:$FB,43)</f>
        <v>0</v>
      </c>
      <c r="H100" s="49">
        <f>VLOOKUP($A100,'Data Vlaue (Cr)'!$C:$FB,44)</f>
        <v>0</v>
      </c>
      <c r="I100" s="49">
        <f>VLOOKUP($A100,'Data Vlaue (Cr)'!$C:$FB,46)*100</f>
        <v>0</v>
      </c>
      <c r="J100" s="51">
        <f>VLOOKUP($A100,'Data Vlaue (Cr)'!$C:$FB,59)</f>
        <v>0</v>
      </c>
      <c r="K100" s="51">
        <f>VLOOKUP($A100,'Data Vlaue (Cr)'!$C:$FB,60)</f>
        <v>0</v>
      </c>
      <c r="L100" s="51">
        <f>VLOOKUP($A100,'Data Vlaue (Cr)'!$C:$FB,62)*100</f>
        <v>0</v>
      </c>
      <c r="M100" s="51">
        <f>VLOOKUP($A100,'Data Vlaue (Cr)'!$C:$FB,63)</f>
        <v>0</v>
      </c>
      <c r="N100" s="51">
        <f>VLOOKUP($A100,'Data Vlaue (Cr)'!$C:$FB,64)</f>
        <v>0</v>
      </c>
      <c r="O100" s="51">
        <f>VLOOKUP($A100,'Data Vlaue (Cr)'!$C:$FB,66)*100</f>
        <v>0</v>
      </c>
    </row>
    <row r="101" spans="1:15" x14ac:dyDescent="0.25">
      <c r="A101" s="101" t="str">
        <f>'Data Vlaue (Cr)'!C96</f>
        <v>INDIGO</v>
      </c>
      <c r="B101" s="50">
        <f>VLOOKUP($A101,'Data Vlaue (Cr)'!$C:$FB,8)</f>
        <v>5735</v>
      </c>
      <c r="C101" s="50">
        <f>VLOOKUP($A101,'Data Vlaue (Cr)'!$C:$FB,11)*100</f>
        <v>0.18</v>
      </c>
      <c r="D101" s="50">
        <f>VLOOKUP($A101,'Data Vlaue (Cr)'!$C:$FB,143)</f>
        <v>2570.16</v>
      </c>
      <c r="E101" s="50">
        <f>VLOOKUP($A101,'Data Vlaue (Cr)'!$C:$FB,144)</f>
        <v>3559.34</v>
      </c>
      <c r="F101" s="50">
        <f>VLOOKUP($A101,'Data Vlaue (Cr)'!$C:$FB,146)*100</f>
        <v>-27.79</v>
      </c>
      <c r="G101" s="49">
        <f>VLOOKUP($A101,'Data Vlaue (Cr)'!$C:$FB,43)</f>
        <v>438</v>
      </c>
      <c r="H101" s="49">
        <f>VLOOKUP($A101,'Data Vlaue (Cr)'!$C:$FB,44)</f>
        <v>672</v>
      </c>
      <c r="I101" s="49">
        <f>VLOOKUP($A101,'Data Vlaue (Cr)'!$C:$FB,46)*100</f>
        <v>-34.81</v>
      </c>
      <c r="J101" s="51">
        <f>VLOOKUP($A101,'Data Vlaue (Cr)'!$C:$FB,59)</f>
        <v>1515</v>
      </c>
      <c r="K101" s="51">
        <f>VLOOKUP($A101,'Data Vlaue (Cr)'!$C:$FB,60)</f>
        <v>1995</v>
      </c>
      <c r="L101" s="51">
        <f>VLOOKUP($A101,'Data Vlaue (Cr)'!$C:$FB,62)*100</f>
        <v>-24.04</v>
      </c>
      <c r="M101" s="51">
        <f>VLOOKUP($A101,'Data Vlaue (Cr)'!$C:$FB,63)</f>
        <v>585</v>
      </c>
      <c r="N101" s="51">
        <f>VLOOKUP($A101,'Data Vlaue (Cr)'!$C:$FB,64)</f>
        <v>868</v>
      </c>
      <c r="O101" s="51">
        <f>VLOOKUP($A101,'Data Vlaue (Cr)'!$C:$FB,66)*100</f>
        <v>-32.65</v>
      </c>
    </row>
    <row r="102" spans="1:15" x14ac:dyDescent="0.25">
      <c r="A102" s="101" t="str">
        <f>'Data Vlaue (Cr)'!C97</f>
        <v>INDUSINDBK</v>
      </c>
      <c r="B102" s="50">
        <f>VLOOKUP($A102,'Data Vlaue (Cr)'!$C:$FB,8)</f>
        <v>763.35</v>
      </c>
      <c r="C102" s="50">
        <f>VLOOKUP($A102,'Data Vlaue (Cr)'!$C:$FB,11)*100</f>
        <v>1.9</v>
      </c>
      <c r="D102" s="50">
        <f>VLOOKUP($A102,'Data Vlaue (Cr)'!$C:$FB,143)</f>
        <v>3525.68</v>
      </c>
      <c r="E102" s="50">
        <f>VLOOKUP($A102,'Data Vlaue (Cr)'!$C:$FB,144)</f>
        <v>1887.6</v>
      </c>
      <c r="F102" s="50">
        <f>VLOOKUP($A102,'Data Vlaue (Cr)'!$C:$FB,146)*100</f>
        <v>86.78</v>
      </c>
      <c r="G102" s="49">
        <f>VLOOKUP($A102,'Data Vlaue (Cr)'!$C:$FB,43)</f>
        <v>770</v>
      </c>
      <c r="H102" s="49">
        <f>VLOOKUP($A102,'Data Vlaue (Cr)'!$C:$FB,44)</f>
        <v>518</v>
      </c>
      <c r="I102" s="49">
        <f>VLOOKUP($A102,'Data Vlaue (Cr)'!$C:$FB,46)*100</f>
        <v>48.699999999999996</v>
      </c>
      <c r="J102" s="51">
        <f>VLOOKUP($A102,'Data Vlaue (Cr)'!$C:$FB,59)</f>
        <v>1883</v>
      </c>
      <c r="K102" s="51">
        <f>VLOOKUP($A102,'Data Vlaue (Cr)'!$C:$FB,60)</f>
        <v>864</v>
      </c>
      <c r="L102" s="51">
        <f>VLOOKUP($A102,'Data Vlaue (Cr)'!$C:$FB,62)*100</f>
        <v>117.9</v>
      </c>
      <c r="M102" s="51">
        <f>VLOOKUP($A102,'Data Vlaue (Cr)'!$C:$FB,63)</f>
        <v>817</v>
      </c>
      <c r="N102" s="51">
        <f>VLOOKUP($A102,'Data Vlaue (Cr)'!$C:$FB,64)</f>
        <v>504</v>
      </c>
      <c r="O102" s="51">
        <f>VLOOKUP($A102,'Data Vlaue (Cr)'!$C:$FB,66)*100</f>
        <v>61.88</v>
      </c>
    </row>
    <row r="103" spans="1:15" x14ac:dyDescent="0.25">
      <c r="A103" s="101" t="str">
        <f>'Data Vlaue (Cr)'!C98</f>
        <v>INDUSTOWER</v>
      </c>
      <c r="B103" s="50">
        <f>VLOOKUP($A103,'Data Vlaue (Cr)'!$C:$FB,8)</f>
        <v>353.7</v>
      </c>
      <c r="C103" s="50">
        <f>VLOOKUP($A103,'Data Vlaue (Cr)'!$C:$FB,11)*100</f>
        <v>-0.32</v>
      </c>
      <c r="D103" s="50">
        <f>VLOOKUP($A103,'Data Vlaue (Cr)'!$C:$FB,143)</f>
        <v>1431</v>
      </c>
      <c r="E103" s="50">
        <f>VLOOKUP($A103,'Data Vlaue (Cr)'!$C:$FB,144)</f>
        <v>1027.3599999999999</v>
      </c>
      <c r="F103" s="50">
        <f>VLOOKUP($A103,'Data Vlaue (Cr)'!$C:$FB,146)*100</f>
        <v>39.290000000000006</v>
      </c>
      <c r="G103" s="49">
        <f>VLOOKUP($A103,'Data Vlaue (Cr)'!$C:$FB,43)</f>
        <v>316</v>
      </c>
      <c r="H103" s="49">
        <f>VLOOKUP($A103,'Data Vlaue (Cr)'!$C:$FB,44)</f>
        <v>280</v>
      </c>
      <c r="I103" s="49">
        <f>VLOOKUP($A103,'Data Vlaue (Cr)'!$C:$FB,46)*100</f>
        <v>12.8</v>
      </c>
      <c r="J103" s="51">
        <f>VLOOKUP($A103,'Data Vlaue (Cr)'!$C:$FB,59)</f>
        <v>783</v>
      </c>
      <c r="K103" s="51">
        <f>VLOOKUP($A103,'Data Vlaue (Cr)'!$C:$FB,60)</f>
        <v>447</v>
      </c>
      <c r="L103" s="51">
        <f>VLOOKUP($A103,'Data Vlaue (Cr)'!$C:$FB,62)*100</f>
        <v>75.41</v>
      </c>
      <c r="M103" s="51">
        <f>VLOOKUP($A103,'Data Vlaue (Cr)'!$C:$FB,63)</f>
        <v>289</v>
      </c>
      <c r="N103" s="51">
        <f>VLOOKUP($A103,'Data Vlaue (Cr)'!$C:$FB,64)</f>
        <v>279</v>
      </c>
      <c r="O103" s="51">
        <f>VLOOKUP($A103,'Data Vlaue (Cr)'!$C:$FB,66)*100</f>
        <v>3.3300000000000005</v>
      </c>
    </row>
    <row r="104" spans="1:15" x14ac:dyDescent="0.25">
      <c r="A104" s="101" t="str">
        <f>'Data Vlaue (Cr)'!C99</f>
        <v>INFY</v>
      </c>
      <c r="B104" s="50">
        <f>VLOOKUP($A104,'Data Vlaue (Cr)'!$C:$FB,8)</f>
        <v>1514.9</v>
      </c>
      <c r="C104" s="50">
        <f>VLOOKUP($A104,'Data Vlaue (Cr)'!$C:$FB,11)*100</f>
        <v>0.37</v>
      </c>
      <c r="D104" s="50">
        <f>VLOOKUP($A104,'Data Vlaue (Cr)'!$C:$FB,143)</f>
        <v>8486.32</v>
      </c>
      <c r="E104" s="50">
        <f>VLOOKUP($A104,'Data Vlaue (Cr)'!$C:$FB,144)</f>
        <v>11895.4</v>
      </c>
      <c r="F104" s="50">
        <f>VLOOKUP($A104,'Data Vlaue (Cr)'!$C:$FB,146)*100</f>
        <v>-28.660000000000004</v>
      </c>
      <c r="G104" s="49">
        <f>VLOOKUP($A104,'Data Vlaue (Cr)'!$C:$FB,43)</f>
        <v>1614</v>
      </c>
      <c r="H104" s="49">
        <f>VLOOKUP($A104,'Data Vlaue (Cr)'!$C:$FB,44)</f>
        <v>1985</v>
      </c>
      <c r="I104" s="49">
        <f>VLOOKUP($A104,'Data Vlaue (Cr)'!$C:$FB,46)*100</f>
        <v>-18.670000000000002</v>
      </c>
      <c r="J104" s="51">
        <f>VLOOKUP($A104,'Data Vlaue (Cr)'!$C:$FB,59)</f>
        <v>4073</v>
      </c>
      <c r="K104" s="51">
        <f>VLOOKUP($A104,'Data Vlaue (Cr)'!$C:$FB,60)</f>
        <v>6108</v>
      </c>
      <c r="L104" s="51">
        <f>VLOOKUP($A104,'Data Vlaue (Cr)'!$C:$FB,62)*100</f>
        <v>-33.33</v>
      </c>
      <c r="M104" s="51">
        <f>VLOOKUP($A104,'Data Vlaue (Cr)'!$C:$FB,63)</f>
        <v>2669</v>
      </c>
      <c r="N104" s="51">
        <f>VLOOKUP($A104,'Data Vlaue (Cr)'!$C:$FB,64)</f>
        <v>3667</v>
      </c>
      <c r="O104" s="51">
        <f>VLOOKUP($A104,'Data Vlaue (Cr)'!$C:$FB,66)*100</f>
        <v>-27.21</v>
      </c>
    </row>
    <row r="105" spans="1:15" x14ac:dyDescent="0.25">
      <c r="A105" s="101" t="str">
        <f>'Data Vlaue (Cr)'!C100</f>
        <v>INOXWIND</v>
      </c>
      <c r="B105" s="50">
        <f>VLOOKUP($A105,'Data Vlaue (Cr)'!$C:$FB,8)</f>
        <v>150.08000000000001</v>
      </c>
      <c r="C105" s="50">
        <f>VLOOKUP($A105,'Data Vlaue (Cr)'!$C:$FB,11)*100</f>
        <v>2.1</v>
      </c>
      <c r="D105" s="50">
        <f>VLOOKUP($A105,'Data Vlaue (Cr)'!$C:$FB,143)</f>
        <v>1262.81</v>
      </c>
      <c r="E105" s="50">
        <f>VLOOKUP($A105,'Data Vlaue (Cr)'!$C:$FB,144)</f>
        <v>964.61</v>
      </c>
      <c r="F105" s="50">
        <f>VLOOKUP($A105,'Data Vlaue (Cr)'!$C:$FB,146)*100</f>
        <v>30.91</v>
      </c>
      <c r="G105" s="49">
        <f>VLOOKUP($A105,'Data Vlaue (Cr)'!$C:$FB,43)</f>
        <v>203</v>
      </c>
      <c r="H105" s="49">
        <f>VLOOKUP($A105,'Data Vlaue (Cr)'!$C:$FB,44)</f>
        <v>233</v>
      </c>
      <c r="I105" s="49">
        <f>VLOOKUP($A105,'Data Vlaue (Cr)'!$C:$FB,46)*100</f>
        <v>-12.76</v>
      </c>
      <c r="J105" s="51">
        <f>VLOOKUP($A105,'Data Vlaue (Cr)'!$C:$FB,59)</f>
        <v>773</v>
      </c>
      <c r="K105" s="51">
        <f>VLOOKUP($A105,'Data Vlaue (Cr)'!$C:$FB,60)</f>
        <v>546</v>
      </c>
      <c r="L105" s="51">
        <f>VLOOKUP($A105,'Data Vlaue (Cr)'!$C:$FB,62)*100</f>
        <v>41.69</v>
      </c>
      <c r="M105" s="51">
        <f>VLOOKUP($A105,'Data Vlaue (Cr)'!$C:$FB,63)</f>
        <v>247</v>
      </c>
      <c r="N105" s="51">
        <f>VLOOKUP($A105,'Data Vlaue (Cr)'!$C:$FB,64)</f>
        <v>193</v>
      </c>
      <c r="O105" s="51">
        <f>VLOOKUP($A105,'Data Vlaue (Cr)'!$C:$FB,66)*100</f>
        <v>27.700000000000003</v>
      </c>
    </row>
    <row r="106" spans="1:15" x14ac:dyDescent="0.25">
      <c r="A106" s="101" t="str">
        <f>'Data Vlaue (Cr)'!C101</f>
        <v>IOC</v>
      </c>
      <c r="B106" s="50">
        <f>VLOOKUP($A106,'Data Vlaue (Cr)'!$C:$FB,8)</f>
        <v>154.11000000000001</v>
      </c>
      <c r="C106" s="50">
        <f>VLOOKUP($A106,'Data Vlaue (Cr)'!$C:$FB,11)*100</f>
        <v>-0.73</v>
      </c>
      <c r="D106" s="50">
        <f>VLOOKUP($A106,'Data Vlaue (Cr)'!$C:$FB,143)</f>
        <v>1648.29</v>
      </c>
      <c r="E106" s="50">
        <f>VLOOKUP($A106,'Data Vlaue (Cr)'!$C:$FB,144)</f>
        <v>2543.7600000000002</v>
      </c>
      <c r="F106" s="50">
        <f>VLOOKUP($A106,'Data Vlaue (Cr)'!$C:$FB,146)*100</f>
        <v>-35.199999999999996</v>
      </c>
      <c r="G106" s="49">
        <f>VLOOKUP($A106,'Data Vlaue (Cr)'!$C:$FB,43)</f>
        <v>260</v>
      </c>
      <c r="H106" s="49">
        <f>VLOOKUP($A106,'Data Vlaue (Cr)'!$C:$FB,44)</f>
        <v>377</v>
      </c>
      <c r="I106" s="49">
        <f>VLOOKUP($A106,'Data Vlaue (Cr)'!$C:$FB,46)*100</f>
        <v>-31.06</v>
      </c>
      <c r="J106" s="51">
        <f>VLOOKUP($A106,'Data Vlaue (Cr)'!$C:$FB,59)</f>
        <v>856</v>
      </c>
      <c r="K106" s="51">
        <f>VLOOKUP($A106,'Data Vlaue (Cr)'!$C:$FB,60)</f>
        <v>1350</v>
      </c>
      <c r="L106" s="51">
        <f>VLOOKUP($A106,'Data Vlaue (Cr)'!$C:$FB,62)*100</f>
        <v>-36.61</v>
      </c>
      <c r="M106" s="51">
        <f>VLOOKUP($A106,'Data Vlaue (Cr)'!$C:$FB,63)</f>
        <v>489</v>
      </c>
      <c r="N106" s="51">
        <f>VLOOKUP($A106,'Data Vlaue (Cr)'!$C:$FB,64)</f>
        <v>750</v>
      </c>
      <c r="O106" s="51">
        <f>VLOOKUP($A106,'Data Vlaue (Cr)'!$C:$FB,66)*100</f>
        <v>-34.799999999999997</v>
      </c>
    </row>
    <row r="107" spans="1:15" x14ac:dyDescent="0.25">
      <c r="A107" s="101" t="str">
        <f>'Data Vlaue (Cr)'!C102</f>
        <v>IRCTC</v>
      </c>
      <c r="B107" s="50">
        <f>VLOOKUP($A107,'Data Vlaue (Cr)'!$C:$FB,8)</f>
        <v>715.7</v>
      </c>
      <c r="C107" s="50">
        <f>VLOOKUP($A107,'Data Vlaue (Cr)'!$C:$FB,11)*100</f>
        <v>0.83</v>
      </c>
      <c r="D107" s="50">
        <f>VLOOKUP($A107,'Data Vlaue (Cr)'!$C:$FB,143)</f>
        <v>578.05999999999995</v>
      </c>
      <c r="E107" s="50">
        <f>VLOOKUP($A107,'Data Vlaue (Cr)'!$C:$FB,144)</f>
        <v>589.47</v>
      </c>
      <c r="F107" s="50">
        <f>VLOOKUP($A107,'Data Vlaue (Cr)'!$C:$FB,146)*100</f>
        <v>-1.94</v>
      </c>
      <c r="G107" s="49">
        <f>VLOOKUP($A107,'Data Vlaue (Cr)'!$C:$FB,43)</f>
        <v>115</v>
      </c>
      <c r="H107" s="49">
        <f>VLOOKUP($A107,'Data Vlaue (Cr)'!$C:$FB,44)</f>
        <v>137</v>
      </c>
      <c r="I107" s="49">
        <f>VLOOKUP($A107,'Data Vlaue (Cr)'!$C:$FB,46)*100</f>
        <v>-15.659999999999998</v>
      </c>
      <c r="J107" s="51">
        <f>VLOOKUP($A107,'Data Vlaue (Cr)'!$C:$FB,59)</f>
        <v>331</v>
      </c>
      <c r="K107" s="51">
        <f>VLOOKUP($A107,'Data Vlaue (Cr)'!$C:$FB,60)</f>
        <v>340</v>
      </c>
      <c r="L107" s="51">
        <f>VLOOKUP($A107,'Data Vlaue (Cr)'!$C:$FB,62)*100</f>
        <v>-2.64</v>
      </c>
      <c r="M107" s="51">
        <f>VLOOKUP($A107,'Data Vlaue (Cr)'!$C:$FB,63)</f>
        <v>122</v>
      </c>
      <c r="N107" s="51">
        <f>VLOOKUP($A107,'Data Vlaue (Cr)'!$C:$FB,64)</f>
        <v>105</v>
      </c>
      <c r="O107" s="51">
        <f>VLOOKUP($A107,'Data Vlaue (Cr)'!$C:$FB,66)*100</f>
        <v>15.740000000000002</v>
      </c>
    </row>
    <row r="108" spans="1:15" x14ac:dyDescent="0.25">
      <c r="A108" s="101" t="str">
        <f>'Data Vlaue (Cr)'!C103</f>
        <v>IREDA</v>
      </c>
      <c r="B108" s="50">
        <f>VLOOKUP($A108,'Data Vlaue (Cr)'!$C:$FB,8)</f>
        <v>150.96</v>
      </c>
      <c r="C108" s="50">
        <f>VLOOKUP($A108,'Data Vlaue (Cr)'!$C:$FB,11)*100</f>
        <v>1.4200000000000002</v>
      </c>
      <c r="D108" s="50">
        <f>VLOOKUP($A108,'Data Vlaue (Cr)'!$C:$FB,143)</f>
        <v>574.30999999999995</v>
      </c>
      <c r="E108" s="50">
        <f>VLOOKUP($A108,'Data Vlaue (Cr)'!$C:$FB,144)</f>
        <v>587.4</v>
      </c>
      <c r="F108" s="50">
        <f>VLOOKUP($A108,'Data Vlaue (Cr)'!$C:$FB,146)*100</f>
        <v>-2.23</v>
      </c>
      <c r="G108" s="49">
        <f>VLOOKUP($A108,'Data Vlaue (Cr)'!$C:$FB,43)</f>
        <v>114</v>
      </c>
      <c r="H108" s="49">
        <f>VLOOKUP($A108,'Data Vlaue (Cr)'!$C:$FB,44)</f>
        <v>137</v>
      </c>
      <c r="I108" s="49">
        <f>VLOOKUP($A108,'Data Vlaue (Cr)'!$C:$FB,46)*100</f>
        <v>-17.010000000000002</v>
      </c>
      <c r="J108" s="51">
        <f>VLOOKUP($A108,'Data Vlaue (Cr)'!$C:$FB,59)</f>
        <v>300</v>
      </c>
      <c r="K108" s="51">
        <f>VLOOKUP($A108,'Data Vlaue (Cr)'!$C:$FB,60)</f>
        <v>313</v>
      </c>
      <c r="L108" s="51">
        <f>VLOOKUP($A108,'Data Vlaue (Cr)'!$C:$FB,62)*100</f>
        <v>-4.0599999999999996</v>
      </c>
      <c r="M108" s="51">
        <f>VLOOKUP($A108,'Data Vlaue (Cr)'!$C:$FB,63)</f>
        <v>143</v>
      </c>
      <c r="N108" s="51">
        <f>VLOOKUP($A108,'Data Vlaue (Cr)'!$C:$FB,64)</f>
        <v>123</v>
      </c>
      <c r="O108" s="51">
        <f>VLOOKUP($A108,'Data Vlaue (Cr)'!$C:$FB,66)*100</f>
        <v>16.350000000000001</v>
      </c>
    </row>
    <row r="109" spans="1:15" x14ac:dyDescent="0.25">
      <c r="A109" s="101" t="str">
        <f>'Data Vlaue (Cr)'!C104</f>
        <v>IRFC</v>
      </c>
      <c r="B109" s="50">
        <f>VLOOKUP($A109,'Data Vlaue (Cr)'!$C:$FB,8)</f>
        <v>126.5</v>
      </c>
      <c r="C109" s="50">
        <f>VLOOKUP($A109,'Data Vlaue (Cr)'!$C:$FB,11)*100</f>
        <v>1.1400000000000001</v>
      </c>
      <c r="D109" s="50">
        <f>VLOOKUP($A109,'Data Vlaue (Cr)'!$C:$FB,143)</f>
        <v>492.12</v>
      </c>
      <c r="E109" s="50">
        <f>VLOOKUP($A109,'Data Vlaue (Cr)'!$C:$FB,144)</f>
        <v>251.69</v>
      </c>
      <c r="F109" s="50">
        <f>VLOOKUP($A109,'Data Vlaue (Cr)'!$C:$FB,146)*100</f>
        <v>95.53</v>
      </c>
      <c r="G109" s="49">
        <f>VLOOKUP($A109,'Data Vlaue (Cr)'!$C:$FB,43)</f>
        <v>113</v>
      </c>
      <c r="H109" s="49">
        <f>VLOOKUP($A109,'Data Vlaue (Cr)'!$C:$FB,44)</f>
        <v>68</v>
      </c>
      <c r="I109" s="49">
        <f>VLOOKUP($A109,'Data Vlaue (Cr)'!$C:$FB,46)*100</f>
        <v>65.64</v>
      </c>
      <c r="J109" s="51">
        <f>VLOOKUP($A109,'Data Vlaue (Cr)'!$C:$FB,59)</f>
        <v>266</v>
      </c>
      <c r="K109" s="51">
        <f>VLOOKUP($A109,'Data Vlaue (Cr)'!$C:$FB,60)</f>
        <v>128</v>
      </c>
      <c r="L109" s="51">
        <f>VLOOKUP($A109,'Data Vlaue (Cr)'!$C:$FB,62)*100</f>
        <v>107.99000000000001</v>
      </c>
      <c r="M109" s="51">
        <f>VLOOKUP($A109,'Data Vlaue (Cr)'!$C:$FB,63)</f>
        <v>103</v>
      </c>
      <c r="N109" s="51">
        <f>VLOOKUP($A109,'Data Vlaue (Cr)'!$C:$FB,64)</f>
        <v>52</v>
      </c>
      <c r="O109" s="51">
        <f>VLOOKUP($A109,'Data Vlaue (Cr)'!$C:$FB,66)*100</f>
        <v>97.02</v>
      </c>
    </row>
    <row r="110" spans="1:15" x14ac:dyDescent="0.25">
      <c r="A110" s="101" t="str">
        <f>'Data Vlaue (Cr)'!C105</f>
        <v>ITC</v>
      </c>
      <c r="B110" s="50">
        <f>VLOOKUP($A110,'Data Vlaue (Cr)'!$C:$FB,8)</f>
        <v>402.8</v>
      </c>
      <c r="C110" s="50">
        <f>VLOOKUP($A110,'Data Vlaue (Cr)'!$C:$FB,11)*100</f>
        <v>0.73</v>
      </c>
      <c r="D110" s="50">
        <f>VLOOKUP($A110,'Data Vlaue (Cr)'!$C:$FB,143)</f>
        <v>4183.24</v>
      </c>
      <c r="E110" s="50">
        <f>VLOOKUP($A110,'Data Vlaue (Cr)'!$C:$FB,144)</f>
        <v>2512.1999999999998</v>
      </c>
      <c r="F110" s="50">
        <f>VLOOKUP($A110,'Data Vlaue (Cr)'!$C:$FB,146)*100</f>
        <v>66.52</v>
      </c>
      <c r="G110" s="49">
        <f>VLOOKUP($A110,'Data Vlaue (Cr)'!$C:$FB,43)</f>
        <v>833</v>
      </c>
      <c r="H110" s="49">
        <f>VLOOKUP($A110,'Data Vlaue (Cr)'!$C:$FB,44)</f>
        <v>529</v>
      </c>
      <c r="I110" s="49">
        <f>VLOOKUP($A110,'Data Vlaue (Cr)'!$C:$FB,46)*100</f>
        <v>57.620000000000005</v>
      </c>
      <c r="J110" s="51">
        <f>VLOOKUP($A110,'Data Vlaue (Cr)'!$C:$FB,59)</f>
        <v>2102</v>
      </c>
      <c r="K110" s="51">
        <f>VLOOKUP($A110,'Data Vlaue (Cr)'!$C:$FB,60)</f>
        <v>1247</v>
      </c>
      <c r="L110" s="51">
        <f>VLOOKUP($A110,'Data Vlaue (Cr)'!$C:$FB,62)*100</f>
        <v>68.64</v>
      </c>
      <c r="M110" s="51">
        <f>VLOOKUP($A110,'Data Vlaue (Cr)'!$C:$FB,63)</f>
        <v>1214</v>
      </c>
      <c r="N110" s="51">
        <f>VLOOKUP($A110,'Data Vlaue (Cr)'!$C:$FB,64)</f>
        <v>725</v>
      </c>
      <c r="O110" s="51">
        <f>VLOOKUP($A110,'Data Vlaue (Cr)'!$C:$FB,66)*100</f>
        <v>67.320000000000007</v>
      </c>
    </row>
    <row r="111" spans="1:15" x14ac:dyDescent="0.25">
      <c r="A111" s="101" t="str">
        <f>'Data Vlaue (Cr)'!C106</f>
        <v>JINDALSTEL</v>
      </c>
      <c r="B111" s="50">
        <f>VLOOKUP($A111,'Data Vlaue (Cr)'!$C:$FB,8)</f>
        <v>1015.2</v>
      </c>
      <c r="C111" s="50">
        <f>VLOOKUP($A111,'Data Vlaue (Cr)'!$C:$FB,11)*100</f>
        <v>-2.41</v>
      </c>
      <c r="D111" s="50">
        <f>VLOOKUP($A111,'Data Vlaue (Cr)'!$C:$FB,143)</f>
        <v>1627.19</v>
      </c>
      <c r="E111" s="50">
        <f>VLOOKUP($A111,'Data Vlaue (Cr)'!$C:$FB,144)</f>
        <v>1661.68</v>
      </c>
      <c r="F111" s="50">
        <f>VLOOKUP($A111,'Data Vlaue (Cr)'!$C:$FB,146)*100</f>
        <v>-2.08</v>
      </c>
      <c r="G111" s="49">
        <f>VLOOKUP($A111,'Data Vlaue (Cr)'!$C:$FB,43)</f>
        <v>306</v>
      </c>
      <c r="H111" s="49">
        <f>VLOOKUP($A111,'Data Vlaue (Cr)'!$C:$FB,44)</f>
        <v>329</v>
      </c>
      <c r="I111" s="49">
        <f>VLOOKUP($A111,'Data Vlaue (Cr)'!$C:$FB,46)*100</f>
        <v>-6.83</v>
      </c>
      <c r="J111" s="51">
        <f>VLOOKUP($A111,'Data Vlaue (Cr)'!$C:$FB,59)</f>
        <v>936</v>
      </c>
      <c r="K111" s="51">
        <f>VLOOKUP($A111,'Data Vlaue (Cr)'!$C:$FB,60)</f>
        <v>940</v>
      </c>
      <c r="L111" s="51">
        <f>VLOOKUP($A111,'Data Vlaue (Cr)'!$C:$FB,62)*100</f>
        <v>-0.43</v>
      </c>
      <c r="M111" s="51">
        <f>VLOOKUP($A111,'Data Vlaue (Cr)'!$C:$FB,63)</f>
        <v>329</v>
      </c>
      <c r="N111" s="51">
        <f>VLOOKUP($A111,'Data Vlaue (Cr)'!$C:$FB,64)</f>
        <v>331</v>
      </c>
      <c r="O111" s="51">
        <f>VLOOKUP($A111,'Data Vlaue (Cr)'!$C:$FB,66)*100</f>
        <v>-0.55999999999999994</v>
      </c>
    </row>
    <row r="112" spans="1:15" x14ac:dyDescent="0.25">
      <c r="A112" s="101" t="str">
        <f>'Data Vlaue (Cr)'!C107</f>
        <v>JIOFIN</v>
      </c>
      <c r="B112" s="50">
        <f>VLOOKUP($A112,'Data Vlaue (Cr)'!$C:$FB,8)</f>
        <v>308.14999999999998</v>
      </c>
      <c r="C112" s="50">
        <f>VLOOKUP($A112,'Data Vlaue (Cr)'!$C:$FB,11)*100</f>
        <v>0.26</v>
      </c>
      <c r="D112" s="50">
        <f>VLOOKUP($A112,'Data Vlaue (Cr)'!$C:$FB,143)</f>
        <v>2105.0700000000002</v>
      </c>
      <c r="E112" s="50">
        <f>VLOOKUP($A112,'Data Vlaue (Cr)'!$C:$FB,144)</f>
        <v>2306.84</v>
      </c>
      <c r="F112" s="50">
        <f>VLOOKUP($A112,'Data Vlaue (Cr)'!$C:$FB,146)*100</f>
        <v>-8.75</v>
      </c>
      <c r="G112" s="49">
        <f>VLOOKUP($A112,'Data Vlaue (Cr)'!$C:$FB,43)</f>
        <v>429</v>
      </c>
      <c r="H112" s="49">
        <f>VLOOKUP($A112,'Data Vlaue (Cr)'!$C:$FB,44)</f>
        <v>364</v>
      </c>
      <c r="I112" s="49">
        <f>VLOOKUP($A112,'Data Vlaue (Cr)'!$C:$FB,46)*100</f>
        <v>17.630000000000003</v>
      </c>
      <c r="J112" s="51">
        <f>VLOOKUP($A112,'Data Vlaue (Cr)'!$C:$FB,59)</f>
        <v>1077</v>
      </c>
      <c r="K112" s="51">
        <f>VLOOKUP($A112,'Data Vlaue (Cr)'!$C:$FB,60)</f>
        <v>1253</v>
      </c>
      <c r="L112" s="51">
        <f>VLOOKUP($A112,'Data Vlaue (Cr)'!$C:$FB,62)*100</f>
        <v>-13.99</v>
      </c>
      <c r="M112" s="51">
        <f>VLOOKUP($A112,'Data Vlaue (Cr)'!$C:$FB,63)</f>
        <v>552</v>
      </c>
      <c r="N112" s="51">
        <f>VLOOKUP($A112,'Data Vlaue (Cr)'!$C:$FB,64)</f>
        <v>639</v>
      </c>
      <c r="O112" s="51">
        <f>VLOOKUP($A112,'Data Vlaue (Cr)'!$C:$FB,66)*100</f>
        <v>-13.68</v>
      </c>
    </row>
    <row r="113" spans="1:15" x14ac:dyDescent="0.25">
      <c r="A113" s="101" t="str">
        <f>'Data Vlaue (Cr)'!C108</f>
        <v>JSWENERGY</v>
      </c>
      <c r="B113" s="50">
        <f>VLOOKUP($A113,'Data Vlaue (Cr)'!$C:$FB,8)</f>
        <v>546</v>
      </c>
      <c r="C113" s="50">
        <f>VLOOKUP($A113,'Data Vlaue (Cr)'!$C:$FB,11)*100</f>
        <v>0.59</v>
      </c>
      <c r="D113" s="50">
        <f>VLOOKUP($A113,'Data Vlaue (Cr)'!$C:$FB,143)</f>
        <v>540.17999999999995</v>
      </c>
      <c r="E113" s="50">
        <f>VLOOKUP($A113,'Data Vlaue (Cr)'!$C:$FB,144)</f>
        <v>934.29</v>
      </c>
      <c r="F113" s="50">
        <f>VLOOKUP($A113,'Data Vlaue (Cr)'!$C:$FB,146)*100</f>
        <v>-42.18</v>
      </c>
      <c r="G113" s="49">
        <f>VLOOKUP($A113,'Data Vlaue (Cr)'!$C:$FB,43)</f>
        <v>109</v>
      </c>
      <c r="H113" s="49">
        <f>VLOOKUP($A113,'Data Vlaue (Cr)'!$C:$FB,44)</f>
        <v>184</v>
      </c>
      <c r="I113" s="49">
        <f>VLOOKUP($A113,'Data Vlaue (Cr)'!$C:$FB,46)*100</f>
        <v>-41.08</v>
      </c>
      <c r="J113" s="51">
        <f>VLOOKUP($A113,'Data Vlaue (Cr)'!$C:$FB,59)</f>
        <v>335</v>
      </c>
      <c r="K113" s="51">
        <f>VLOOKUP($A113,'Data Vlaue (Cr)'!$C:$FB,60)</f>
        <v>567</v>
      </c>
      <c r="L113" s="51">
        <f>VLOOKUP($A113,'Data Vlaue (Cr)'!$C:$FB,62)*100</f>
        <v>-40.849999999999994</v>
      </c>
      <c r="M113" s="51">
        <f>VLOOKUP($A113,'Data Vlaue (Cr)'!$C:$FB,63)</f>
        <v>84</v>
      </c>
      <c r="N113" s="51">
        <f>VLOOKUP($A113,'Data Vlaue (Cr)'!$C:$FB,64)</f>
        <v>170</v>
      </c>
      <c r="O113" s="51">
        <f>VLOOKUP($A113,'Data Vlaue (Cr)'!$C:$FB,66)*100</f>
        <v>-50.4</v>
      </c>
    </row>
    <row r="114" spans="1:15" x14ac:dyDescent="0.25">
      <c r="A114" s="101" t="str">
        <f>'Data Vlaue (Cr)'!C109</f>
        <v>JSWSTEEL</v>
      </c>
      <c r="B114" s="50">
        <f>VLOOKUP($A114,'Data Vlaue (Cr)'!$C:$FB,8)</f>
        <v>1167.8</v>
      </c>
      <c r="C114" s="50">
        <f>VLOOKUP($A114,'Data Vlaue (Cr)'!$C:$FB,11)*100</f>
        <v>-0.63</v>
      </c>
      <c r="D114" s="50">
        <f>VLOOKUP($A114,'Data Vlaue (Cr)'!$C:$FB,143)</f>
        <v>1745.82</v>
      </c>
      <c r="E114" s="50">
        <f>VLOOKUP($A114,'Data Vlaue (Cr)'!$C:$FB,144)</f>
        <v>3059.92</v>
      </c>
      <c r="F114" s="50">
        <f>VLOOKUP($A114,'Data Vlaue (Cr)'!$C:$FB,146)*100</f>
        <v>-42.95</v>
      </c>
      <c r="G114" s="49">
        <f>VLOOKUP($A114,'Data Vlaue (Cr)'!$C:$FB,43)</f>
        <v>372</v>
      </c>
      <c r="H114" s="49">
        <f>VLOOKUP($A114,'Data Vlaue (Cr)'!$C:$FB,44)</f>
        <v>467</v>
      </c>
      <c r="I114" s="49">
        <f>VLOOKUP($A114,'Data Vlaue (Cr)'!$C:$FB,46)*100</f>
        <v>-20.330000000000002</v>
      </c>
      <c r="J114" s="51">
        <f>VLOOKUP($A114,'Data Vlaue (Cr)'!$C:$FB,59)</f>
        <v>833</v>
      </c>
      <c r="K114" s="51">
        <f>VLOOKUP($A114,'Data Vlaue (Cr)'!$C:$FB,60)</f>
        <v>1780</v>
      </c>
      <c r="L114" s="51">
        <f>VLOOKUP($A114,'Data Vlaue (Cr)'!$C:$FB,62)*100</f>
        <v>-53.2</v>
      </c>
      <c r="M114" s="51">
        <f>VLOOKUP($A114,'Data Vlaue (Cr)'!$C:$FB,63)</f>
        <v>519</v>
      </c>
      <c r="N114" s="51">
        <f>VLOOKUP($A114,'Data Vlaue (Cr)'!$C:$FB,64)</f>
        <v>760</v>
      </c>
      <c r="O114" s="51">
        <f>VLOOKUP($A114,'Data Vlaue (Cr)'!$C:$FB,66)*100</f>
        <v>-31.740000000000002</v>
      </c>
    </row>
    <row r="115" spans="1:15" x14ac:dyDescent="0.25">
      <c r="A115" s="101" t="str">
        <f>'Data Vlaue (Cr)'!C110</f>
        <v>JUBLFOOD</v>
      </c>
      <c r="B115" s="50">
        <f>VLOOKUP($A115,'Data Vlaue (Cr)'!$C:$FB,8)</f>
        <v>602.29999999999995</v>
      </c>
      <c r="C115" s="50">
        <f>VLOOKUP($A115,'Data Vlaue (Cr)'!$C:$FB,11)*100</f>
        <v>0.53</v>
      </c>
      <c r="D115" s="50">
        <f>VLOOKUP($A115,'Data Vlaue (Cr)'!$C:$FB,143)</f>
        <v>641.14</v>
      </c>
      <c r="E115" s="50">
        <f>VLOOKUP($A115,'Data Vlaue (Cr)'!$C:$FB,144)</f>
        <v>790.01</v>
      </c>
      <c r="F115" s="50">
        <f>VLOOKUP($A115,'Data Vlaue (Cr)'!$C:$FB,146)*100</f>
        <v>-18.84</v>
      </c>
      <c r="G115" s="49">
        <f>VLOOKUP($A115,'Data Vlaue (Cr)'!$C:$FB,43)</f>
        <v>132</v>
      </c>
      <c r="H115" s="49">
        <f>VLOOKUP($A115,'Data Vlaue (Cr)'!$C:$FB,44)</f>
        <v>181</v>
      </c>
      <c r="I115" s="49">
        <f>VLOOKUP($A115,'Data Vlaue (Cr)'!$C:$FB,46)*100</f>
        <v>-27.41</v>
      </c>
      <c r="J115" s="51">
        <f>VLOOKUP($A115,'Data Vlaue (Cr)'!$C:$FB,59)</f>
        <v>390</v>
      </c>
      <c r="K115" s="51">
        <f>VLOOKUP($A115,'Data Vlaue (Cr)'!$C:$FB,60)</f>
        <v>450</v>
      </c>
      <c r="L115" s="51">
        <f>VLOOKUP($A115,'Data Vlaue (Cr)'!$C:$FB,62)*100</f>
        <v>-13.370000000000001</v>
      </c>
      <c r="M115" s="51">
        <f>VLOOKUP($A115,'Data Vlaue (Cr)'!$C:$FB,63)</f>
        <v>104</v>
      </c>
      <c r="N115" s="51">
        <f>VLOOKUP($A115,'Data Vlaue (Cr)'!$C:$FB,64)</f>
        <v>139</v>
      </c>
      <c r="O115" s="51">
        <f>VLOOKUP($A115,'Data Vlaue (Cr)'!$C:$FB,66)*100</f>
        <v>-25.05</v>
      </c>
    </row>
    <row r="116" spans="1:15" x14ac:dyDescent="0.25">
      <c r="A116" s="101" t="str">
        <f>'Data Vlaue (Cr)'!C111</f>
        <v>KALYANKJIL</v>
      </c>
      <c r="B116" s="50">
        <f>VLOOKUP($A116,'Data Vlaue (Cr)'!$C:$FB,8)</f>
        <v>484.85</v>
      </c>
      <c r="C116" s="50">
        <f>VLOOKUP($A116,'Data Vlaue (Cr)'!$C:$FB,11)*100</f>
        <v>0.38999999999999996</v>
      </c>
      <c r="D116" s="50">
        <f>VLOOKUP($A116,'Data Vlaue (Cr)'!$C:$FB,143)</f>
        <v>630.34</v>
      </c>
      <c r="E116" s="50">
        <f>VLOOKUP($A116,'Data Vlaue (Cr)'!$C:$FB,144)</f>
        <v>701.39</v>
      </c>
      <c r="F116" s="50">
        <f>VLOOKUP($A116,'Data Vlaue (Cr)'!$C:$FB,146)*100</f>
        <v>-10.130000000000001</v>
      </c>
      <c r="G116" s="49">
        <f>VLOOKUP($A116,'Data Vlaue (Cr)'!$C:$FB,43)</f>
        <v>104</v>
      </c>
      <c r="H116" s="49">
        <f>VLOOKUP($A116,'Data Vlaue (Cr)'!$C:$FB,44)</f>
        <v>115</v>
      </c>
      <c r="I116" s="49">
        <f>VLOOKUP($A116,'Data Vlaue (Cr)'!$C:$FB,46)*100</f>
        <v>-10.220000000000001</v>
      </c>
      <c r="J116" s="51">
        <f>VLOOKUP($A116,'Data Vlaue (Cr)'!$C:$FB,59)</f>
        <v>366</v>
      </c>
      <c r="K116" s="51">
        <f>VLOOKUP($A116,'Data Vlaue (Cr)'!$C:$FB,60)</f>
        <v>415</v>
      </c>
      <c r="L116" s="51">
        <f>VLOOKUP($A116,'Data Vlaue (Cr)'!$C:$FB,62)*100</f>
        <v>-11.93</v>
      </c>
      <c r="M116" s="51">
        <f>VLOOKUP($A116,'Data Vlaue (Cr)'!$C:$FB,63)</f>
        <v>141</v>
      </c>
      <c r="N116" s="51">
        <f>VLOOKUP($A116,'Data Vlaue (Cr)'!$C:$FB,64)</f>
        <v>145</v>
      </c>
      <c r="O116" s="51">
        <f>VLOOKUP($A116,'Data Vlaue (Cr)'!$C:$FB,66)*100</f>
        <v>-2.69</v>
      </c>
    </row>
    <row r="117" spans="1:15" x14ac:dyDescent="0.25">
      <c r="A117" s="101" t="str">
        <f>'Data Vlaue (Cr)'!C112</f>
        <v>KAYNES</v>
      </c>
      <c r="B117" s="50">
        <f>VLOOKUP($A117,'Data Vlaue (Cr)'!$C:$FB,8)</f>
        <v>7102</v>
      </c>
      <c r="C117" s="50">
        <f>VLOOKUP($A117,'Data Vlaue (Cr)'!$C:$FB,11)*100</f>
        <v>-0.01</v>
      </c>
      <c r="D117" s="50">
        <f>VLOOKUP($A117,'Data Vlaue (Cr)'!$C:$FB,143)</f>
        <v>2173.9899999999998</v>
      </c>
      <c r="E117" s="50">
        <f>VLOOKUP($A117,'Data Vlaue (Cr)'!$C:$FB,144)</f>
        <v>4478.26</v>
      </c>
      <c r="F117" s="50">
        <f>VLOOKUP($A117,'Data Vlaue (Cr)'!$C:$FB,146)*100</f>
        <v>-51.449999999999996</v>
      </c>
      <c r="G117" s="49">
        <f>VLOOKUP($A117,'Data Vlaue (Cr)'!$C:$FB,43)</f>
        <v>281</v>
      </c>
      <c r="H117" s="49">
        <f>VLOOKUP($A117,'Data Vlaue (Cr)'!$C:$FB,44)</f>
        <v>487</v>
      </c>
      <c r="I117" s="49">
        <f>VLOOKUP($A117,'Data Vlaue (Cr)'!$C:$FB,46)*100</f>
        <v>-42.22</v>
      </c>
      <c r="J117" s="51">
        <f>VLOOKUP($A117,'Data Vlaue (Cr)'!$C:$FB,59)</f>
        <v>1353</v>
      </c>
      <c r="K117" s="51">
        <f>VLOOKUP($A117,'Data Vlaue (Cr)'!$C:$FB,60)</f>
        <v>2620</v>
      </c>
      <c r="L117" s="51">
        <f>VLOOKUP($A117,'Data Vlaue (Cr)'!$C:$FB,62)*100</f>
        <v>-48.35</v>
      </c>
      <c r="M117" s="51">
        <f>VLOOKUP($A117,'Data Vlaue (Cr)'!$C:$FB,63)</f>
        <v>452</v>
      </c>
      <c r="N117" s="51">
        <f>VLOOKUP($A117,'Data Vlaue (Cr)'!$C:$FB,64)</f>
        <v>1189</v>
      </c>
      <c r="O117" s="51">
        <f>VLOOKUP($A117,'Data Vlaue (Cr)'!$C:$FB,66)*100</f>
        <v>-62.01</v>
      </c>
    </row>
    <row r="118" spans="1:15" x14ac:dyDescent="0.25">
      <c r="A118" s="101" t="str">
        <f>'Data Vlaue (Cr)'!C113</f>
        <v>KEI</v>
      </c>
      <c r="B118" s="50">
        <f>VLOOKUP($A118,'Data Vlaue (Cr)'!$C:$FB,8)</f>
        <v>4278.2</v>
      </c>
      <c r="C118" s="50">
        <f>VLOOKUP($A118,'Data Vlaue (Cr)'!$C:$FB,11)*100</f>
        <v>0.64</v>
      </c>
      <c r="D118" s="50">
        <f>VLOOKUP($A118,'Data Vlaue (Cr)'!$C:$FB,143)</f>
        <v>671.7</v>
      </c>
      <c r="E118" s="50">
        <f>VLOOKUP($A118,'Data Vlaue (Cr)'!$C:$FB,144)</f>
        <v>684.23</v>
      </c>
      <c r="F118" s="50">
        <f>VLOOKUP($A118,'Data Vlaue (Cr)'!$C:$FB,146)*100</f>
        <v>-1.83</v>
      </c>
      <c r="G118" s="49">
        <f>VLOOKUP($A118,'Data Vlaue (Cr)'!$C:$FB,43)</f>
        <v>147</v>
      </c>
      <c r="H118" s="49">
        <f>VLOOKUP($A118,'Data Vlaue (Cr)'!$C:$FB,44)</f>
        <v>99</v>
      </c>
      <c r="I118" s="49">
        <f>VLOOKUP($A118,'Data Vlaue (Cr)'!$C:$FB,46)*100</f>
        <v>47.39</v>
      </c>
      <c r="J118" s="51">
        <f>VLOOKUP($A118,'Data Vlaue (Cr)'!$C:$FB,59)</f>
        <v>305</v>
      </c>
      <c r="K118" s="51">
        <f>VLOOKUP($A118,'Data Vlaue (Cr)'!$C:$FB,60)</f>
        <v>388</v>
      </c>
      <c r="L118" s="51">
        <f>VLOOKUP($A118,'Data Vlaue (Cr)'!$C:$FB,62)*100</f>
        <v>-21.45</v>
      </c>
      <c r="M118" s="51">
        <f>VLOOKUP($A118,'Data Vlaue (Cr)'!$C:$FB,63)</f>
        <v>209</v>
      </c>
      <c r="N118" s="51">
        <f>VLOOKUP($A118,'Data Vlaue (Cr)'!$C:$FB,64)</f>
        <v>186</v>
      </c>
      <c r="O118" s="51">
        <f>VLOOKUP($A118,'Data Vlaue (Cr)'!$C:$FB,66)*100</f>
        <v>12.389999999999999</v>
      </c>
    </row>
    <row r="119" spans="1:15" x14ac:dyDescent="0.25">
      <c r="A119" s="101" t="str">
        <f>'Data Vlaue (Cr)'!C114</f>
        <v>KFINTECH</v>
      </c>
      <c r="B119" s="50">
        <f>VLOOKUP($A119,'Data Vlaue (Cr)'!$C:$FB,8)</f>
        <v>1072.5</v>
      </c>
      <c r="C119" s="50">
        <f>VLOOKUP($A119,'Data Vlaue (Cr)'!$C:$FB,11)*100</f>
        <v>2.0699999999999998</v>
      </c>
      <c r="D119" s="50">
        <f>VLOOKUP($A119,'Data Vlaue (Cr)'!$C:$FB,143)</f>
        <v>517.29999999999995</v>
      </c>
      <c r="E119" s="50">
        <f>VLOOKUP($A119,'Data Vlaue (Cr)'!$C:$FB,144)</f>
        <v>184.48</v>
      </c>
      <c r="F119" s="50">
        <f>VLOOKUP($A119,'Data Vlaue (Cr)'!$C:$FB,146)*100</f>
        <v>180.41</v>
      </c>
      <c r="G119" s="49">
        <f>VLOOKUP($A119,'Data Vlaue (Cr)'!$C:$FB,43)</f>
        <v>142</v>
      </c>
      <c r="H119" s="49">
        <f>VLOOKUP($A119,'Data Vlaue (Cr)'!$C:$FB,44)</f>
        <v>73</v>
      </c>
      <c r="I119" s="49">
        <f>VLOOKUP($A119,'Data Vlaue (Cr)'!$C:$FB,46)*100</f>
        <v>93.57</v>
      </c>
      <c r="J119" s="51">
        <f>VLOOKUP($A119,'Data Vlaue (Cr)'!$C:$FB,59)</f>
        <v>254</v>
      </c>
      <c r="K119" s="51">
        <f>VLOOKUP($A119,'Data Vlaue (Cr)'!$C:$FB,60)</f>
        <v>83</v>
      </c>
      <c r="L119" s="51">
        <f>VLOOKUP($A119,'Data Vlaue (Cr)'!$C:$FB,62)*100</f>
        <v>206.84999999999997</v>
      </c>
      <c r="M119" s="51">
        <f>VLOOKUP($A119,'Data Vlaue (Cr)'!$C:$FB,63)</f>
        <v>117</v>
      </c>
      <c r="N119" s="51">
        <f>VLOOKUP($A119,'Data Vlaue (Cr)'!$C:$FB,64)</f>
        <v>30</v>
      </c>
      <c r="O119" s="51">
        <f>VLOOKUP($A119,'Data Vlaue (Cr)'!$C:$FB,66)*100</f>
        <v>291.86</v>
      </c>
    </row>
    <row r="120" spans="1:15" x14ac:dyDescent="0.25">
      <c r="A120" s="101" t="str">
        <f>'Data Vlaue (Cr)'!C115</f>
        <v>KOTAKBANK</v>
      </c>
      <c r="B120" s="50">
        <f>VLOOKUP($A120,'Data Vlaue (Cr)'!$C:$FB,8)</f>
        <v>2150.1</v>
      </c>
      <c r="C120" s="50">
        <f>VLOOKUP($A120,'Data Vlaue (Cr)'!$C:$FB,11)*100</f>
        <v>0.26</v>
      </c>
      <c r="D120" s="50">
        <f>VLOOKUP($A120,'Data Vlaue (Cr)'!$C:$FB,143)</f>
        <v>3943.31</v>
      </c>
      <c r="E120" s="50">
        <f>VLOOKUP($A120,'Data Vlaue (Cr)'!$C:$FB,144)</f>
        <v>5810.69</v>
      </c>
      <c r="F120" s="50">
        <f>VLOOKUP($A120,'Data Vlaue (Cr)'!$C:$FB,146)*100</f>
        <v>-32.14</v>
      </c>
      <c r="G120" s="49">
        <f>VLOOKUP($A120,'Data Vlaue (Cr)'!$C:$FB,43)</f>
        <v>668</v>
      </c>
      <c r="H120" s="49">
        <f>VLOOKUP($A120,'Data Vlaue (Cr)'!$C:$FB,44)</f>
        <v>926</v>
      </c>
      <c r="I120" s="49">
        <f>VLOOKUP($A120,'Data Vlaue (Cr)'!$C:$FB,46)*100</f>
        <v>-27.85</v>
      </c>
      <c r="J120" s="51">
        <f>VLOOKUP($A120,'Data Vlaue (Cr)'!$C:$FB,59)</f>
        <v>1989</v>
      </c>
      <c r="K120" s="51">
        <f>VLOOKUP($A120,'Data Vlaue (Cr)'!$C:$FB,60)</f>
        <v>3099</v>
      </c>
      <c r="L120" s="51">
        <f>VLOOKUP($A120,'Data Vlaue (Cr)'!$C:$FB,62)*100</f>
        <v>-35.799999999999997</v>
      </c>
      <c r="M120" s="51">
        <f>VLOOKUP($A120,'Data Vlaue (Cr)'!$C:$FB,63)</f>
        <v>1249</v>
      </c>
      <c r="N120" s="51">
        <f>VLOOKUP($A120,'Data Vlaue (Cr)'!$C:$FB,64)</f>
        <v>1751</v>
      </c>
      <c r="O120" s="51">
        <f>VLOOKUP($A120,'Data Vlaue (Cr)'!$C:$FB,66)*100</f>
        <v>-28.68</v>
      </c>
    </row>
    <row r="121" spans="1:15" x14ac:dyDescent="0.25">
      <c r="A121" s="101" t="str">
        <f>'Data Vlaue (Cr)'!C116</f>
        <v>KPITTECH</v>
      </c>
      <c r="B121" s="50">
        <f>VLOOKUP($A121,'Data Vlaue (Cr)'!$C:$FB,8)</f>
        <v>1154.0999999999999</v>
      </c>
      <c r="C121" s="50">
        <f>VLOOKUP($A121,'Data Vlaue (Cr)'!$C:$FB,11)*100</f>
        <v>-0.71000000000000008</v>
      </c>
      <c r="D121" s="50">
        <f>VLOOKUP($A121,'Data Vlaue (Cr)'!$C:$FB,143)</f>
        <v>621.29999999999995</v>
      </c>
      <c r="E121" s="50">
        <f>VLOOKUP($A121,'Data Vlaue (Cr)'!$C:$FB,144)</f>
        <v>364.66</v>
      </c>
      <c r="F121" s="50">
        <f>VLOOKUP($A121,'Data Vlaue (Cr)'!$C:$FB,146)*100</f>
        <v>70.38</v>
      </c>
      <c r="G121" s="49">
        <f>VLOOKUP($A121,'Data Vlaue (Cr)'!$C:$FB,43)</f>
        <v>100</v>
      </c>
      <c r="H121" s="49">
        <f>VLOOKUP($A121,'Data Vlaue (Cr)'!$C:$FB,44)</f>
        <v>79</v>
      </c>
      <c r="I121" s="49">
        <f>VLOOKUP($A121,'Data Vlaue (Cr)'!$C:$FB,46)*100</f>
        <v>26.729999999999997</v>
      </c>
      <c r="J121" s="51">
        <f>VLOOKUP($A121,'Data Vlaue (Cr)'!$C:$FB,59)</f>
        <v>310</v>
      </c>
      <c r="K121" s="51">
        <f>VLOOKUP($A121,'Data Vlaue (Cr)'!$C:$FB,60)</f>
        <v>207</v>
      </c>
      <c r="L121" s="51">
        <f>VLOOKUP($A121,'Data Vlaue (Cr)'!$C:$FB,62)*100</f>
        <v>49.55</v>
      </c>
      <c r="M121" s="51">
        <f>VLOOKUP($A121,'Data Vlaue (Cr)'!$C:$FB,63)</f>
        <v>198</v>
      </c>
      <c r="N121" s="51">
        <f>VLOOKUP($A121,'Data Vlaue (Cr)'!$C:$FB,64)</f>
        <v>68</v>
      </c>
      <c r="O121" s="51">
        <f>VLOOKUP($A121,'Data Vlaue (Cr)'!$C:$FB,66)*100</f>
        <v>190.56</v>
      </c>
    </row>
    <row r="122" spans="1:15" x14ac:dyDescent="0.25">
      <c r="A122" s="101" t="str">
        <f>'Data Vlaue (Cr)'!C117</f>
        <v>LAURUSLABS</v>
      </c>
      <c r="B122" s="50">
        <f>VLOOKUP($A122,'Data Vlaue (Cr)'!$C:$FB,8)</f>
        <v>876.75</v>
      </c>
      <c r="C122" s="50">
        <f>VLOOKUP($A122,'Data Vlaue (Cr)'!$C:$FB,11)*100</f>
        <v>1.35</v>
      </c>
      <c r="D122" s="50">
        <f>VLOOKUP($A122,'Data Vlaue (Cr)'!$C:$FB,143)</f>
        <v>6270.87</v>
      </c>
      <c r="E122" s="50">
        <f>VLOOKUP($A122,'Data Vlaue (Cr)'!$C:$FB,144)</f>
        <v>3130.71</v>
      </c>
      <c r="F122" s="50">
        <f>VLOOKUP($A122,'Data Vlaue (Cr)'!$C:$FB,146)*100</f>
        <v>100.29999999999998</v>
      </c>
      <c r="G122" s="49">
        <f>VLOOKUP($A122,'Data Vlaue (Cr)'!$C:$FB,43)</f>
        <v>1460</v>
      </c>
      <c r="H122" s="49">
        <f>VLOOKUP($A122,'Data Vlaue (Cr)'!$C:$FB,44)</f>
        <v>771</v>
      </c>
      <c r="I122" s="49">
        <f>VLOOKUP($A122,'Data Vlaue (Cr)'!$C:$FB,46)*100</f>
        <v>89.32</v>
      </c>
      <c r="J122" s="51">
        <f>VLOOKUP($A122,'Data Vlaue (Cr)'!$C:$FB,59)</f>
        <v>3340</v>
      </c>
      <c r="K122" s="51">
        <f>VLOOKUP($A122,'Data Vlaue (Cr)'!$C:$FB,60)</f>
        <v>1692</v>
      </c>
      <c r="L122" s="51">
        <f>VLOOKUP($A122,'Data Vlaue (Cr)'!$C:$FB,62)*100</f>
        <v>97.44</v>
      </c>
      <c r="M122" s="51">
        <f>VLOOKUP($A122,'Data Vlaue (Cr)'!$C:$FB,63)</f>
        <v>1296</v>
      </c>
      <c r="N122" s="51">
        <f>VLOOKUP($A122,'Data Vlaue (Cr)'!$C:$FB,64)</f>
        <v>625</v>
      </c>
      <c r="O122" s="51">
        <f>VLOOKUP($A122,'Data Vlaue (Cr)'!$C:$FB,66)*100</f>
        <v>107.43</v>
      </c>
    </row>
    <row r="123" spans="1:15" x14ac:dyDescent="0.25">
      <c r="A123" s="101" t="str">
        <f>'Data Vlaue (Cr)'!C118</f>
        <v>LICHSGFIN</v>
      </c>
      <c r="B123" s="50">
        <f>VLOOKUP($A123,'Data Vlaue (Cr)'!$C:$FB,8)</f>
        <v>568.45000000000005</v>
      </c>
      <c r="C123" s="50">
        <f>VLOOKUP($A123,'Data Vlaue (Cr)'!$C:$FB,11)*100</f>
        <v>1.4200000000000002</v>
      </c>
      <c r="D123" s="50">
        <f>VLOOKUP($A123,'Data Vlaue (Cr)'!$C:$FB,143)</f>
        <v>639</v>
      </c>
      <c r="E123" s="50">
        <f>VLOOKUP($A123,'Data Vlaue (Cr)'!$C:$FB,144)</f>
        <v>458.43</v>
      </c>
      <c r="F123" s="50">
        <f>VLOOKUP($A123,'Data Vlaue (Cr)'!$C:$FB,146)*100</f>
        <v>39.39</v>
      </c>
      <c r="G123" s="49">
        <f>VLOOKUP($A123,'Data Vlaue (Cr)'!$C:$FB,43)</f>
        <v>205</v>
      </c>
      <c r="H123" s="49">
        <f>VLOOKUP($A123,'Data Vlaue (Cr)'!$C:$FB,44)</f>
        <v>173</v>
      </c>
      <c r="I123" s="49">
        <f>VLOOKUP($A123,'Data Vlaue (Cr)'!$C:$FB,46)*100</f>
        <v>18.490000000000002</v>
      </c>
      <c r="J123" s="51">
        <f>VLOOKUP($A123,'Data Vlaue (Cr)'!$C:$FB,59)</f>
        <v>309</v>
      </c>
      <c r="K123" s="51">
        <f>VLOOKUP($A123,'Data Vlaue (Cr)'!$C:$FB,60)</f>
        <v>210</v>
      </c>
      <c r="L123" s="51">
        <f>VLOOKUP($A123,'Data Vlaue (Cr)'!$C:$FB,62)*100</f>
        <v>47.46</v>
      </c>
      <c r="M123" s="51">
        <f>VLOOKUP($A123,'Data Vlaue (Cr)'!$C:$FB,63)</f>
        <v>115</v>
      </c>
      <c r="N123" s="51">
        <f>VLOOKUP($A123,'Data Vlaue (Cr)'!$C:$FB,64)</f>
        <v>71</v>
      </c>
      <c r="O123" s="51">
        <f>VLOOKUP($A123,'Data Vlaue (Cr)'!$C:$FB,66)*100</f>
        <v>60.540000000000006</v>
      </c>
    </row>
    <row r="124" spans="1:15" x14ac:dyDescent="0.25">
      <c r="A124" s="101" t="str">
        <f>'Data Vlaue (Cr)'!C119</f>
        <v>LICI</v>
      </c>
      <c r="B124" s="50">
        <f>VLOOKUP($A124,'Data Vlaue (Cr)'!$C:$FB,8)</f>
        <v>897.8</v>
      </c>
      <c r="C124" s="50">
        <f>VLOOKUP($A124,'Data Vlaue (Cr)'!$C:$FB,11)*100</f>
        <v>0.28999999999999998</v>
      </c>
      <c r="D124" s="50">
        <f>VLOOKUP($A124,'Data Vlaue (Cr)'!$C:$FB,143)</f>
        <v>522.63</v>
      </c>
      <c r="E124" s="50">
        <f>VLOOKUP($A124,'Data Vlaue (Cr)'!$C:$FB,144)</f>
        <v>398.4</v>
      </c>
      <c r="F124" s="50">
        <f>VLOOKUP($A124,'Data Vlaue (Cr)'!$C:$FB,146)*100</f>
        <v>31.180000000000003</v>
      </c>
      <c r="G124" s="49">
        <f>VLOOKUP($A124,'Data Vlaue (Cr)'!$C:$FB,43)</f>
        <v>125</v>
      </c>
      <c r="H124" s="49">
        <f>VLOOKUP($A124,'Data Vlaue (Cr)'!$C:$FB,44)</f>
        <v>87</v>
      </c>
      <c r="I124" s="49">
        <f>VLOOKUP($A124,'Data Vlaue (Cr)'!$C:$FB,46)*100</f>
        <v>44.89</v>
      </c>
      <c r="J124" s="51">
        <f>VLOOKUP($A124,'Data Vlaue (Cr)'!$C:$FB,59)</f>
        <v>295</v>
      </c>
      <c r="K124" s="51">
        <f>VLOOKUP($A124,'Data Vlaue (Cr)'!$C:$FB,60)</f>
        <v>238</v>
      </c>
      <c r="L124" s="51">
        <f>VLOOKUP($A124,'Data Vlaue (Cr)'!$C:$FB,62)*100</f>
        <v>23.849999999999998</v>
      </c>
      <c r="M124" s="51">
        <f>VLOOKUP($A124,'Data Vlaue (Cr)'!$C:$FB,63)</f>
        <v>90</v>
      </c>
      <c r="N124" s="51">
        <f>VLOOKUP($A124,'Data Vlaue (Cr)'!$C:$FB,64)</f>
        <v>64</v>
      </c>
      <c r="O124" s="51">
        <f>VLOOKUP($A124,'Data Vlaue (Cr)'!$C:$FB,66)*100</f>
        <v>41.21</v>
      </c>
    </row>
    <row r="125" spans="1:15" x14ac:dyDescent="0.25">
      <c r="A125" s="101" t="str">
        <f>'Data Vlaue (Cr)'!C120</f>
        <v>LODHA</v>
      </c>
      <c r="B125" s="50">
        <f>VLOOKUP($A125,'Data Vlaue (Cr)'!$C:$FB,8)</f>
        <v>1155.9000000000001</v>
      </c>
      <c r="C125" s="50">
        <f>VLOOKUP($A125,'Data Vlaue (Cr)'!$C:$FB,11)*100</f>
        <v>2.41</v>
      </c>
      <c r="D125" s="50">
        <f>VLOOKUP($A125,'Data Vlaue (Cr)'!$C:$FB,143)</f>
        <v>1113.73</v>
      </c>
      <c r="E125" s="50">
        <f>VLOOKUP($A125,'Data Vlaue (Cr)'!$C:$FB,144)</f>
        <v>708.77</v>
      </c>
      <c r="F125" s="50">
        <f>VLOOKUP($A125,'Data Vlaue (Cr)'!$C:$FB,146)*100</f>
        <v>57.14</v>
      </c>
      <c r="G125" s="49">
        <f>VLOOKUP($A125,'Data Vlaue (Cr)'!$C:$FB,43)</f>
        <v>236</v>
      </c>
      <c r="H125" s="49">
        <f>VLOOKUP($A125,'Data Vlaue (Cr)'!$C:$FB,44)</f>
        <v>219</v>
      </c>
      <c r="I125" s="49">
        <f>VLOOKUP($A125,'Data Vlaue (Cr)'!$C:$FB,46)*100</f>
        <v>8.02</v>
      </c>
      <c r="J125" s="51">
        <f>VLOOKUP($A125,'Data Vlaue (Cr)'!$C:$FB,59)</f>
        <v>698</v>
      </c>
      <c r="K125" s="51">
        <f>VLOOKUP($A125,'Data Vlaue (Cr)'!$C:$FB,60)</f>
        <v>363</v>
      </c>
      <c r="L125" s="51">
        <f>VLOOKUP($A125,'Data Vlaue (Cr)'!$C:$FB,62)*100</f>
        <v>92.35</v>
      </c>
      <c r="M125" s="51">
        <f>VLOOKUP($A125,'Data Vlaue (Cr)'!$C:$FB,63)</f>
        <v>157</v>
      </c>
      <c r="N125" s="51">
        <f>VLOOKUP($A125,'Data Vlaue (Cr)'!$C:$FB,64)</f>
        <v>124</v>
      </c>
      <c r="O125" s="51">
        <f>VLOOKUP($A125,'Data Vlaue (Cr)'!$C:$FB,66)*100</f>
        <v>25.89</v>
      </c>
    </row>
    <row r="126" spans="1:15" x14ac:dyDescent="0.25">
      <c r="A126" s="101" t="str">
        <f>'Data Vlaue (Cr)'!C121</f>
        <v>LT</v>
      </c>
      <c r="B126" s="50">
        <f>VLOOKUP($A126,'Data Vlaue (Cr)'!$C:$FB,8)</f>
        <v>3784</v>
      </c>
      <c r="C126" s="50">
        <f>VLOOKUP($A126,'Data Vlaue (Cr)'!$C:$FB,11)*100</f>
        <v>0.38999999999999996</v>
      </c>
      <c r="D126" s="50">
        <f>VLOOKUP($A126,'Data Vlaue (Cr)'!$C:$FB,143)</f>
        <v>5301.17</v>
      </c>
      <c r="E126" s="50">
        <f>VLOOKUP($A126,'Data Vlaue (Cr)'!$C:$FB,144)</f>
        <v>6717.06</v>
      </c>
      <c r="F126" s="50">
        <f>VLOOKUP($A126,'Data Vlaue (Cr)'!$C:$FB,146)*100</f>
        <v>-21.08</v>
      </c>
      <c r="G126" s="49">
        <f>VLOOKUP($A126,'Data Vlaue (Cr)'!$C:$FB,43)</f>
        <v>754</v>
      </c>
      <c r="H126" s="49">
        <f>VLOOKUP($A126,'Data Vlaue (Cr)'!$C:$FB,44)</f>
        <v>836</v>
      </c>
      <c r="I126" s="49">
        <f>VLOOKUP($A126,'Data Vlaue (Cr)'!$C:$FB,46)*100</f>
        <v>-9.7900000000000009</v>
      </c>
      <c r="J126" s="51">
        <f>VLOOKUP($A126,'Data Vlaue (Cr)'!$C:$FB,59)</f>
        <v>3208</v>
      </c>
      <c r="K126" s="51">
        <f>VLOOKUP($A126,'Data Vlaue (Cr)'!$C:$FB,60)</f>
        <v>4105</v>
      </c>
      <c r="L126" s="51">
        <f>VLOOKUP($A126,'Data Vlaue (Cr)'!$C:$FB,62)*100</f>
        <v>-21.85</v>
      </c>
      <c r="M126" s="51">
        <f>VLOOKUP($A126,'Data Vlaue (Cr)'!$C:$FB,63)</f>
        <v>1278</v>
      </c>
      <c r="N126" s="51">
        <f>VLOOKUP($A126,'Data Vlaue (Cr)'!$C:$FB,64)</f>
        <v>1729</v>
      </c>
      <c r="O126" s="51">
        <f>VLOOKUP($A126,'Data Vlaue (Cr)'!$C:$FB,66)*100</f>
        <v>-26.090000000000003</v>
      </c>
    </row>
    <row r="127" spans="1:15" x14ac:dyDescent="0.25">
      <c r="A127" s="101" t="str">
        <f>'Data Vlaue (Cr)'!C122</f>
        <v>LTF</v>
      </c>
      <c r="B127" s="50">
        <f>VLOOKUP($A127,'Data Vlaue (Cr)'!$C:$FB,8)</f>
        <v>256.04000000000002</v>
      </c>
      <c r="C127" s="50">
        <f>VLOOKUP($A127,'Data Vlaue (Cr)'!$C:$FB,11)*100</f>
        <v>-1.6099999999999999</v>
      </c>
      <c r="D127" s="50">
        <f>VLOOKUP($A127,'Data Vlaue (Cr)'!$C:$FB,143)</f>
        <v>1781.45</v>
      </c>
      <c r="E127" s="50">
        <f>VLOOKUP($A127,'Data Vlaue (Cr)'!$C:$FB,144)</f>
        <v>1072.6199999999999</v>
      </c>
      <c r="F127" s="50">
        <f>VLOOKUP($A127,'Data Vlaue (Cr)'!$C:$FB,146)*100</f>
        <v>66.080000000000013</v>
      </c>
      <c r="G127" s="49">
        <f>VLOOKUP($A127,'Data Vlaue (Cr)'!$C:$FB,43)</f>
        <v>452</v>
      </c>
      <c r="H127" s="49">
        <f>VLOOKUP($A127,'Data Vlaue (Cr)'!$C:$FB,44)</f>
        <v>268</v>
      </c>
      <c r="I127" s="49">
        <f>VLOOKUP($A127,'Data Vlaue (Cr)'!$C:$FB,46)*100</f>
        <v>68.739999999999995</v>
      </c>
      <c r="J127" s="51">
        <f>VLOOKUP($A127,'Data Vlaue (Cr)'!$C:$FB,59)</f>
        <v>744</v>
      </c>
      <c r="K127" s="51">
        <f>VLOOKUP($A127,'Data Vlaue (Cr)'!$C:$FB,60)</f>
        <v>440</v>
      </c>
      <c r="L127" s="51">
        <f>VLOOKUP($A127,'Data Vlaue (Cr)'!$C:$FB,62)*100</f>
        <v>69.089999999999989</v>
      </c>
      <c r="M127" s="51">
        <f>VLOOKUP($A127,'Data Vlaue (Cr)'!$C:$FB,63)</f>
        <v>555</v>
      </c>
      <c r="N127" s="51">
        <f>VLOOKUP($A127,'Data Vlaue (Cr)'!$C:$FB,64)</f>
        <v>351</v>
      </c>
      <c r="O127" s="51">
        <f>VLOOKUP($A127,'Data Vlaue (Cr)'!$C:$FB,66)*100</f>
        <v>58.28</v>
      </c>
    </row>
    <row r="128" spans="1:15" x14ac:dyDescent="0.25">
      <c r="A128" s="101" t="str">
        <f>'Data Vlaue (Cr)'!C123</f>
        <v>LTIM</v>
      </c>
      <c r="B128" s="50">
        <f>VLOOKUP($A128,'Data Vlaue (Cr)'!$C:$FB,8)</f>
        <v>5471.5</v>
      </c>
      <c r="C128" s="50">
        <f>VLOOKUP($A128,'Data Vlaue (Cr)'!$C:$FB,11)*100</f>
        <v>0.69</v>
      </c>
      <c r="D128" s="50">
        <f>VLOOKUP($A128,'Data Vlaue (Cr)'!$C:$FB,143)</f>
        <v>2170.44</v>
      </c>
      <c r="E128" s="50">
        <f>VLOOKUP($A128,'Data Vlaue (Cr)'!$C:$FB,144)</f>
        <v>1704.9</v>
      </c>
      <c r="F128" s="50">
        <f>VLOOKUP($A128,'Data Vlaue (Cr)'!$C:$FB,146)*100</f>
        <v>27.310000000000002</v>
      </c>
      <c r="G128" s="49">
        <f>VLOOKUP($A128,'Data Vlaue (Cr)'!$C:$FB,43)</f>
        <v>478</v>
      </c>
      <c r="H128" s="49">
        <f>VLOOKUP($A128,'Data Vlaue (Cr)'!$C:$FB,44)</f>
        <v>350</v>
      </c>
      <c r="I128" s="49">
        <f>VLOOKUP($A128,'Data Vlaue (Cr)'!$C:$FB,46)*100</f>
        <v>36.61</v>
      </c>
      <c r="J128" s="51">
        <f>VLOOKUP($A128,'Data Vlaue (Cr)'!$C:$FB,59)</f>
        <v>1081</v>
      </c>
      <c r="K128" s="51">
        <f>VLOOKUP($A128,'Data Vlaue (Cr)'!$C:$FB,60)</f>
        <v>929</v>
      </c>
      <c r="L128" s="51">
        <f>VLOOKUP($A128,'Data Vlaue (Cr)'!$C:$FB,62)*100</f>
        <v>16.32</v>
      </c>
      <c r="M128" s="51">
        <f>VLOOKUP($A128,'Data Vlaue (Cr)'!$C:$FB,63)</f>
        <v>585</v>
      </c>
      <c r="N128" s="51">
        <f>VLOOKUP($A128,'Data Vlaue (Cr)'!$C:$FB,64)</f>
        <v>411</v>
      </c>
      <c r="O128" s="51">
        <f>VLOOKUP($A128,'Data Vlaue (Cr)'!$C:$FB,66)*100</f>
        <v>42.36</v>
      </c>
    </row>
    <row r="129" spans="1:15" x14ac:dyDescent="0.25">
      <c r="A129" s="101" t="str">
        <f>'Data Vlaue (Cr)'!C124</f>
        <v>LUPIN</v>
      </c>
      <c r="B129" s="50">
        <f>VLOOKUP($A129,'Data Vlaue (Cr)'!$C:$FB,8)</f>
        <v>1959.3</v>
      </c>
      <c r="C129" s="50">
        <f>VLOOKUP($A129,'Data Vlaue (Cr)'!$C:$FB,11)*100</f>
        <v>0.09</v>
      </c>
      <c r="D129" s="50">
        <f>VLOOKUP($A129,'Data Vlaue (Cr)'!$C:$FB,143)</f>
        <v>2419.37</v>
      </c>
      <c r="E129" s="50">
        <f>VLOOKUP($A129,'Data Vlaue (Cr)'!$C:$FB,144)</f>
        <v>6206.38</v>
      </c>
      <c r="F129" s="50">
        <f>VLOOKUP($A129,'Data Vlaue (Cr)'!$C:$FB,146)*100</f>
        <v>-61.019999999999996</v>
      </c>
      <c r="G129" s="49">
        <f>VLOOKUP($A129,'Data Vlaue (Cr)'!$C:$FB,43)</f>
        <v>355</v>
      </c>
      <c r="H129" s="49">
        <f>VLOOKUP($A129,'Data Vlaue (Cr)'!$C:$FB,44)</f>
        <v>681</v>
      </c>
      <c r="I129" s="49">
        <f>VLOOKUP($A129,'Data Vlaue (Cr)'!$C:$FB,46)*100</f>
        <v>-47.949999999999996</v>
      </c>
      <c r="J129" s="51">
        <f>VLOOKUP($A129,'Data Vlaue (Cr)'!$C:$FB,59)</f>
        <v>1433</v>
      </c>
      <c r="K129" s="51">
        <f>VLOOKUP($A129,'Data Vlaue (Cr)'!$C:$FB,60)</f>
        <v>3990</v>
      </c>
      <c r="L129" s="51">
        <f>VLOOKUP($A129,'Data Vlaue (Cr)'!$C:$FB,62)*100</f>
        <v>-64.08</v>
      </c>
      <c r="M129" s="51">
        <f>VLOOKUP($A129,'Data Vlaue (Cr)'!$C:$FB,63)</f>
        <v>587</v>
      </c>
      <c r="N129" s="51">
        <f>VLOOKUP($A129,'Data Vlaue (Cr)'!$C:$FB,64)</f>
        <v>1394</v>
      </c>
      <c r="O129" s="51">
        <f>VLOOKUP($A129,'Data Vlaue (Cr)'!$C:$FB,66)*100</f>
        <v>-57.91</v>
      </c>
    </row>
    <row r="130" spans="1:15" x14ac:dyDescent="0.25">
      <c r="A130" s="101" t="str">
        <f>'Data Vlaue (Cr)'!C125</f>
        <v>M&amp;M</v>
      </c>
      <c r="B130" s="50">
        <f>VLOOKUP($A130,'Data Vlaue (Cr)'!$C:$FB,8)</f>
        <v>3454.9</v>
      </c>
      <c r="C130" s="50">
        <f>VLOOKUP($A130,'Data Vlaue (Cr)'!$C:$FB,11)*100</f>
        <v>0.35000000000000003</v>
      </c>
      <c r="D130" s="50">
        <f>VLOOKUP($A130,'Data Vlaue (Cr)'!$C:$FB,143)</f>
        <v>4067.56</v>
      </c>
      <c r="E130" s="50">
        <f>VLOOKUP($A130,'Data Vlaue (Cr)'!$C:$FB,144)</f>
        <v>4160.46</v>
      </c>
      <c r="F130" s="50">
        <f>VLOOKUP($A130,'Data Vlaue (Cr)'!$C:$FB,146)*100</f>
        <v>-2.23</v>
      </c>
      <c r="G130" s="49">
        <f>VLOOKUP($A130,'Data Vlaue (Cr)'!$C:$FB,43)</f>
        <v>658</v>
      </c>
      <c r="H130" s="49">
        <f>VLOOKUP($A130,'Data Vlaue (Cr)'!$C:$FB,44)</f>
        <v>764</v>
      </c>
      <c r="I130" s="49">
        <f>VLOOKUP($A130,'Data Vlaue (Cr)'!$C:$FB,46)*100</f>
        <v>-13.83</v>
      </c>
      <c r="J130" s="51">
        <f>VLOOKUP($A130,'Data Vlaue (Cr)'!$C:$FB,59)</f>
        <v>2448</v>
      </c>
      <c r="K130" s="51">
        <f>VLOOKUP($A130,'Data Vlaue (Cr)'!$C:$FB,60)</f>
        <v>2287</v>
      </c>
      <c r="L130" s="51">
        <f>VLOOKUP($A130,'Data Vlaue (Cr)'!$C:$FB,62)*100</f>
        <v>7.02</v>
      </c>
      <c r="M130" s="51">
        <f>VLOOKUP($A130,'Data Vlaue (Cr)'!$C:$FB,63)</f>
        <v>881</v>
      </c>
      <c r="N130" s="51">
        <f>VLOOKUP($A130,'Data Vlaue (Cr)'!$C:$FB,64)</f>
        <v>1033</v>
      </c>
      <c r="O130" s="51">
        <f>VLOOKUP($A130,'Data Vlaue (Cr)'!$C:$FB,66)*100</f>
        <v>-14.74</v>
      </c>
    </row>
    <row r="131" spans="1:15" x14ac:dyDescent="0.25">
      <c r="A131" s="101" t="str">
        <f>'Data Vlaue (Cr)'!C126</f>
        <v>MANAPPURAM</v>
      </c>
      <c r="B131" s="50">
        <f>VLOOKUP($A131,'Data Vlaue (Cr)'!$C:$FB,8)</f>
        <v>284.75</v>
      </c>
      <c r="C131" s="50">
        <f>VLOOKUP($A131,'Data Vlaue (Cr)'!$C:$FB,11)*100</f>
        <v>-3.2300000000000004</v>
      </c>
      <c r="D131" s="50">
        <f>VLOOKUP($A131,'Data Vlaue (Cr)'!$C:$FB,143)</f>
        <v>1477.91</v>
      </c>
      <c r="E131" s="50">
        <f>VLOOKUP($A131,'Data Vlaue (Cr)'!$C:$FB,144)</f>
        <v>553.46</v>
      </c>
      <c r="F131" s="50">
        <f>VLOOKUP($A131,'Data Vlaue (Cr)'!$C:$FB,146)*100</f>
        <v>167.03</v>
      </c>
      <c r="G131" s="49">
        <f>VLOOKUP($A131,'Data Vlaue (Cr)'!$C:$FB,43)</f>
        <v>347</v>
      </c>
      <c r="H131" s="49">
        <f>VLOOKUP($A131,'Data Vlaue (Cr)'!$C:$FB,44)</f>
        <v>105</v>
      </c>
      <c r="I131" s="49">
        <f>VLOOKUP($A131,'Data Vlaue (Cr)'!$C:$FB,46)*100</f>
        <v>229.57999999999998</v>
      </c>
      <c r="J131" s="51">
        <f>VLOOKUP($A131,'Data Vlaue (Cr)'!$C:$FB,59)</f>
        <v>729</v>
      </c>
      <c r="K131" s="51">
        <f>VLOOKUP($A131,'Data Vlaue (Cr)'!$C:$FB,60)</f>
        <v>277</v>
      </c>
      <c r="L131" s="51">
        <f>VLOOKUP($A131,'Data Vlaue (Cr)'!$C:$FB,62)*100</f>
        <v>163.47</v>
      </c>
      <c r="M131" s="51">
        <f>VLOOKUP($A131,'Data Vlaue (Cr)'!$C:$FB,63)</f>
        <v>363</v>
      </c>
      <c r="N131" s="51">
        <f>VLOOKUP($A131,'Data Vlaue (Cr)'!$C:$FB,64)</f>
        <v>146</v>
      </c>
      <c r="O131" s="51">
        <f>VLOOKUP($A131,'Data Vlaue (Cr)'!$C:$FB,66)*100</f>
        <v>148.26999999999998</v>
      </c>
    </row>
    <row r="132" spans="1:15" x14ac:dyDescent="0.25">
      <c r="A132" s="101" t="str">
        <f>'Data Vlaue (Cr)'!C127</f>
        <v>MANKIND</v>
      </c>
      <c r="B132" s="50">
        <f>VLOOKUP($A132,'Data Vlaue (Cr)'!$C:$FB,8)</f>
        <v>2459.9</v>
      </c>
      <c r="C132" s="50">
        <f>VLOOKUP($A132,'Data Vlaue (Cr)'!$C:$FB,11)*100</f>
        <v>-0.79</v>
      </c>
      <c r="D132" s="50">
        <f>VLOOKUP($A132,'Data Vlaue (Cr)'!$C:$FB,143)</f>
        <v>365.68</v>
      </c>
      <c r="E132" s="50">
        <f>VLOOKUP($A132,'Data Vlaue (Cr)'!$C:$FB,144)</f>
        <v>242.58</v>
      </c>
      <c r="F132" s="50">
        <f>VLOOKUP($A132,'Data Vlaue (Cr)'!$C:$FB,146)*100</f>
        <v>50.749999999999993</v>
      </c>
      <c r="G132" s="49">
        <f>VLOOKUP($A132,'Data Vlaue (Cr)'!$C:$FB,43)</f>
        <v>83</v>
      </c>
      <c r="H132" s="49">
        <f>VLOOKUP($A132,'Data Vlaue (Cr)'!$C:$FB,44)</f>
        <v>73</v>
      </c>
      <c r="I132" s="49">
        <f>VLOOKUP($A132,'Data Vlaue (Cr)'!$C:$FB,46)*100</f>
        <v>12.97</v>
      </c>
      <c r="J132" s="51">
        <f>VLOOKUP($A132,'Data Vlaue (Cr)'!$C:$FB,59)</f>
        <v>225</v>
      </c>
      <c r="K132" s="51">
        <f>VLOOKUP($A132,'Data Vlaue (Cr)'!$C:$FB,60)</f>
        <v>126</v>
      </c>
      <c r="L132" s="51">
        <f>VLOOKUP($A132,'Data Vlaue (Cr)'!$C:$FB,62)*100</f>
        <v>78.45</v>
      </c>
      <c r="M132" s="51">
        <f>VLOOKUP($A132,'Data Vlaue (Cr)'!$C:$FB,63)</f>
        <v>44</v>
      </c>
      <c r="N132" s="51">
        <f>VLOOKUP($A132,'Data Vlaue (Cr)'!$C:$FB,64)</f>
        <v>35</v>
      </c>
      <c r="O132" s="51">
        <f>VLOOKUP($A132,'Data Vlaue (Cr)'!$C:$FB,66)*100</f>
        <v>27.800000000000004</v>
      </c>
    </row>
    <row r="133" spans="1:15" x14ac:dyDescent="0.25">
      <c r="A133" s="101" t="str">
        <f>'Data Vlaue (Cr)'!C128</f>
        <v>MARICO</v>
      </c>
      <c r="B133" s="50">
        <f>VLOOKUP($A133,'Data Vlaue (Cr)'!$C:$FB,8)</f>
        <v>714.3</v>
      </c>
      <c r="C133" s="50">
        <f>VLOOKUP($A133,'Data Vlaue (Cr)'!$C:$FB,11)*100</f>
        <v>-0.22</v>
      </c>
      <c r="D133" s="50">
        <f>VLOOKUP($A133,'Data Vlaue (Cr)'!$C:$FB,143)</f>
        <v>385.69</v>
      </c>
      <c r="E133" s="50">
        <f>VLOOKUP($A133,'Data Vlaue (Cr)'!$C:$FB,144)</f>
        <v>530.78</v>
      </c>
      <c r="F133" s="50">
        <f>VLOOKUP($A133,'Data Vlaue (Cr)'!$C:$FB,146)*100</f>
        <v>-27.33</v>
      </c>
      <c r="G133" s="49">
        <f>VLOOKUP($A133,'Data Vlaue (Cr)'!$C:$FB,43)</f>
        <v>122</v>
      </c>
      <c r="H133" s="49">
        <f>VLOOKUP($A133,'Data Vlaue (Cr)'!$C:$FB,44)</f>
        <v>156</v>
      </c>
      <c r="I133" s="49">
        <f>VLOOKUP($A133,'Data Vlaue (Cr)'!$C:$FB,46)*100</f>
        <v>-21.91</v>
      </c>
      <c r="J133" s="51">
        <f>VLOOKUP($A133,'Data Vlaue (Cr)'!$C:$FB,59)</f>
        <v>178</v>
      </c>
      <c r="K133" s="51">
        <f>VLOOKUP($A133,'Data Vlaue (Cr)'!$C:$FB,60)</f>
        <v>257</v>
      </c>
      <c r="L133" s="51">
        <f>VLOOKUP($A133,'Data Vlaue (Cr)'!$C:$FB,62)*100</f>
        <v>-30.85</v>
      </c>
      <c r="M133" s="51">
        <f>VLOOKUP($A133,'Data Vlaue (Cr)'!$C:$FB,63)</f>
        <v>82</v>
      </c>
      <c r="N133" s="51">
        <f>VLOOKUP($A133,'Data Vlaue (Cr)'!$C:$FB,64)</f>
        <v>112</v>
      </c>
      <c r="O133" s="51">
        <f>VLOOKUP($A133,'Data Vlaue (Cr)'!$C:$FB,66)*100</f>
        <v>-26.56</v>
      </c>
    </row>
    <row r="134" spans="1:15" x14ac:dyDescent="0.25">
      <c r="A134" s="101" t="str">
        <f>'Data Vlaue (Cr)'!C129</f>
        <v>MARUTI</v>
      </c>
      <c r="B134" s="50">
        <f>VLOOKUP($A134,'Data Vlaue (Cr)'!$C:$FB,8)</f>
        <v>16265</v>
      </c>
      <c r="C134" s="50">
        <f>VLOOKUP($A134,'Data Vlaue (Cr)'!$C:$FB,11)*100</f>
        <v>1.7500000000000002</v>
      </c>
      <c r="D134" s="50">
        <f>VLOOKUP($A134,'Data Vlaue (Cr)'!$C:$FB,143)</f>
        <v>19674.310000000001</v>
      </c>
      <c r="E134" s="50">
        <f>VLOOKUP($A134,'Data Vlaue (Cr)'!$C:$FB,144)</f>
        <v>8840.17</v>
      </c>
      <c r="F134" s="50">
        <f>VLOOKUP($A134,'Data Vlaue (Cr)'!$C:$FB,146)*100</f>
        <v>122.56</v>
      </c>
      <c r="G134" s="49">
        <f>VLOOKUP($A134,'Data Vlaue (Cr)'!$C:$FB,43)</f>
        <v>1602</v>
      </c>
      <c r="H134" s="49">
        <f>VLOOKUP($A134,'Data Vlaue (Cr)'!$C:$FB,44)</f>
        <v>711</v>
      </c>
      <c r="I134" s="49">
        <f>VLOOKUP($A134,'Data Vlaue (Cr)'!$C:$FB,46)*100</f>
        <v>125.42</v>
      </c>
      <c r="J134" s="51">
        <f>VLOOKUP($A134,'Data Vlaue (Cr)'!$C:$FB,59)</f>
        <v>13013</v>
      </c>
      <c r="K134" s="51">
        <f>VLOOKUP($A134,'Data Vlaue (Cr)'!$C:$FB,60)</f>
        <v>5177</v>
      </c>
      <c r="L134" s="51">
        <f>VLOOKUP($A134,'Data Vlaue (Cr)'!$C:$FB,62)*100</f>
        <v>151.35</v>
      </c>
      <c r="M134" s="51">
        <f>VLOOKUP($A134,'Data Vlaue (Cr)'!$C:$FB,63)</f>
        <v>4844</v>
      </c>
      <c r="N134" s="51">
        <f>VLOOKUP($A134,'Data Vlaue (Cr)'!$C:$FB,64)</f>
        <v>2974</v>
      </c>
      <c r="O134" s="51">
        <f>VLOOKUP($A134,'Data Vlaue (Cr)'!$C:$FB,66)*100</f>
        <v>62.860000000000007</v>
      </c>
    </row>
    <row r="135" spans="1:15" x14ac:dyDescent="0.25">
      <c r="A135" s="101" t="str">
        <f>'Data Vlaue (Cr)'!C130</f>
        <v>MAXHEALTH</v>
      </c>
      <c r="B135" s="50">
        <f>VLOOKUP($A135,'Data Vlaue (Cr)'!$C:$FB,8)</f>
        <v>1156.4000000000001</v>
      </c>
      <c r="C135" s="50">
        <f>VLOOKUP($A135,'Data Vlaue (Cr)'!$C:$FB,11)*100</f>
        <v>0.05</v>
      </c>
      <c r="D135" s="50">
        <f>VLOOKUP($A135,'Data Vlaue (Cr)'!$C:$FB,143)</f>
        <v>778.75</v>
      </c>
      <c r="E135" s="50">
        <f>VLOOKUP($A135,'Data Vlaue (Cr)'!$C:$FB,144)</f>
        <v>1236.81</v>
      </c>
      <c r="F135" s="50">
        <f>VLOOKUP($A135,'Data Vlaue (Cr)'!$C:$FB,146)*100</f>
        <v>-37.04</v>
      </c>
      <c r="G135" s="49">
        <f>VLOOKUP($A135,'Data Vlaue (Cr)'!$C:$FB,43)</f>
        <v>218</v>
      </c>
      <c r="H135" s="49">
        <f>VLOOKUP($A135,'Data Vlaue (Cr)'!$C:$FB,44)</f>
        <v>207</v>
      </c>
      <c r="I135" s="49">
        <f>VLOOKUP($A135,'Data Vlaue (Cr)'!$C:$FB,46)*100</f>
        <v>5.28</v>
      </c>
      <c r="J135" s="51">
        <f>VLOOKUP($A135,'Data Vlaue (Cr)'!$C:$FB,59)</f>
        <v>321</v>
      </c>
      <c r="K135" s="51">
        <f>VLOOKUP($A135,'Data Vlaue (Cr)'!$C:$FB,60)</f>
        <v>670</v>
      </c>
      <c r="L135" s="51">
        <f>VLOOKUP($A135,'Data Vlaue (Cr)'!$C:$FB,62)*100</f>
        <v>-52.1</v>
      </c>
      <c r="M135" s="51">
        <f>VLOOKUP($A135,'Data Vlaue (Cr)'!$C:$FB,63)</f>
        <v>233</v>
      </c>
      <c r="N135" s="51">
        <f>VLOOKUP($A135,'Data Vlaue (Cr)'!$C:$FB,64)</f>
        <v>348</v>
      </c>
      <c r="O135" s="51">
        <f>VLOOKUP($A135,'Data Vlaue (Cr)'!$C:$FB,66)*100</f>
        <v>-33.040000000000006</v>
      </c>
    </row>
    <row r="136" spans="1:15" x14ac:dyDescent="0.25">
      <c r="A136" s="101" t="str">
        <f>'Data Vlaue (Cr)'!C131</f>
        <v>MAZDOCK</v>
      </c>
      <c r="B136" s="50">
        <f>VLOOKUP($A136,'Data Vlaue (Cr)'!$C:$FB,8)</f>
        <v>2870.1</v>
      </c>
      <c r="C136" s="50">
        <f>VLOOKUP($A136,'Data Vlaue (Cr)'!$C:$FB,11)*100</f>
        <v>-0.64</v>
      </c>
      <c r="D136" s="50">
        <f>VLOOKUP($A136,'Data Vlaue (Cr)'!$C:$FB,143)</f>
        <v>1512.87</v>
      </c>
      <c r="E136" s="50">
        <f>VLOOKUP($A136,'Data Vlaue (Cr)'!$C:$FB,144)</f>
        <v>1390.73</v>
      </c>
      <c r="F136" s="50">
        <f>VLOOKUP($A136,'Data Vlaue (Cr)'!$C:$FB,146)*100</f>
        <v>8.7800000000000011</v>
      </c>
      <c r="G136" s="49">
        <f>VLOOKUP($A136,'Data Vlaue (Cr)'!$C:$FB,43)</f>
        <v>219</v>
      </c>
      <c r="H136" s="49">
        <f>VLOOKUP($A136,'Data Vlaue (Cr)'!$C:$FB,44)</f>
        <v>252</v>
      </c>
      <c r="I136" s="49">
        <f>VLOOKUP($A136,'Data Vlaue (Cr)'!$C:$FB,46)*100</f>
        <v>-12.989999999999998</v>
      </c>
      <c r="J136" s="51">
        <f>VLOOKUP($A136,'Data Vlaue (Cr)'!$C:$FB,59)</f>
        <v>932</v>
      </c>
      <c r="K136" s="51">
        <f>VLOOKUP($A136,'Data Vlaue (Cr)'!$C:$FB,60)</f>
        <v>825</v>
      </c>
      <c r="L136" s="51">
        <f>VLOOKUP($A136,'Data Vlaue (Cr)'!$C:$FB,62)*100</f>
        <v>12.93</v>
      </c>
      <c r="M136" s="51">
        <f>VLOOKUP($A136,'Data Vlaue (Cr)'!$C:$FB,63)</f>
        <v>301</v>
      </c>
      <c r="N136" s="51">
        <f>VLOOKUP($A136,'Data Vlaue (Cr)'!$C:$FB,64)</f>
        <v>278</v>
      </c>
      <c r="O136" s="51">
        <f>VLOOKUP($A136,'Data Vlaue (Cr)'!$C:$FB,66)*100</f>
        <v>8.5400000000000009</v>
      </c>
    </row>
    <row r="137" spans="1:15" x14ac:dyDescent="0.25">
      <c r="A137" s="101" t="str">
        <f>'Data Vlaue (Cr)'!C132</f>
        <v>MCX</v>
      </c>
      <c r="B137" s="50">
        <f>VLOOKUP($A137,'Data Vlaue (Cr)'!$C:$FB,8)</f>
        <v>8688.5</v>
      </c>
      <c r="C137" s="50">
        <f>VLOOKUP($A137,'Data Vlaue (Cr)'!$C:$FB,11)*100</f>
        <v>-0.2</v>
      </c>
      <c r="D137" s="50">
        <f>VLOOKUP($A137,'Data Vlaue (Cr)'!$C:$FB,143)</f>
        <v>13128.12</v>
      </c>
      <c r="E137" s="50">
        <f>VLOOKUP($A137,'Data Vlaue (Cr)'!$C:$FB,144)</f>
        <v>20929.52</v>
      </c>
      <c r="F137" s="50">
        <f>VLOOKUP($A137,'Data Vlaue (Cr)'!$C:$FB,146)*100</f>
        <v>-37.269999999999996</v>
      </c>
      <c r="G137" s="49">
        <f>VLOOKUP($A137,'Data Vlaue (Cr)'!$C:$FB,43)</f>
        <v>1029</v>
      </c>
      <c r="H137" s="49">
        <f>VLOOKUP($A137,'Data Vlaue (Cr)'!$C:$FB,44)</f>
        <v>1994</v>
      </c>
      <c r="I137" s="49">
        <f>VLOOKUP($A137,'Data Vlaue (Cr)'!$C:$FB,46)*100</f>
        <v>-48.38</v>
      </c>
      <c r="J137" s="51">
        <f>VLOOKUP($A137,'Data Vlaue (Cr)'!$C:$FB,59)</f>
        <v>8107</v>
      </c>
      <c r="K137" s="51">
        <f>VLOOKUP($A137,'Data Vlaue (Cr)'!$C:$FB,60)</f>
        <v>12849</v>
      </c>
      <c r="L137" s="51">
        <f>VLOOKUP($A137,'Data Vlaue (Cr)'!$C:$FB,62)*100</f>
        <v>-36.9</v>
      </c>
      <c r="M137" s="51">
        <f>VLOOKUP($A137,'Data Vlaue (Cr)'!$C:$FB,63)</f>
        <v>3571</v>
      </c>
      <c r="N137" s="51">
        <f>VLOOKUP($A137,'Data Vlaue (Cr)'!$C:$FB,64)</f>
        <v>5939</v>
      </c>
      <c r="O137" s="51">
        <f>VLOOKUP($A137,'Data Vlaue (Cr)'!$C:$FB,66)*100</f>
        <v>-39.869999999999997</v>
      </c>
    </row>
    <row r="138" spans="1:15" x14ac:dyDescent="0.25">
      <c r="A138" s="101" t="str">
        <f>'Data Vlaue (Cr)'!C133</f>
        <v>MFSL</v>
      </c>
      <c r="B138" s="50">
        <f>VLOOKUP($A138,'Data Vlaue (Cr)'!$C:$FB,8)</f>
        <v>1581.7</v>
      </c>
      <c r="C138" s="50">
        <f>VLOOKUP($A138,'Data Vlaue (Cr)'!$C:$FB,11)*100</f>
        <v>-0.91</v>
      </c>
      <c r="D138" s="50">
        <f>VLOOKUP($A138,'Data Vlaue (Cr)'!$C:$FB,143)</f>
        <v>368.98</v>
      </c>
      <c r="E138" s="50">
        <f>VLOOKUP($A138,'Data Vlaue (Cr)'!$C:$FB,144)</f>
        <v>468.84</v>
      </c>
      <c r="F138" s="50">
        <f>VLOOKUP($A138,'Data Vlaue (Cr)'!$C:$FB,146)*100</f>
        <v>-21.3</v>
      </c>
      <c r="G138" s="49">
        <f>VLOOKUP($A138,'Data Vlaue (Cr)'!$C:$FB,43)</f>
        <v>152</v>
      </c>
      <c r="H138" s="49">
        <f>VLOOKUP($A138,'Data Vlaue (Cr)'!$C:$FB,44)</f>
        <v>148</v>
      </c>
      <c r="I138" s="49">
        <f>VLOOKUP($A138,'Data Vlaue (Cr)'!$C:$FB,46)*100</f>
        <v>2.1399999999999997</v>
      </c>
      <c r="J138" s="51">
        <f>VLOOKUP($A138,'Data Vlaue (Cr)'!$C:$FB,59)</f>
        <v>155</v>
      </c>
      <c r="K138" s="51">
        <f>VLOOKUP($A138,'Data Vlaue (Cr)'!$C:$FB,60)</f>
        <v>217</v>
      </c>
      <c r="L138" s="51">
        <f>VLOOKUP($A138,'Data Vlaue (Cr)'!$C:$FB,62)*100</f>
        <v>-28.7</v>
      </c>
      <c r="M138" s="51">
        <f>VLOOKUP($A138,'Data Vlaue (Cr)'!$C:$FB,63)</f>
        <v>54</v>
      </c>
      <c r="N138" s="51">
        <f>VLOOKUP($A138,'Data Vlaue (Cr)'!$C:$FB,64)</f>
        <v>97</v>
      </c>
      <c r="O138" s="51">
        <f>VLOOKUP($A138,'Data Vlaue (Cr)'!$C:$FB,66)*100</f>
        <v>-43.61</v>
      </c>
    </row>
    <row r="139" spans="1:15" x14ac:dyDescent="0.25">
      <c r="A139" s="101" t="str">
        <f>'Data Vlaue (Cr)'!C134</f>
        <v>MIDCPNIFTY</v>
      </c>
      <c r="B139" s="50">
        <f>VLOOKUP($A139,'Data Vlaue (Cr)'!$C:$FB,8)</f>
        <v>13149.55</v>
      </c>
      <c r="C139" s="50">
        <f>VLOOKUP($A139,'Data Vlaue (Cr)'!$C:$FB,11)*100</f>
        <v>0.88</v>
      </c>
      <c r="D139" s="50">
        <f>VLOOKUP($A139,'Data Vlaue (Cr)'!$C:$FB,143)</f>
        <v>46909.36</v>
      </c>
      <c r="E139" s="50">
        <f>VLOOKUP($A139,'Data Vlaue (Cr)'!$C:$FB,144)</f>
        <v>36066.480000000003</v>
      </c>
      <c r="F139" s="50">
        <f>VLOOKUP($A139,'Data Vlaue (Cr)'!$C:$FB,146)*100</f>
        <v>30.06</v>
      </c>
      <c r="G139" s="49">
        <f>VLOOKUP($A139,'Data Vlaue (Cr)'!$C:$FB,43)</f>
        <v>678</v>
      </c>
      <c r="H139" s="49">
        <f>VLOOKUP($A139,'Data Vlaue (Cr)'!$C:$FB,44)</f>
        <v>673</v>
      </c>
      <c r="I139" s="49">
        <f>VLOOKUP($A139,'Data Vlaue (Cr)'!$C:$FB,46)*100</f>
        <v>0.85000000000000009</v>
      </c>
      <c r="J139" s="51">
        <f>VLOOKUP($A139,'Data Vlaue (Cr)'!$C:$FB,59)</f>
        <v>22805</v>
      </c>
      <c r="K139" s="51">
        <f>VLOOKUP($A139,'Data Vlaue (Cr)'!$C:$FB,60)</f>
        <v>17046</v>
      </c>
      <c r="L139" s="51">
        <f>VLOOKUP($A139,'Data Vlaue (Cr)'!$C:$FB,62)*100</f>
        <v>33.79</v>
      </c>
      <c r="M139" s="51">
        <f>VLOOKUP($A139,'Data Vlaue (Cr)'!$C:$FB,63)</f>
        <v>23624</v>
      </c>
      <c r="N139" s="51">
        <f>VLOOKUP($A139,'Data Vlaue (Cr)'!$C:$FB,64)</f>
        <v>18719</v>
      </c>
      <c r="O139" s="51">
        <f>VLOOKUP($A139,'Data Vlaue (Cr)'!$C:$FB,66)*100</f>
        <v>26.200000000000003</v>
      </c>
    </row>
    <row r="140" spans="1:15" x14ac:dyDescent="0.25">
      <c r="A140" s="101" t="str">
        <f>'Data Vlaue (Cr)'!C135</f>
        <v>MOTHERSON</v>
      </c>
      <c r="B140" s="50">
        <f>VLOOKUP($A140,'Data Vlaue (Cr)'!$C:$FB,8)</f>
        <v>104.1</v>
      </c>
      <c r="C140" s="50">
        <f>VLOOKUP($A140,'Data Vlaue (Cr)'!$C:$FB,11)*100</f>
        <v>0.64</v>
      </c>
      <c r="D140" s="50">
        <f>VLOOKUP($A140,'Data Vlaue (Cr)'!$C:$FB,143)</f>
        <v>911.93</v>
      </c>
      <c r="E140" s="50">
        <f>VLOOKUP($A140,'Data Vlaue (Cr)'!$C:$FB,144)</f>
        <v>1068.46</v>
      </c>
      <c r="F140" s="50">
        <f>VLOOKUP($A140,'Data Vlaue (Cr)'!$C:$FB,146)*100</f>
        <v>-14.649999999999999</v>
      </c>
      <c r="G140" s="49">
        <f>VLOOKUP($A140,'Data Vlaue (Cr)'!$C:$FB,43)</f>
        <v>225</v>
      </c>
      <c r="H140" s="49">
        <f>VLOOKUP($A140,'Data Vlaue (Cr)'!$C:$FB,44)</f>
        <v>269</v>
      </c>
      <c r="I140" s="49">
        <f>VLOOKUP($A140,'Data Vlaue (Cr)'!$C:$FB,46)*100</f>
        <v>-16.5</v>
      </c>
      <c r="J140" s="51">
        <f>VLOOKUP($A140,'Data Vlaue (Cr)'!$C:$FB,59)</f>
        <v>509</v>
      </c>
      <c r="K140" s="51">
        <f>VLOOKUP($A140,'Data Vlaue (Cr)'!$C:$FB,60)</f>
        <v>529</v>
      </c>
      <c r="L140" s="51">
        <f>VLOOKUP($A140,'Data Vlaue (Cr)'!$C:$FB,62)*100</f>
        <v>-3.8</v>
      </c>
      <c r="M140" s="51">
        <f>VLOOKUP($A140,'Data Vlaue (Cr)'!$C:$FB,63)</f>
        <v>147</v>
      </c>
      <c r="N140" s="51">
        <f>VLOOKUP($A140,'Data Vlaue (Cr)'!$C:$FB,64)</f>
        <v>255</v>
      </c>
      <c r="O140" s="51">
        <f>VLOOKUP($A140,'Data Vlaue (Cr)'!$C:$FB,66)*100</f>
        <v>-42.19</v>
      </c>
    </row>
    <row r="141" spans="1:15" x14ac:dyDescent="0.25">
      <c r="A141" s="101" t="str">
        <f>'Data Vlaue (Cr)'!C136</f>
        <v>MPHASIS</v>
      </c>
      <c r="B141" s="50">
        <f>VLOOKUP($A141,'Data Vlaue (Cr)'!$C:$FB,8)</f>
        <v>2783.2</v>
      </c>
      <c r="C141" s="50">
        <f>VLOOKUP($A141,'Data Vlaue (Cr)'!$C:$FB,11)*100</f>
        <v>-0.85000000000000009</v>
      </c>
      <c r="D141" s="50">
        <f>VLOOKUP($A141,'Data Vlaue (Cr)'!$C:$FB,143)</f>
        <v>774.15</v>
      </c>
      <c r="E141" s="50">
        <f>VLOOKUP($A141,'Data Vlaue (Cr)'!$C:$FB,144)</f>
        <v>717.62</v>
      </c>
      <c r="F141" s="50">
        <f>VLOOKUP($A141,'Data Vlaue (Cr)'!$C:$FB,146)*100</f>
        <v>7.88</v>
      </c>
      <c r="G141" s="49">
        <f>VLOOKUP($A141,'Data Vlaue (Cr)'!$C:$FB,43)</f>
        <v>198</v>
      </c>
      <c r="H141" s="49">
        <f>VLOOKUP($A141,'Data Vlaue (Cr)'!$C:$FB,44)</f>
        <v>228</v>
      </c>
      <c r="I141" s="49">
        <f>VLOOKUP($A141,'Data Vlaue (Cr)'!$C:$FB,46)*100</f>
        <v>-13.04</v>
      </c>
      <c r="J141" s="51">
        <f>VLOOKUP($A141,'Data Vlaue (Cr)'!$C:$FB,59)</f>
        <v>380</v>
      </c>
      <c r="K141" s="51">
        <f>VLOOKUP($A141,'Data Vlaue (Cr)'!$C:$FB,60)</f>
        <v>348</v>
      </c>
      <c r="L141" s="51">
        <f>VLOOKUP($A141,'Data Vlaue (Cr)'!$C:$FB,62)*100</f>
        <v>9.1399999999999988</v>
      </c>
      <c r="M141" s="51">
        <f>VLOOKUP($A141,'Data Vlaue (Cr)'!$C:$FB,63)</f>
        <v>181</v>
      </c>
      <c r="N141" s="51">
        <f>VLOOKUP($A141,'Data Vlaue (Cr)'!$C:$FB,64)</f>
        <v>119</v>
      </c>
      <c r="O141" s="51">
        <f>VLOOKUP($A141,'Data Vlaue (Cr)'!$C:$FB,66)*100</f>
        <v>52.42</v>
      </c>
    </row>
    <row r="142" spans="1:15" x14ac:dyDescent="0.25">
      <c r="A142" s="101" t="str">
        <f>'Data Vlaue (Cr)'!C137</f>
        <v>MUTHOOTFIN</v>
      </c>
      <c r="B142" s="50">
        <f>VLOOKUP($A142,'Data Vlaue (Cr)'!$C:$FB,8)</f>
        <v>3156.9</v>
      </c>
      <c r="C142" s="50">
        <f>VLOOKUP($A142,'Data Vlaue (Cr)'!$C:$FB,11)*100</f>
        <v>-2.85</v>
      </c>
      <c r="D142" s="50">
        <f>VLOOKUP($A142,'Data Vlaue (Cr)'!$C:$FB,143)</f>
        <v>2663.38</v>
      </c>
      <c r="E142" s="50">
        <f>VLOOKUP($A142,'Data Vlaue (Cr)'!$C:$FB,144)</f>
        <v>1141.25</v>
      </c>
      <c r="F142" s="50">
        <f>VLOOKUP($A142,'Data Vlaue (Cr)'!$C:$FB,146)*100</f>
        <v>133.37</v>
      </c>
      <c r="G142" s="49">
        <f>VLOOKUP($A142,'Data Vlaue (Cr)'!$C:$FB,43)</f>
        <v>403</v>
      </c>
      <c r="H142" s="49">
        <f>VLOOKUP($A142,'Data Vlaue (Cr)'!$C:$FB,44)</f>
        <v>178</v>
      </c>
      <c r="I142" s="49">
        <f>VLOOKUP($A142,'Data Vlaue (Cr)'!$C:$FB,46)*100</f>
        <v>127</v>
      </c>
      <c r="J142" s="51">
        <f>VLOOKUP($A142,'Data Vlaue (Cr)'!$C:$FB,59)</f>
        <v>1343</v>
      </c>
      <c r="K142" s="51">
        <f>VLOOKUP($A142,'Data Vlaue (Cr)'!$C:$FB,60)</f>
        <v>552</v>
      </c>
      <c r="L142" s="51">
        <f>VLOOKUP($A142,'Data Vlaue (Cr)'!$C:$FB,62)*100</f>
        <v>143.47</v>
      </c>
      <c r="M142" s="51">
        <f>VLOOKUP($A142,'Data Vlaue (Cr)'!$C:$FB,63)</f>
        <v>849</v>
      </c>
      <c r="N142" s="51">
        <f>VLOOKUP($A142,'Data Vlaue (Cr)'!$C:$FB,64)</f>
        <v>368</v>
      </c>
      <c r="O142" s="51">
        <f>VLOOKUP($A142,'Data Vlaue (Cr)'!$C:$FB,66)*100</f>
        <v>130.88</v>
      </c>
    </row>
    <row r="143" spans="1:15" x14ac:dyDescent="0.25">
      <c r="A143" s="101" t="str">
        <f>'Data Vlaue (Cr)'!C138</f>
        <v>NATIONALUM</v>
      </c>
      <c r="B143" s="50">
        <f>VLOOKUP($A143,'Data Vlaue (Cr)'!$C:$FB,8)</f>
        <v>224.3</v>
      </c>
      <c r="C143" s="50">
        <f>VLOOKUP($A143,'Data Vlaue (Cr)'!$C:$FB,11)*100</f>
        <v>-2.29</v>
      </c>
      <c r="D143" s="50">
        <f>VLOOKUP($A143,'Data Vlaue (Cr)'!$C:$FB,143)</f>
        <v>2579.6</v>
      </c>
      <c r="E143" s="50">
        <f>VLOOKUP($A143,'Data Vlaue (Cr)'!$C:$FB,144)</f>
        <v>5512.13</v>
      </c>
      <c r="F143" s="50">
        <f>VLOOKUP($A143,'Data Vlaue (Cr)'!$C:$FB,146)*100</f>
        <v>-53.2</v>
      </c>
      <c r="G143" s="49">
        <f>VLOOKUP($A143,'Data Vlaue (Cr)'!$C:$FB,43)</f>
        <v>510</v>
      </c>
      <c r="H143" s="49">
        <f>VLOOKUP($A143,'Data Vlaue (Cr)'!$C:$FB,44)</f>
        <v>770</v>
      </c>
      <c r="I143" s="49">
        <f>VLOOKUP($A143,'Data Vlaue (Cr)'!$C:$FB,46)*100</f>
        <v>-33.67</v>
      </c>
      <c r="J143" s="51">
        <f>VLOOKUP($A143,'Data Vlaue (Cr)'!$C:$FB,59)</f>
        <v>1297</v>
      </c>
      <c r="K143" s="51">
        <f>VLOOKUP($A143,'Data Vlaue (Cr)'!$C:$FB,60)</f>
        <v>2926</v>
      </c>
      <c r="L143" s="51">
        <f>VLOOKUP($A143,'Data Vlaue (Cr)'!$C:$FB,62)*100</f>
        <v>-55.69</v>
      </c>
      <c r="M143" s="51">
        <f>VLOOKUP($A143,'Data Vlaue (Cr)'!$C:$FB,63)</f>
        <v>703</v>
      </c>
      <c r="N143" s="51">
        <f>VLOOKUP($A143,'Data Vlaue (Cr)'!$C:$FB,64)</f>
        <v>1618</v>
      </c>
      <c r="O143" s="51">
        <f>VLOOKUP($A143,'Data Vlaue (Cr)'!$C:$FB,66)*100</f>
        <v>-56.56</v>
      </c>
    </row>
    <row r="144" spans="1:15" x14ac:dyDescent="0.25">
      <c r="A144" s="101" t="str">
        <f>'Data Vlaue (Cr)'!C139</f>
        <v>NAUKRI</v>
      </c>
      <c r="B144" s="50">
        <f>VLOOKUP($A144,'Data Vlaue (Cr)'!$C:$FB,8)</f>
        <v>1333.1</v>
      </c>
      <c r="C144" s="50">
        <f>VLOOKUP($A144,'Data Vlaue (Cr)'!$C:$FB,11)*100</f>
        <v>-1</v>
      </c>
      <c r="D144" s="50">
        <f>VLOOKUP($A144,'Data Vlaue (Cr)'!$C:$FB,143)</f>
        <v>430.89</v>
      </c>
      <c r="E144" s="50">
        <f>VLOOKUP($A144,'Data Vlaue (Cr)'!$C:$FB,144)</f>
        <v>1516.09</v>
      </c>
      <c r="F144" s="50">
        <f>VLOOKUP($A144,'Data Vlaue (Cr)'!$C:$FB,146)*100</f>
        <v>-71.58</v>
      </c>
      <c r="G144" s="49">
        <f>VLOOKUP($A144,'Data Vlaue (Cr)'!$C:$FB,43)</f>
        <v>128</v>
      </c>
      <c r="H144" s="49">
        <f>VLOOKUP($A144,'Data Vlaue (Cr)'!$C:$FB,44)</f>
        <v>361</v>
      </c>
      <c r="I144" s="49">
        <f>VLOOKUP($A144,'Data Vlaue (Cr)'!$C:$FB,46)*100</f>
        <v>-64.53</v>
      </c>
      <c r="J144" s="51">
        <f>VLOOKUP($A144,'Data Vlaue (Cr)'!$C:$FB,59)</f>
        <v>222</v>
      </c>
      <c r="K144" s="51">
        <f>VLOOKUP($A144,'Data Vlaue (Cr)'!$C:$FB,60)</f>
        <v>761</v>
      </c>
      <c r="L144" s="51">
        <f>VLOOKUP($A144,'Data Vlaue (Cr)'!$C:$FB,62)*100</f>
        <v>-70.850000000000009</v>
      </c>
      <c r="M144" s="51">
        <f>VLOOKUP($A144,'Data Vlaue (Cr)'!$C:$FB,63)</f>
        <v>70</v>
      </c>
      <c r="N144" s="51">
        <f>VLOOKUP($A144,'Data Vlaue (Cr)'!$C:$FB,64)</f>
        <v>340</v>
      </c>
      <c r="O144" s="51">
        <f>VLOOKUP($A144,'Data Vlaue (Cr)'!$C:$FB,66)*100</f>
        <v>-79.510000000000005</v>
      </c>
    </row>
    <row r="145" spans="1:15" x14ac:dyDescent="0.25">
      <c r="A145" s="101" t="str">
        <f>'Data Vlaue (Cr)'!C140</f>
        <v>NBCC</v>
      </c>
      <c r="B145" s="50">
        <f>VLOOKUP($A145,'Data Vlaue (Cr)'!$C:$FB,8)</f>
        <v>112.66</v>
      </c>
      <c r="C145" s="50">
        <f>VLOOKUP($A145,'Data Vlaue (Cr)'!$C:$FB,11)*100</f>
        <v>-0.86999999999999988</v>
      </c>
      <c r="D145" s="50">
        <f>VLOOKUP($A145,'Data Vlaue (Cr)'!$C:$FB,143)</f>
        <v>630.08000000000004</v>
      </c>
      <c r="E145" s="50">
        <f>VLOOKUP($A145,'Data Vlaue (Cr)'!$C:$FB,144)</f>
        <v>752.22</v>
      </c>
      <c r="F145" s="50">
        <f>VLOOKUP($A145,'Data Vlaue (Cr)'!$C:$FB,146)*100</f>
        <v>-16.239999999999998</v>
      </c>
      <c r="G145" s="49">
        <f>VLOOKUP($A145,'Data Vlaue (Cr)'!$C:$FB,43)</f>
        <v>143</v>
      </c>
      <c r="H145" s="49">
        <f>VLOOKUP($A145,'Data Vlaue (Cr)'!$C:$FB,44)</f>
        <v>141</v>
      </c>
      <c r="I145" s="49">
        <f>VLOOKUP($A145,'Data Vlaue (Cr)'!$C:$FB,46)*100</f>
        <v>1.41</v>
      </c>
      <c r="J145" s="51">
        <f>VLOOKUP($A145,'Data Vlaue (Cr)'!$C:$FB,59)</f>
        <v>363</v>
      </c>
      <c r="K145" s="51">
        <f>VLOOKUP($A145,'Data Vlaue (Cr)'!$C:$FB,60)</f>
        <v>504</v>
      </c>
      <c r="L145" s="51">
        <f>VLOOKUP($A145,'Data Vlaue (Cr)'!$C:$FB,62)*100</f>
        <v>-28.000000000000004</v>
      </c>
      <c r="M145" s="51">
        <f>VLOOKUP($A145,'Data Vlaue (Cr)'!$C:$FB,63)</f>
        <v>104</v>
      </c>
      <c r="N145" s="51">
        <f>VLOOKUP($A145,'Data Vlaue (Cr)'!$C:$FB,64)</f>
        <v>87</v>
      </c>
      <c r="O145" s="51">
        <f>VLOOKUP($A145,'Data Vlaue (Cr)'!$C:$FB,66)*100</f>
        <v>19.149999999999999</v>
      </c>
    </row>
    <row r="146" spans="1:15" x14ac:dyDescent="0.25">
      <c r="A146" s="101" t="str">
        <f>'Data Vlaue (Cr)'!C141</f>
        <v>NCC</v>
      </c>
      <c r="B146" s="50">
        <f>VLOOKUP($A146,'Data Vlaue (Cr)'!$C:$FB,8)</f>
        <v>210.78</v>
      </c>
      <c r="C146" s="50">
        <f>VLOOKUP($A146,'Data Vlaue (Cr)'!$C:$FB,11)*100</f>
        <v>0.55999999999999994</v>
      </c>
      <c r="D146" s="50">
        <f>VLOOKUP($A146,'Data Vlaue (Cr)'!$C:$FB,143)</f>
        <v>197.93</v>
      </c>
      <c r="E146" s="50">
        <f>VLOOKUP($A146,'Data Vlaue (Cr)'!$C:$FB,144)</f>
        <v>174.88</v>
      </c>
      <c r="F146" s="50">
        <f>VLOOKUP($A146,'Data Vlaue (Cr)'!$C:$FB,146)*100</f>
        <v>13.18</v>
      </c>
      <c r="G146" s="49">
        <f>VLOOKUP($A146,'Data Vlaue (Cr)'!$C:$FB,43)</f>
        <v>52</v>
      </c>
      <c r="H146" s="49">
        <f>VLOOKUP($A146,'Data Vlaue (Cr)'!$C:$FB,44)</f>
        <v>57</v>
      </c>
      <c r="I146" s="49">
        <f>VLOOKUP($A146,'Data Vlaue (Cr)'!$C:$FB,46)*100</f>
        <v>-9.7000000000000011</v>
      </c>
      <c r="J146" s="51">
        <f>VLOOKUP($A146,'Data Vlaue (Cr)'!$C:$FB,59)</f>
        <v>112</v>
      </c>
      <c r="K146" s="51">
        <f>VLOOKUP($A146,'Data Vlaue (Cr)'!$C:$FB,60)</f>
        <v>74</v>
      </c>
      <c r="L146" s="51">
        <f>VLOOKUP($A146,'Data Vlaue (Cr)'!$C:$FB,62)*100</f>
        <v>52.6</v>
      </c>
      <c r="M146" s="51">
        <f>VLOOKUP($A146,'Data Vlaue (Cr)'!$C:$FB,63)</f>
        <v>30</v>
      </c>
      <c r="N146" s="51">
        <f>VLOOKUP($A146,'Data Vlaue (Cr)'!$C:$FB,64)</f>
        <v>43</v>
      </c>
      <c r="O146" s="51">
        <f>VLOOKUP($A146,'Data Vlaue (Cr)'!$C:$FB,66)*100</f>
        <v>-30.19</v>
      </c>
    </row>
    <row r="147" spans="1:15" x14ac:dyDescent="0.25">
      <c r="A147" s="101" t="str">
        <f>'Data Vlaue (Cr)'!C142</f>
        <v>NESTLEIND</v>
      </c>
      <c r="B147" s="50">
        <f>VLOOKUP($A147,'Data Vlaue (Cr)'!$C:$FB,8)</f>
        <v>1199.5</v>
      </c>
      <c r="C147" s="50">
        <f>VLOOKUP($A147,'Data Vlaue (Cr)'!$C:$FB,11)*100</f>
        <v>0.9900000000000001</v>
      </c>
      <c r="D147" s="50">
        <f>VLOOKUP($A147,'Data Vlaue (Cr)'!$C:$FB,143)</f>
        <v>1043.71</v>
      </c>
      <c r="E147" s="50">
        <f>VLOOKUP($A147,'Data Vlaue (Cr)'!$C:$FB,144)</f>
        <v>613.07000000000005</v>
      </c>
      <c r="F147" s="50">
        <f>VLOOKUP($A147,'Data Vlaue (Cr)'!$C:$FB,146)*100</f>
        <v>70.240000000000009</v>
      </c>
      <c r="G147" s="49">
        <f>VLOOKUP($A147,'Data Vlaue (Cr)'!$C:$FB,43)</f>
        <v>258</v>
      </c>
      <c r="H147" s="49">
        <f>VLOOKUP($A147,'Data Vlaue (Cr)'!$C:$FB,44)</f>
        <v>189</v>
      </c>
      <c r="I147" s="49">
        <f>VLOOKUP($A147,'Data Vlaue (Cr)'!$C:$FB,46)*100</f>
        <v>36.44</v>
      </c>
      <c r="J147" s="51">
        <f>VLOOKUP($A147,'Data Vlaue (Cr)'!$C:$FB,59)</f>
        <v>507</v>
      </c>
      <c r="K147" s="51">
        <f>VLOOKUP($A147,'Data Vlaue (Cr)'!$C:$FB,60)</f>
        <v>285</v>
      </c>
      <c r="L147" s="51">
        <f>VLOOKUP($A147,'Data Vlaue (Cr)'!$C:$FB,62)*100</f>
        <v>77.8</v>
      </c>
      <c r="M147" s="51">
        <f>VLOOKUP($A147,'Data Vlaue (Cr)'!$C:$FB,63)</f>
        <v>269</v>
      </c>
      <c r="N147" s="51">
        <f>VLOOKUP($A147,'Data Vlaue (Cr)'!$C:$FB,64)</f>
        <v>140</v>
      </c>
      <c r="O147" s="51">
        <f>VLOOKUP($A147,'Data Vlaue (Cr)'!$C:$FB,66)*100</f>
        <v>92.38</v>
      </c>
    </row>
    <row r="148" spans="1:15" x14ac:dyDescent="0.25">
      <c r="A148" s="101" t="str">
        <f>'Data Vlaue (Cr)'!C143</f>
        <v>NHPC</v>
      </c>
      <c r="B148" s="50">
        <f>VLOOKUP($A148,'Data Vlaue (Cr)'!$C:$FB,8)</f>
        <v>86.94</v>
      </c>
      <c r="C148" s="50">
        <f>VLOOKUP($A148,'Data Vlaue (Cr)'!$C:$FB,11)*100</f>
        <v>0.31</v>
      </c>
      <c r="D148" s="50">
        <f>VLOOKUP($A148,'Data Vlaue (Cr)'!$C:$FB,143)</f>
        <v>166.65</v>
      </c>
      <c r="E148" s="50">
        <f>VLOOKUP($A148,'Data Vlaue (Cr)'!$C:$FB,144)</f>
        <v>330.42</v>
      </c>
      <c r="F148" s="50">
        <f>VLOOKUP($A148,'Data Vlaue (Cr)'!$C:$FB,146)*100</f>
        <v>-49.559999999999995</v>
      </c>
      <c r="G148" s="49">
        <f>VLOOKUP($A148,'Data Vlaue (Cr)'!$C:$FB,43)</f>
        <v>45</v>
      </c>
      <c r="H148" s="49">
        <f>VLOOKUP($A148,'Data Vlaue (Cr)'!$C:$FB,44)</f>
        <v>100</v>
      </c>
      <c r="I148" s="49">
        <f>VLOOKUP($A148,'Data Vlaue (Cr)'!$C:$FB,46)*100</f>
        <v>-54.7</v>
      </c>
      <c r="J148" s="51">
        <f>VLOOKUP($A148,'Data Vlaue (Cr)'!$C:$FB,59)</f>
        <v>77</v>
      </c>
      <c r="K148" s="51">
        <f>VLOOKUP($A148,'Data Vlaue (Cr)'!$C:$FB,60)</f>
        <v>144</v>
      </c>
      <c r="L148" s="51">
        <f>VLOOKUP($A148,'Data Vlaue (Cr)'!$C:$FB,62)*100</f>
        <v>-46.7</v>
      </c>
      <c r="M148" s="51">
        <f>VLOOKUP($A148,'Data Vlaue (Cr)'!$C:$FB,63)</f>
        <v>43</v>
      </c>
      <c r="N148" s="51">
        <f>VLOOKUP($A148,'Data Vlaue (Cr)'!$C:$FB,64)</f>
        <v>83</v>
      </c>
      <c r="O148" s="51">
        <f>VLOOKUP($A148,'Data Vlaue (Cr)'!$C:$FB,66)*100</f>
        <v>-48.42</v>
      </c>
    </row>
    <row r="149" spans="1:15" x14ac:dyDescent="0.25">
      <c r="A149" s="101" t="str">
        <f>'Data Vlaue (Cr)'!C144</f>
        <v>NIFTY</v>
      </c>
      <c r="B149" s="50">
        <f>VLOOKUP($A149,'Data Vlaue (Cr)'!$C:$FB,8)</f>
        <v>25285.35</v>
      </c>
      <c r="C149" s="50">
        <f>VLOOKUP($A149,'Data Vlaue (Cr)'!$C:$FB,11)*100</f>
        <v>0.41000000000000003</v>
      </c>
      <c r="D149" s="50">
        <f>VLOOKUP($A149,'Data Vlaue (Cr)'!$C:$FB,143)</f>
        <v>18631868.02</v>
      </c>
      <c r="E149" s="50">
        <f>VLOOKUP($A149,'Data Vlaue (Cr)'!$C:$FB,144)</f>
        <v>12757845.859999999</v>
      </c>
      <c r="F149" s="50">
        <f>VLOOKUP($A149,'Data Vlaue (Cr)'!$C:$FB,146)*100</f>
        <v>46.04</v>
      </c>
      <c r="G149" s="49">
        <f>VLOOKUP($A149,'Data Vlaue (Cr)'!$C:$FB,43)</f>
        <v>12606</v>
      </c>
      <c r="H149" s="49">
        <f>VLOOKUP($A149,'Data Vlaue (Cr)'!$C:$FB,44)</f>
        <v>13732</v>
      </c>
      <c r="I149" s="49">
        <f>VLOOKUP($A149,'Data Vlaue (Cr)'!$C:$FB,46)*100</f>
        <v>-8.2000000000000011</v>
      </c>
      <c r="J149" s="51">
        <f>VLOOKUP($A149,'Data Vlaue (Cr)'!$C:$FB,59)</f>
        <v>9679498</v>
      </c>
      <c r="K149" s="51">
        <f>VLOOKUP($A149,'Data Vlaue (Cr)'!$C:$FB,60)</f>
        <v>6789479</v>
      </c>
      <c r="L149" s="51">
        <f>VLOOKUP($A149,'Data Vlaue (Cr)'!$C:$FB,62)*100</f>
        <v>42.57</v>
      </c>
      <c r="M149" s="51">
        <f>VLOOKUP($A149,'Data Vlaue (Cr)'!$C:$FB,63)</f>
        <v>9045143</v>
      </c>
      <c r="N149" s="51">
        <f>VLOOKUP($A149,'Data Vlaue (Cr)'!$C:$FB,64)</f>
        <v>6072624</v>
      </c>
      <c r="O149" s="51">
        <f>VLOOKUP($A149,'Data Vlaue (Cr)'!$C:$FB,66)*100</f>
        <v>48.949999999999996</v>
      </c>
    </row>
    <row r="150" spans="1:15" x14ac:dyDescent="0.25">
      <c r="A150" s="101" t="str">
        <f>'Data Vlaue (Cr)'!C145</f>
        <v>NIFTYNXT50</v>
      </c>
      <c r="B150" s="50">
        <f>VLOOKUP($A150,'Data Vlaue (Cr)'!$C:$FB,8)</f>
        <v>68687.25</v>
      </c>
      <c r="C150" s="50">
        <f>VLOOKUP($A150,'Data Vlaue (Cr)'!$C:$FB,11)*100</f>
        <v>0.24</v>
      </c>
      <c r="D150" s="50">
        <f>VLOOKUP($A150,'Data Vlaue (Cr)'!$C:$FB,143)</f>
        <v>115.67</v>
      </c>
      <c r="E150" s="50">
        <f>VLOOKUP($A150,'Data Vlaue (Cr)'!$C:$FB,144)</f>
        <v>75.19</v>
      </c>
      <c r="F150" s="50">
        <f>VLOOKUP($A150,'Data Vlaue (Cr)'!$C:$FB,146)*100</f>
        <v>53.839999999999996</v>
      </c>
      <c r="G150" s="49">
        <f>VLOOKUP($A150,'Data Vlaue (Cr)'!$C:$FB,43)</f>
        <v>56</v>
      </c>
      <c r="H150" s="49">
        <f>VLOOKUP($A150,'Data Vlaue (Cr)'!$C:$FB,44)</f>
        <v>29</v>
      </c>
      <c r="I150" s="49">
        <f>VLOOKUP($A150,'Data Vlaue (Cr)'!$C:$FB,46)*100</f>
        <v>92.31</v>
      </c>
      <c r="J150" s="51">
        <f>VLOOKUP($A150,'Data Vlaue (Cr)'!$C:$FB,59)</f>
        <v>46</v>
      </c>
      <c r="K150" s="51">
        <f>VLOOKUP($A150,'Data Vlaue (Cr)'!$C:$FB,60)</f>
        <v>28</v>
      </c>
      <c r="L150" s="51">
        <f>VLOOKUP($A150,'Data Vlaue (Cr)'!$C:$FB,62)*100</f>
        <v>63.41</v>
      </c>
      <c r="M150" s="51">
        <f>VLOOKUP($A150,'Data Vlaue (Cr)'!$C:$FB,63)</f>
        <v>13</v>
      </c>
      <c r="N150" s="51">
        <f>VLOOKUP($A150,'Data Vlaue (Cr)'!$C:$FB,64)</f>
        <v>18</v>
      </c>
      <c r="O150" s="51">
        <f>VLOOKUP($A150,'Data Vlaue (Cr)'!$C:$FB,66)*100</f>
        <v>-27.18</v>
      </c>
    </row>
    <row r="151" spans="1:15" x14ac:dyDescent="0.25">
      <c r="A151" s="101" t="str">
        <f>'Data Vlaue (Cr)'!C146</f>
        <v>NMDC</v>
      </c>
      <c r="B151" s="50">
        <f>VLOOKUP($A151,'Data Vlaue (Cr)'!$C:$FB,8)</f>
        <v>77.13</v>
      </c>
      <c r="C151" s="50">
        <f>VLOOKUP($A151,'Data Vlaue (Cr)'!$C:$FB,11)*100</f>
        <v>-2.12</v>
      </c>
      <c r="D151" s="50">
        <f>VLOOKUP($A151,'Data Vlaue (Cr)'!$C:$FB,143)</f>
        <v>2618.25</v>
      </c>
      <c r="E151" s="50">
        <f>VLOOKUP($A151,'Data Vlaue (Cr)'!$C:$FB,144)</f>
        <v>3451.69</v>
      </c>
      <c r="F151" s="50">
        <f>VLOOKUP($A151,'Data Vlaue (Cr)'!$C:$FB,146)*100</f>
        <v>-24.15</v>
      </c>
      <c r="G151" s="49">
        <f>VLOOKUP($A151,'Data Vlaue (Cr)'!$C:$FB,43)</f>
        <v>444</v>
      </c>
      <c r="H151" s="49">
        <f>VLOOKUP($A151,'Data Vlaue (Cr)'!$C:$FB,44)</f>
        <v>524</v>
      </c>
      <c r="I151" s="49">
        <f>VLOOKUP($A151,'Data Vlaue (Cr)'!$C:$FB,46)*100</f>
        <v>-15.32</v>
      </c>
      <c r="J151" s="51">
        <f>VLOOKUP($A151,'Data Vlaue (Cr)'!$C:$FB,59)</f>
        <v>1446</v>
      </c>
      <c r="K151" s="51">
        <f>VLOOKUP($A151,'Data Vlaue (Cr)'!$C:$FB,60)</f>
        <v>1926</v>
      </c>
      <c r="L151" s="51">
        <f>VLOOKUP($A151,'Data Vlaue (Cr)'!$C:$FB,62)*100</f>
        <v>-24.92</v>
      </c>
      <c r="M151" s="51">
        <f>VLOOKUP($A151,'Data Vlaue (Cr)'!$C:$FB,63)</f>
        <v>656</v>
      </c>
      <c r="N151" s="51">
        <f>VLOOKUP($A151,'Data Vlaue (Cr)'!$C:$FB,64)</f>
        <v>890</v>
      </c>
      <c r="O151" s="51">
        <f>VLOOKUP($A151,'Data Vlaue (Cr)'!$C:$FB,66)*100</f>
        <v>-26.31</v>
      </c>
    </row>
    <row r="152" spans="1:15" x14ac:dyDescent="0.25">
      <c r="A152" s="101" t="str">
        <f>'Data Vlaue (Cr)'!C147</f>
        <v>NTPC</v>
      </c>
      <c r="B152" s="50">
        <f>VLOOKUP($A152,'Data Vlaue (Cr)'!$C:$FB,8)</f>
        <v>339.7</v>
      </c>
      <c r="C152" s="50">
        <f>VLOOKUP($A152,'Data Vlaue (Cr)'!$C:$FB,11)*100</f>
        <v>1.1499999999999999</v>
      </c>
      <c r="D152" s="50">
        <f>VLOOKUP($A152,'Data Vlaue (Cr)'!$C:$FB,143)</f>
        <v>3331.3</v>
      </c>
      <c r="E152" s="50">
        <f>VLOOKUP($A152,'Data Vlaue (Cr)'!$C:$FB,144)</f>
        <v>2077.86</v>
      </c>
      <c r="F152" s="50">
        <f>VLOOKUP($A152,'Data Vlaue (Cr)'!$C:$FB,146)*100</f>
        <v>60.319999999999993</v>
      </c>
      <c r="G152" s="49">
        <f>VLOOKUP($A152,'Data Vlaue (Cr)'!$C:$FB,43)</f>
        <v>434</v>
      </c>
      <c r="H152" s="49">
        <f>VLOOKUP($A152,'Data Vlaue (Cr)'!$C:$FB,44)</f>
        <v>279</v>
      </c>
      <c r="I152" s="49">
        <f>VLOOKUP($A152,'Data Vlaue (Cr)'!$C:$FB,46)*100</f>
        <v>55.96</v>
      </c>
      <c r="J152" s="51">
        <f>VLOOKUP($A152,'Data Vlaue (Cr)'!$C:$FB,59)</f>
        <v>1886</v>
      </c>
      <c r="K152" s="51">
        <f>VLOOKUP($A152,'Data Vlaue (Cr)'!$C:$FB,60)</f>
        <v>1233</v>
      </c>
      <c r="L152" s="51">
        <f>VLOOKUP($A152,'Data Vlaue (Cr)'!$C:$FB,62)*100</f>
        <v>52.959999999999994</v>
      </c>
      <c r="M152" s="51">
        <f>VLOOKUP($A152,'Data Vlaue (Cr)'!$C:$FB,63)</f>
        <v>964</v>
      </c>
      <c r="N152" s="51">
        <f>VLOOKUP($A152,'Data Vlaue (Cr)'!$C:$FB,64)</f>
        <v>564</v>
      </c>
      <c r="O152" s="51">
        <f>VLOOKUP($A152,'Data Vlaue (Cr)'!$C:$FB,66)*100</f>
        <v>71.13000000000001</v>
      </c>
    </row>
    <row r="153" spans="1:15" x14ac:dyDescent="0.25">
      <c r="A153" s="101" t="str">
        <f>'Data Vlaue (Cr)'!C148</f>
        <v>NUVAMA</v>
      </c>
      <c r="B153" s="50">
        <f>VLOOKUP($A153,'Data Vlaue (Cr)'!$C:$FB,8)</f>
        <v>7235.5</v>
      </c>
      <c r="C153" s="50">
        <f>VLOOKUP($A153,'Data Vlaue (Cr)'!$C:$FB,11)*100</f>
        <v>1.52</v>
      </c>
      <c r="D153" s="50">
        <f>VLOOKUP($A153,'Data Vlaue (Cr)'!$C:$FB,143)</f>
        <v>668.4</v>
      </c>
      <c r="E153" s="50">
        <f>VLOOKUP($A153,'Data Vlaue (Cr)'!$C:$FB,144)</f>
        <v>458.49</v>
      </c>
      <c r="F153" s="50">
        <f>VLOOKUP($A153,'Data Vlaue (Cr)'!$C:$FB,146)*100</f>
        <v>45.78</v>
      </c>
      <c r="G153" s="49">
        <f>VLOOKUP($A153,'Data Vlaue (Cr)'!$C:$FB,43)</f>
        <v>83</v>
      </c>
      <c r="H153" s="49">
        <f>VLOOKUP($A153,'Data Vlaue (Cr)'!$C:$FB,44)</f>
        <v>85</v>
      </c>
      <c r="I153" s="49">
        <f>VLOOKUP($A153,'Data Vlaue (Cr)'!$C:$FB,46)*100</f>
        <v>-2.5</v>
      </c>
      <c r="J153" s="51">
        <f>VLOOKUP($A153,'Data Vlaue (Cr)'!$C:$FB,59)</f>
        <v>375</v>
      </c>
      <c r="K153" s="51">
        <f>VLOOKUP($A153,'Data Vlaue (Cr)'!$C:$FB,60)</f>
        <v>240</v>
      </c>
      <c r="L153" s="51">
        <f>VLOOKUP($A153,'Data Vlaue (Cr)'!$C:$FB,62)*100</f>
        <v>55.989999999999995</v>
      </c>
      <c r="M153" s="51">
        <f>VLOOKUP($A153,'Data Vlaue (Cr)'!$C:$FB,63)</f>
        <v>202</v>
      </c>
      <c r="N153" s="51">
        <f>VLOOKUP($A153,'Data Vlaue (Cr)'!$C:$FB,64)</f>
        <v>137</v>
      </c>
      <c r="O153" s="51">
        <f>VLOOKUP($A153,'Data Vlaue (Cr)'!$C:$FB,66)*100</f>
        <v>46.839999999999996</v>
      </c>
    </row>
    <row r="154" spans="1:15" x14ac:dyDescent="0.25">
      <c r="A154" s="101" t="str">
        <f>'Data Vlaue (Cr)'!C149</f>
        <v>NYKAA</v>
      </c>
      <c r="B154" s="50">
        <f>VLOOKUP($A154,'Data Vlaue (Cr)'!$C:$FB,8)</f>
        <v>265.19</v>
      </c>
      <c r="C154" s="50">
        <f>VLOOKUP($A154,'Data Vlaue (Cr)'!$C:$FB,11)*100</f>
        <v>0.41000000000000003</v>
      </c>
      <c r="D154" s="50">
        <f>VLOOKUP($A154,'Data Vlaue (Cr)'!$C:$FB,143)</f>
        <v>1376.01</v>
      </c>
      <c r="E154" s="50">
        <f>VLOOKUP($A154,'Data Vlaue (Cr)'!$C:$FB,144)</f>
        <v>2146.9</v>
      </c>
      <c r="F154" s="50">
        <f>VLOOKUP($A154,'Data Vlaue (Cr)'!$C:$FB,146)*100</f>
        <v>-35.909999999999997</v>
      </c>
      <c r="G154" s="49">
        <f>VLOOKUP($A154,'Data Vlaue (Cr)'!$C:$FB,43)</f>
        <v>215</v>
      </c>
      <c r="H154" s="49">
        <f>VLOOKUP($A154,'Data Vlaue (Cr)'!$C:$FB,44)</f>
        <v>273</v>
      </c>
      <c r="I154" s="49">
        <f>VLOOKUP($A154,'Data Vlaue (Cr)'!$C:$FB,46)*100</f>
        <v>-21.21</v>
      </c>
      <c r="J154" s="51">
        <f>VLOOKUP($A154,'Data Vlaue (Cr)'!$C:$FB,59)</f>
        <v>768</v>
      </c>
      <c r="K154" s="51">
        <f>VLOOKUP($A154,'Data Vlaue (Cr)'!$C:$FB,60)</f>
        <v>1307</v>
      </c>
      <c r="L154" s="51">
        <f>VLOOKUP($A154,'Data Vlaue (Cr)'!$C:$FB,62)*100</f>
        <v>-41.260000000000005</v>
      </c>
      <c r="M154" s="51">
        <f>VLOOKUP($A154,'Data Vlaue (Cr)'!$C:$FB,63)</f>
        <v>372</v>
      </c>
      <c r="N154" s="51">
        <f>VLOOKUP($A154,'Data Vlaue (Cr)'!$C:$FB,64)</f>
        <v>557</v>
      </c>
      <c r="O154" s="51">
        <f>VLOOKUP($A154,'Data Vlaue (Cr)'!$C:$FB,66)*100</f>
        <v>-33.119999999999997</v>
      </c>
    </row>
    <row r="155" spans="1:15" x14ac:dyDescent="0.25">
      <c r="A155" s="101" t="str">
        <f>'Data Vlaue (Cr)'!C150</f>
        <v>OBEROIRLTY</v>
      </c>
      <c r="B155" s="50">
        <f>VLOOKUP($A155,'Data Vlaue (Cr)'!$C:$FB,8)</f>
        <v>1599.6</v>
      </c>
      <c r="C155" s="50">
        <f>VLOOKUP($A155,'Data Vlaue (Cr)'!$C:$FB,11)*100</f>
        <v>0.52</v>
      </c>
      <c r="D155" s="50">
        <f>VLOOKUP($A155,'Data Vlaue (Cr)'!$C:$FB,143)</f>
        <v>468.13</v>
      </c>
      <c r="E155" s="50">
        <f>VLOOKUP($A155,'Data Vlaue (Cr)'!$C:$FB,144)</f>
        <v>540.01</v>
      </c>
      <c r="F155" s="50">
        <f>VLOOKUP($A155,'Data Vlaue (Cr)'!$C:$FB,146)*100</f>
        <v>-13.309999999999999</v>
      </c>
      <c r="G155" s="49">
        <f>VLOOKUP($A155,'Data Vlaue (Cr)'!$C:$FB,43)</f>
        <v>127</v>
      </c>
      <c r="H155" s="49">
        <f>VLOOKUP($A155,'Data Vlaue (Cr)'!$C:$FB,44)</f>
        <v>137</v>
      </c>
      <c r="I155" s="49">
        <f>VLOOKUP($A155,'Data Vlaue (Cr)'!$C:$FB,46)*100</f>
        <v>-7.580000000000001</v>
      </c>
      <c r="J155" s="51">
        <f>VLOOKUP($A155,'Data Vlaue (Cr)'!$C:$FB,59)</f>
        <v>258</v>
      </c>
      <c r="K155" s="51">
        <f>VLOOKUP($A155,'Data Vlaue (Cr)'!$C:$FB,60)</f>
        <v>273</v>
      </c>
      <c r="L155" s="51">
        <f>VLOOKUP($A155,'Data Vlaue (Cr)'!$C:$FB,62)*100</f>
        <v>-5.45</v>
      </c>
      <c r="M155" s="51">
        <f>VLOOKUP($A155,'Data Vlaue (Cr)'!$C:$FB,63)</f>
        <v>71</v>
      </c>
      <c r="N155" s="51">
        <f>VLOOKUP($A155,'Data Vlaue (Cr)'!$C:$FB,64)</f>
        <v>123</v>
      </c>
      <c r="O155" s="51">
        <f>VLOOKUP($A155,'Data Vlaue (Cr)'!$C:$FB,66)*100</f>
        <v>-42.42</v>
      </c>
    </row>
    <row r="156" spans="1:15" x14ac:dyDescent="0.25">
      <c r="A156" s="101" t="str">
        <f>'Data Vlaue (Cr)'!C151</f>
        <v>OFSS</v>
      </c>
      <c r="B156" s="50">
        <f>VLOOKUP($A156,'Data Vlaue (Cr)'!$C:$FB,8)</f>
        <v>9213</v>
      </c>
      <c r="C156" s="50">
        <f>VLOOKUP($A156,'Data Vlaue (Cr)'!$C:$FB,11)*100</f>
        <v>-1.06</v>
      </c>
      <c r="D156" s="50">
        <f>VLOOKUP($A156,'Data Vlaue (Cr)'!$C:$FB,143)</f>
        <v>1433.9</v>
      </c>
      <c r="E156" s="50">
        <f>VLOOKUP($A156,'Data Vlaue (Cr)'!$C:$FB,144)</f>
        <v>1574.79</v>
      </c>
      <c r="F156" s="50">
        <f>VLOOKUP($A156,'Data Vlaue (Cr)'!$C:$FB,146)*100</f>
        <v>-8.9499999999999993</v>
      </c>
      <c r="G156" s="49">
        <f>VLOOKUP($A156,'Data Vlaue (Cr)'!$C:$FB,43)</f>
        <v>227</v>
      </c>
      <c r="H156" s="49">
        <f>VLOOKUP($A156,'Data Vlaue (Cr)'!$C:$FB,44)</f>
        <v>284</v>
      </c>
      <c r="I156" s="49">
        <f>VLOOKUP($A156,'Data Vlaue (Cr)'!$C:$FB,46)*100</f>
        <v>-20.04</v>
      </c>
      <c r="J156" s="51">
        <f>VLOOKUP($A156,'Data Vlaue (Cr)'!$C:$FB,59)</f>
        <v>831</v>
      </c>
      <c r="K156" s="51">
        <f>VLOOKUP($A156,'Data Vlaue (Cr)'!$C:$FB,60)</f>
        <v>905</v>
      </c>
      <c r="L156" s="51">
        <f>VLOOKUP($A156,'Data Vlaue (Cr)'!$C:$FB,62)*100</f>
        <v>-8.14</v>
      </c>
      <c r="M156" s="51">
        <f>VLOOKUP($A156,'Data Vlaue (Cr)'!$C:$FB,63)</f>
        <v>333</v>
      </c>
      <c r="N156" s="51">
        <f>VLOOKUP($A156,'Data Vlaue (Cr)'!$C:$FB,64)</f>
        <v>334</v>
      </c>
      <c r="O156" s="51">
        <f>VLOOKUP($A156,'Data Vlaue (Cr)'!$C:$FB,66)*100</f>
        <v>-0.22999999999999998</v>
      </c>
    </row>
    <row r="157" spans="1:15" x14ac:dyDescent="0.25">
      <c r="A157" s="101" t="str">
        <f>'Data Vlaue (Cr)'!C152</f>
        <v>OIL</v>
      </c>
      <c r="B157" s="50">
        <f>VLOOKUP($A157,'Data Vlaue (Cr)'!$C:$FB,8)</f>
        <v>418.2</v>
      </c>
      <c r="C157" s="50">
        <f>VLOOKUP($A157,'Data Vlaue (Cr)'!$C:$FB,11)*100</f>
        <v>6.9999999999999993E-2</v>
      </c>
      <c r="D157" s="50">
        <f>VLOOKUP($A157,'Data Vlaue (Cr)'!$C:$FB,143)</f>
        <v>166.32</v>
      </c>
      <c r="E157" s="50">
        <f>VLOOKUP($A157,'Data Vlaue (Cr)'!$C:$FB,144)</f>
        <v>197.75</v>
      </c>
      <c r="F157" s="50">
        <f>VLOOKUP($A157,'Data Vlaue (Cr)'!$C:$FB,146)*100</f>
        <v>-15.89</v>
      </c>
      <c r="G157" s="49">
        <f>VLOOKUP($A157,'Data Vlaue (Cr)'!$C:$FB,43)</f>
        <v>50</v>
      </c>
      <c r="H157" s="49">
        <f>VLOOKUP($A157,'Data Vlaue (Cr)'!$C:$FB,44)</f>
        <v>56</v>
      </c>
      <c r="I157" s="49">
        <f>VLOOKUP($A157,'Data Vlaue (Cr)'!$C:$FB,46)*100</f>
        <v>-10.48</v>
      </c>
      <c r="J157" s="51">
        <f>VLOOKUP($A157,'Data Vlaue (Cr)'!$C:$FB,59)</f>
        <v>75</v>
      </c>
      <c r="K157" s="51">
        <f>VLOOKUP($A157,'Data Vlaue (Cr)'!$C:$FB,60)</f>
        <v>88</v>
      </c>
      <c r="L157" s="51">
        <f>VLOOKUP($A157,'Data Vlaue (Cr)'!$C:$FB,62)*100</f>
        <v>-15.06</v>
      </c>
      <c r="M157" s="51">
        <f>VLOOKUP($A157,'Data Vlaue (Cr)'!$C:$FB,63)</f>
        <v>38</v>
      </c>
      <c r="N157" s="51">
        <f>VLOOKUP($A157,'Data Vlaue (Cr)'!$C:$FB,64)</f>
        <v>51</v>
      </c>
      <c r="O157" s="51">
        <f>VLOOKUP($A157,'Data Vlaue (Cr)'!$C:$FB,66)*100</f>
        <v>-24.83</v>
      </c>
    </row>
    <row r="158" spans="1:15" x14ac:dyDescent="0.25">
      <c r="A158" s="101" t="str">
        <f>'Data Vlaue (Cr)'!C153</f>
        <v>ONGC</v>
      </c>
      <c r="B158" s="50">
        <f>VLOOKUP($A158,'Data Vlaue (Cr)'!$C:$FB,8)</f>
        <v>246.34</v>
      </c>
      <c r="C158" s="50">
        <f>VLOOKUP($A158,'Data Vlaue (Cr)'!$C:$FB,11)*100</f>
        <v>1.21</v>
      </c>
      <c r="D158" s="50">
        <f>VLOOKUP($A158,'Data Vlaue (Cr)'!$C:$FB,143)</f>
        <v>2128.9499999999998</v>
      </c>
      <c r="E158" s="50">
        <f>VLOOKUP($A158,'Data Vlaue (Cr)'!$C:$FB,144)</f>
        <v>1729.05</v>
      </c>
      <c r="F158" s="50">
        <f>VLOOKUP($A158,'Data Vlaue (Cr)'!$C:$FB,146)*100</f>
        <v>23.13</v>
      </c>
      <c r="G158" s="49">
        <f>VLOOKUP($A158,'Data Vlaue (Cr)'!$C:$FB,43)</f>
        <v>275</v>
      </c>
      <c r="H158" s="49">
        <f>VLOOKUP($A158,'Data Vlaue (Cr)'!$C:$FB,44)</f>
        <v>269</v>
      </c>
      <c r="I158" s="49">
        <f>VLOOKUP($A158,'Data Vlaue (Cr)'!$C:$FB,46)*100</f>
        <v>2.46</v>
      </c>
      <c r="J158" s="51">
        <f>VLOOKUP($A158,'Data Vlaue (Cr)'!$C:$FB,59)</f>
        <v>1205</v>
      </c>
      <c r="K158" s="51">
        <f>VLOOKUP($A158,'Data Vlaue (Cr)'!$C:$FB,60)</f>
        <v>993</v>
      </c>
      <c r="L158" s="51">
        <f>VLOOKUP($A158,'Data Vlaue (Cr)'!$C:$FB,62)*100</f>
        <v>21.26</v>
      </c>
      <c r="M158" s="51">
        <f>VLOOKUP($A158,'Data Vlaue (Cr)'!$C:$FB,63)</f>
        <v>621</v>
      </c>
      <c r="N158" s="51">
        <f>VLOOKUP($A158,'Data Vlaue (Cr)'!$C:$FB,64)</f>
        <v>451</v>
      </c>
      <c r="O158" s="51">
        <f>VLOOKUP($A158,'Data Vlaue (Cr)'!$C:$FB,66)*100</f>
        <v>37.89</v>
      </c>
    </row>
    <row r="159" spans="1:15" x14ac:dyDescent="0.25">
      <c r="A159" s="101" t="str">
        <f>'Data Vlaue (Cr)'!C154</f>
        <v>PAGEIND</v>
      </c>
      <c r="B159" s="50">
        <f>VLOOKUP($A159,'Data Vlaue (Cr)'!$C:$FB,8)</f>
        <v>41640</v>
      </c>
      <c r="C159" s="50">
        <f>VLOOKUP($A159,'Data Vlaue (Cr)'!$C:$FB,11)*100</f>
        <v>-0.24</v>
      </c>
      <c r="D159" s="50">
        <f>VLOOKUP($A159,'Data Vlaue (Cr)'!$C:$FB,143)</f>
        <v>409.1</v>
      </c>
      <c r="E159" s="50">
        <f>VLOOKUP($A159,'Data Vlaue (Cr)'!$C:$FB,144)</f>
        <v>554.44000000000005</v>
      </c>
      <c r="F159" s="50">
        <f>VLOOKUP($A159,'Data Vlaue (Cr)'!$C:$FB,146)*100</f>
        <v>-26.21</v>
      </c>
      <c r="G159" s="49">
        <f>VLOOKUP($A159,'Data Vlaue (Cr)'!$C:$FB,43)</f>
        <v>85</v>
      </c>
      <c r="H159" s="49">
        <f>VLOOKUP($A159,'Data Vlaue (Cr)'!$C:$FB,44)</f>
        <v>82</v>
      </c>
      <c r="I159" s="49">
        <f>VLOOKUP($A159,'Data Vlaue (Cr)'!$C:$FB,46)*100</f>
        <v>4.04</v>
      </c>
      <c r="J159" s="51">
        <f>VLOOKUP($A159,'Data Vlaue (Cr)'!$C:$FB,59)</f>
        <v>258</v>
      </c>
      <c r="K159" s="51">
        <f>VLOOKUP($A159,'Data Vlaue (Cr)'!$C:$FB,60)</f>
        <v>394</v>
      </c>
      <c r="L159" s="51">
        <f>VLOOKUP($A159,'Data Vlaue (Cr)'!$C:$FB,62)*100</f>
        <v>-34.339999999999996</v>
      </c>
      <c r="M159" s="51">
        <f>VLOOKUP($A159,'Data Vlaue (Cr)'!$C:$FB,63)</f>
        <v>48</v>
      </c>
      <c r="N159" s="51">
        <f>VLOOKUP($A159,'Data Vlaue (Cr)'!$C:$FB,64)</f>
        <v>43</v>
      </c>
      <c r="O159" s="51">
        <f>VLOOKUP($A159,'Data Vlaue (Cr)'!$C:$FB,66)*100</f>
        <v>11.19</v>
      </c>
    </row>
    <row r="160" spans="1:15" x14ac:dyDescent="0.25">
      <c r="A160" s="101" t="str">
        <f>'Data Vlaue (Cr)'!C155</f>
        <v>PATANJALI</v>
      </c>
      <c r="B160" s="50">
        <f>VLOOKUP($A160,'Data Vlaue (Cr)'!$C:$FB,8)</f>
        <v>594.1</v>
      </c>
      <c r="C160" s="50">
        <f>VLOOKUP($A160,'Data Vlaue (Cr)'!$C:$FB,11)*100</f>
        <v>-0.08</v>
      </c>
      <c r="D160" s="50">
        <f>VLOOKUP($A160,'Data Vlaue (Cr)'!$C:$FB,143)</f>
        <v>359.7</v>
      </c>
      <c r="E160" s="50">
        <f>VLOOKUP($A160,'Data Vlaue (Cr)'!$C:$FB,144)</f>
        <v>469.48</v>
      </c>
      <c r="F160" s="50">
        <f>VLOOKUP($A160,'Data Vlaue (Cr)'!$C:$FB,146)*100</f>
        <v>-23.380000000000003</v>
      </c>
      <c r="G160" s="49">
        <f>VLOOKUP($A160,'Data Vlaue (Cr)'!$C:$FB,43)</f>
        <v>128</v>
      </c>
      <c r="H160" s="49">
        <f>VLOOKUP($A160,'Data Vlaue (Cr)'!$C:$FB,44)</f>
        <v>141</v>
      </c>
      <c r="I160" s="49">
        <f>VLOOKUP($A160,'Data Vlaue (Cr)'!$C:$FB,46)*100</f>
        <v>-8.91</v>
      </c>
      <c r="J160" s="51">
        <f>VLOOKUP($A160,'Data Vlaue (Cr)'!$C:$FB,59)</f>
        <v>154</v>
      </c>
      <c r="K160" s="51">
        <f>VLOOKUP($A160,'Data Vlaue (Cr)'!$C:$FB,60)</f>
        <v>168</v>
      </c>
      <c r="L160" s="51">
        <f>VLOOKUP($A160,'Data Vlaue (Cr)'!$C:$FB,62)*100</f>
        <v>-8.27</v>
      </c>
      <c r="M160" s="51">
        <f>VLOOKUP($A160,'Data Vlaue (Cr)'!$C:$FB,63)</f>
        <v>69</v>
      </c>
      <c r="N160" s="51">
        <f>VLOOKUP($A160,'Data Vlaue (Cr)'!$C:$FB,64)</f>
        <v>150</v>
      </c>
      <c r="O160" s="51">
        <f>VLOOKUP($A160,'Data Vlaue (Cr)'!$C:$FB,66)*100</f>
        <v>-54.190000000000005</v>
      </c>
    </row>
    <row r="161" spans="1:15" x14ac:dyDescent="0.25">
      <c r="A161" s="101" t="str">
        <f>'Data Vlaue (Cr)'!C156</f>
        <v>PAYTM</v>
      </c>
      <c r="B161" s="50">
        <f>VLOOKUP($A161,'Data Vlaue (Cr)'!$C:$FB,8)</f>
        <v>1236.9000000000001</v>
      </c>
      <c r="C161" s="50">
        <f>VLOOKUP($A161,'Data Vlaue (Cr)'!$C:$FB,11)*100</f>
        <v>-0.75</v>
      </c>
      <c r="D161" s="50">
        <f>VLOOKUP($A161,'Data Vlaue (Cr)'!$C:$FB,143)</f>
        <v>3341.24</v>
      </c>
      <c r="E161" s="50">
        <f>VLOOKUP($A161,'Data Vlaue (Cr)'!$C:$FB,144)</f>
        <v>3279.91</v>
      </c>
      <c r="F161" s="50">
        <f>VLOOKUP($A161,'Data Vlaue (Cr)'!$C:$FB,146)*100</f>
        <v>1.87</v>
      </c>
      <c r="G161" s="49">
        <f>VLOOKUP($A161,'Data Vlaue (Cr)'!$C:$FB,43)</f>
        <v>674</v>
      </c>
      <c r="H161" s="49">
        <f>VLOOKUP($A161,'Data Vlaue (Cr)'!$C:$FB,44)</f>
        <v>840</v>
      </c>
      <c r="I161" s="49">
        <f>VLOOKUP($A161,'Data Vlaue (Cr)'!$C:$FB,46)*100</f>
        <v>-19.82</v>
      </c>
      <c r="J161" s="51">
        <f>VLOOKUP($A161,'Data Vlaue (Cr)'!$C:$FB,59)</f>
        <v>1630</v>
      </c>
      <c r="K161" s="51">
        <f>VLOOKUP($A161,'Data Vlaue (Cr)'!$C:$FB,60)</f>
        <v>1480</v>
      </c>
      <c r="L161" s="51">
        <f>VLOOKUP($A161,'Data Vlaue (Cr)'!$C:$FB,62)*100</f>
        <v>10.100000000000001</v>
      </c>
      <c r="M161" s="51">
        <f>VLOOKUP($A161,'Data Vlaue (Cr)'!$C:$FB,63)</f>
        <v>946</v>
      </c>
      <c r="N161" s="51">
        <f>VLOOKUP($A161,'Data Vlaue (Cr)'!$C:$FB,64)</f>
        <v>885</v>
      </c>
      <c r="O161" s="51">
        <f>VLOOKUP($A161,'Data Vlaue (Cr)'!$C:$FB,66)*100</f>
        <v>6.88</v>
      </c>
    </row>
    <row r="162" spans="1:15" x14ac:dyDescent="0.25">
      <c r="A162" s="101" t="str">
        <f>'Data Vlaue (Cr)'!C157</f>
        <v>PERSISTENT</v>
      </c>
      <c r="B162" s="50">
        <f>VLOOKUP($A162,'Data Vlaue (Cr)'!$C:$FB,8)</f>
        <v>5357.7</v>
      </c>
      <c r="C162" s="50">
        <f>VLOOKUP($A162,'Data Vlaue (Cr)'!$C:$FB,11)*100</f>
        <v>0.22999999999999998</v>
      </c>
      <c r="D162" s="50">
        <f>VLOOKUP($A162,'Data Vlaue (Cr)'!$C:$FB,143)</f>
        <v>1206.94</v>
      </c>
      <c r="E162" s="50">
        <f>VLOOKUP($A162,'Data Vlaue (Cr)'!$C:$FB,144)</f>
        <v>1113.55</v>
      </c>
      <c r="F162" s="50">
        <f>VLOOKUP($A162,'Data Vlaue (Cr)'!$C:$FB,146)*100</f>
        <v>8.39</v>
      </c>
      <c r="G162" s="49">
        <f>VLOOKUP($A162,'Data Vlaue (Cr)'!$C:$FB,43)</f>
        <v>256</v>
      </c>
      <c r="H162" s="49">
        <f>VLOOKUP($A162,'Data Vlaue (Cr)'!$C:$FB,44)</f>
        <v>279</v>
      </c>
      <c r="I162" s="49">
        <f>VLOOKUP($A162,'Data Vlaue (Cr)'!$C:$FB,46)*100</f>
        <v>-8.0500000000000007</v>
      </c>
      <c r="J162" s="51">
        <f>VLOOKUP($A162,'Data Vlaue (Cr)'!$C:$FB,59)</f>
        <v>575</v>
      </c>
      <c r="K162" s="51">
        <f>VLOOKUP($A162,'Data Vlaue (Cr)'!$C:$FB,60)</f>
        <v>520</v>
      </c>
      <c r="L162" s="51">
        <f>VLOOKUP($A162,'Data Vlaue (Cr)'!$C:$FB,62)*100</f>
        <v>10.59</v>
      </c>
      <c r="M162" s="51">
        <f>VLOOKUP($A162,'Data Vlaue (Cr)'!$C:$FB,63)</f>
        <v>362</v>
      </c>
      <c r="N162" s="51">
        <f>VLOOKUP($A162,'Data Vlaue (Cr)'!$C:$FB,64)</f>
        <v>306</v>
      </c>
      <c r="O162" s="51">
        <f>VLOOKUP($A162,'Data Vlaue (Cr)'!$C:$FB,66)*100</f>
        <v>18.170000000000002</v>
      </c>
    </row>
    <row r="163" spans="1:15" x14ac:dyDescent="0.25">
      <c r="A163" s="101" t="str">
        <f>'Data Vlaue (Cr)'!C158</f>
        <v>PETRONET</v>
      </c>
      <c r="B163" s="50">
        <f>VLOOKUP($A163,'Data Vlaue (Cr)'!$C:$FB,8)</f>
        <v>281.45</v>
      </c>
      <c r="C163" s="50">
        <f>VLOOKUP($A163,'Data Vlaue (Cr)'!$C:$FB,11)*100</f>
        <v>-0.49</v>
      </c>
      <c r="D163" s="50">
        <f>VLOOKUP($A163,'Data Vlaue (Cr)'!$C:$FB,143)</f>
        <v>244.91</v>
      </c>
      <c r="E163" s="50">
        <f>VLOOKUP($A163,'Data Vlaue (Cr)'!$C:$FB,144)</f>
        <v>217.44</v>
      </c>
      <c r="F163" s="50">
        <f>VLOOKUP($A163,'Data Vlaue (Cr)'!$C:$FB,146)*100</f>
        <v>12.629999999999999</v>
      </c>
      <c r="G163" s="49">
        <f>VLOOKUP($A163,'Data Vlaue (Cr)'!$C:$FB,43)</f>
        <v>63</v>
      </c>
      <c r="H163" s="49">
        <f>VLOOKUP($A163,'Data Vlaue (Cr)'!$C:$FB,44)</f>
        <v>59</v>
      </c>
      <c r="I163" s="49">
        <f>VLOOKUP($A163,'Data Vlaue (Cr)'!$C:$FB,46)*100</f>
        <v>6.9099999999999993</v>
      </c>
      <c r="J163" s="51">
        <f>VLOOKUP($A163,'Data Vlaue (Cr)'!$C:$FB,59)</f>
        <v>132</v>
      </c>
      <c r="K163" s="51">
        <f>VLOOKUP($A163,'Data Vlaue (Cr)'!$C:$FB,60)</f>
        <v>118</v>
      </c>
      <c r="L163" s="51">
        <f>VLOOKUP($A163,'Data Vlaue (Cr)'!$C:$FB,62)*100</f>
        <v>11.360000000000001</v>
      </c>
      <c r="M163" s="51">
        <f>VLOOKUP($A163,'Data Vlaue (Cr)'!$C:$FB,63)</f>
        <v>45</v>
      </c>
      <c r="N163" s="51">
        <f>VLOOKUP($A163,'Data Vlaue (Cr)'!$C:$FB,64)</f>
        <v>34</v>
      </c>
      <c r="O163" s="51">
        <f>VLOOKUP($A163,'Data Vlaue (Cr)'!$C:$FB,66)*100</f>
        <v>32.93</v>
      </c>
    </row>
    <row r="164" spans="1:15" x14ac:dyDescent="0.25">
      <c r="A164" s="101" t="str">
        <f>'Data Vlaue (Cr)'!C159</f>
        <v>PFC</v>
      </c>
      <c r="B164" s="50">
        <f>VLOOKUP($A164,'Data Vlaue (Cr)'!$C:$FB,8)</f>
        <v>403.85</v>
      </c>
      <c r="C164" s="50">
        <f>VLOOKUP($A164,'Data Vlaue (Cr)'!$C:$FB,11)*100</f>
        <v>0.37</v>
      </c>
      <c r="D164" s="50">
        <f>VLOOKUP($A164,'Data Vlaue (Cr)'!$C:$FB,143)</f>
        <v>1412.69</v>
      </c>
      <c r="E164" s="50">
        <f>VLOOKUP($A164,'Data Vlaue (Cr)'!$C:$FB,144)</f>
        <v>1219.3399999999999</v>
      </c>
      <c r="F164" s="50">
        <f>VLOOKUP($A164,'Data Vlaue (Cr)'!$C:$FB,146)*100</f>
        <v>15.86</v>
      </c>
      <c r="G164" s="49">
        <f>VLOOKUP($A164,'Data Vlaue (Cr)'!$C:$FB,43)</f>
        <v>270</v>
      </c>
      <c r="H164" s="49">
        <f>VLOOKUP($A164,'Data Vlaue (Cr)'!$C:$FB,44)</f>
        <v>232</v>
      </c>
      <c r="I164" s="49">
        <f>VLOOKUP($A164,'Data Vlaue (Cr)'!$C:$FB,46)*100</f>
        <v>16.350000000000001</v>
      </c>
      <c r="J164" s="51">
        <f>VLOOKUP($A164,'Data Vlaue (Cr)'!$C:$FB,59)</f>
        <v>693</v>
      </c>
      <c r="K164" s="51">
        <f>VLOOKUP($A164,'Data Vlaue (Cr)'!$C:$FB,60)</f>
        <v>638</v>
      </c>
      <c r="L164" s="51">
        <f>VLOOKUP($A164,'Data Vlaue (Cr)'!$C:$FB,62)*100</f>
        <v>8.6300000000000008</v>
      </c>
      <c r="M164" s="51">
        <f>VLOOKUP($A164,'Data Vlaue (Cr)'!$C:$FB,63)</f>
        <v>420</v>
      </c>
      <c r="N164" s="51">
        <f>VLOOKUP($A164,'Data Vlaue (Cr)'!$C:$FB,64)</f>
        <v>328</v>
      </c>
      <c r="O164" s="51">
        <f>VLOOKUP($A164,'Data Vlaue (Cr)'!$C:$FB,66)*100</f>
        <v>27.91</v>
      </c>
    </row>
    <row r="165" spans="1:15" x14ac:dyDescent="0.25">
      <c r="A165" s="101" t="str">
        <f>'Data Vlaue (Cr)'!C160</f>
        <v>PGEL</v>
      </c>
      <c r="B165" s="50">
        <f>VLOOKUP($A165,'Data Vlaue (Cr)'!$C:$FB,8)</f>
        <v>585.95000000000005</v>
      </c>
      <c r="C165" s="50">
        <f>VLOOKUP($A165,'Data Vlaue (Cr)'!$C:$FB,11)*100</f>
        <v>5.93</v>
      </c>
      <c r="D165" s="50">
        <f>VLOOKUP($A165,'Data Vlaue (Cr)'!$C:$FB,143)</f>
        <v>4547.75</v>
      </c>
      <c r="E165" s="50">
        <f>VLOOKUP($A165,'Data Vlaue (Cr)'!$C:$FB,144)</f>
        <v>4215.96</v>
      </c>
      <c r="F165" s="50">
        <f>VLOOKUP($A165,'Data Vlaue (Cr)'!$C:$FB,146)*100</f>
        <v>7.870000000000001</v>
      </c>
      <c r="G165" s="49">
        <f>VLOOKUP($A165,'Data Vlaue (Cr)'!$C:$FB,43)</f>
        <v>514</v>
      </c>
      <c r="H165" s="49">
        <f>VLOOKUP($A165,'Data Vlaue (Cr)'!$C:$FB,44)</f>
        <v>571</v>
      </c>
      <c r="I165" s="49">
        <f>VLOOKUP($A165,'Data Vlaue (Cr)'!$C:$FB,46)*100</f>
        <v>-9.92</v>
      </c>
      <c r="J165" s="51">
        <f>VLOOKUP($A165,'Data Vlaue (Cr)'!$C:$FB,59)</f>
        <v>2902</v>
      </c>
      <c r="K165" s="51">
        <f>VLOOKUP($A165,'Data Vlaue (Cr)'!$C:$FB,60)</f>
        <v>2870</v>
      </c>
      <c r="L165" s="51">
        <f>VLOOKUP($A165,'Data Vlaue (Cr)'!$C:$FB,62)*100</f>
        <v>1.1100000000000001</v>
      </c>
      <c r="M165" s="51">
        <f>VLOOKUP($A165,'Data Vlaue (Cr)'!$C:$FB,63)</f>
        <v>1075</v>
      </c>
      <c r="N165" s="51">
        <f>VLOOKUP($A165,'Data Vlaue (Cr)'!$C:$FB,64)</f>
        <v>942</v>
      </c>
      <c r="O165" s="51">
        <f>VLOOKUP($A165,'Data Vlaue (Cr)'!$C:$FB,66)*100</f>
        <v>14.04</v>
      </c>
    </row>
    <row r="166" spans="1:15" x14ac:dyDescent="0.25">
      <c r="A166" s="101" t="str">
        <f>'Data Vlaue (Cr)'!C161</f>
        <v>PHOENIXLTD</v>
      </c>
      <c r="B166" s="50">
        <f>VLOOKUP($A166,'Data Vlaue (Cr)'!$C:$FB,8)</f>
        <v>1597.8</v>
      </c>
      <c r="C166" s="50">
        <f>VLOOKUP($A166,'Data Vlaue (Cr)'!$C:$FB,11)*100</f>
        <v>0.25</v>
      </c>
      <c r="D166" s="50">
        <f>VLOOKUP($A166,'Data Vlaue (Cr)'!$C:$FB,143)</f>
        <v>353.09</v>
      </c>
      <c r="E166" s="50">
        <f>VLOOKUP($A166,'Data Vlaue (Cr)'!$C:$FB,144)</f>
        <v>225.9</v>
      </c>
      <c r="F166" s="50">
        <f>VLOOKUP($A166,'Data Vlaue (Cr)'!$C:$FB,146)*100</f>
        <v>56.3</v>
      </c>
      <c r="G166" s="49">
        <f>VLOOKUP($A166,'Data Vlaue (Cr)'!$C:$FB,43)</f>
        <v>71</v>
      </c>
      <c r="H166" s="49">
        <f>VLOOKUP($A166,'Data Vlaue (Cr)'!$C:$FB,44)</f>
        <v>78</v>
      </c>
      <c r="I166" s="49">
        <f>VLOOKUP($A166,'Data Vlaue (Cr)'!$C:$FB,46)*100</f>
        <v>-9.11</v>
      </c>
      <c r="J166" s="51">
        <f>VLOOKUP($A166,'Data Vlaue (Cr)'!$C:$FB,59)</f>
        <v>178</v>
      </c>
      <c r="K166" s="51">
        <f>VLOOKUP($A166,'Data Vlaue (Cr)'!$C:$FB,60)</f>
        <v>103</v>
      </c>
      <c r="L166" s="51">
        <f>VLOOKUP($A166,'Data Vlaue (Cr)'!$C:$FB,62)*100</f>
        <v>72.19</v>
      </c>
      <c r="M166" s="51">
        <f>VLOOKUP($A166,'Data Vlaue (Cr)'!$C:$FB,63)</f>
        <v>97</v>
      </c>
      <c r="N166" s="51">
        <f>VLOOKUP($A166,'Data Vlaue (Cr)'!$C:$FB,64)</f>
        <v>41</v>
      </c>
      <c r="O166" s="51">
        <f>VLOOKUP($A166,'Data Vlaue (Cr)'!$C:$FB,66)*100</f>
        <v>138.78</v>
      </c>
    </row>
    <row r="167" spans="1:15" x14ac:dyDescent="0.25">
      <c r="A167" s="101" t="str">
        <f>'Data Vlaue (Cr)'!C162</f>
        <v>PIDILITIND</v>
      </c>
      <c r="B167" s="50">
        <f>VLOOKUP($A167,'Data Vlaue (Cr)'!$C:$FB,8)</f>
        <v>1510.6</v>
      </c>
      <c r="C167" s="50">
        <f>VLOOKUP($A167,'Data Vlaue (Cr)'!$C:$FB,11)*100</f>
        <v>0.01</v>
      </c>
      <c r="D167" s="50">
        <f>VLOOKUP($A167,'Data Vlaue (Cr)'!$C:$FB,143)</f>
        <v>450.55</v>
      </c>
      <c r="E167" s="50">
        <f>VLOOKUP($A167,'Data Vlaue (Cr)'!$C:$FB,144)</f>
        <v>928.67</v>
      </c>
      <c r="F167" s="50">
        <f>VLOOKUP($A167,'Data Vlaue (Cr)'!$C:$FB,146)*100</f>
        <v>-51.480000000000004</v>
      </c>
      <c r="G167" s="49">
        <f>VLOOKUP($A167,'Data Vlaue (Cr)'!$C:$FB,43)</f>
        <v>137</v>
      </c>
      <c r="H167" s="49">
        <f>VLOOKUP($A167,'Data Vlaue (Cr)'!$C:$FB,44)</f>
        <v>224</v>
      </c>
      <c r="I167" s="49">
        <f>VLOOKUP($A167,'Data Vlaue (Cr)'!$C:$FB,46)*100</f>
        <v>-38.78</v>
      </c>
      <c r="J167" s="51">
        <f>VLOOKUP($A167,'Data Vlaue (Cr)'!$C:$FB,59)</f>
        <v>229</v>
      </c>
      <c r="K167" s="51">
        <f>VLOOKUP($A167,'Data Vlaue (Cr)'!$C:$FB,60)</f>
        <v>520</v>
      </c>
      <c r="L167" s="51">
        <f>VLOOKUP($A167,'Data Vlaue (Cr)'!$C:$FB,62)*100</f>
        <v>-56.010000000000005</v>
      </c>
      <c r="M167" s="51">
        <f>VLOOKUP($A167,'Data Vlaue (Cr)'!$C:$FB,63)</f>
        <v>79</v>
      </c>
      <c r="N167" s="51">
        <f>VLOOKUP($A167,'Data Vlaue (Cr)'!$C:$FB,64)</f>
        <v>175</v>
      </c>
      <c r="O167" s="51">
        <f>VLOOKUP($A167,'Data Vlaue (Cr)'!$C:$FB,66)*100</f>
        <v>-54.72</v>
      </c>
    </row>
    <row r="168" spans="1:15" x14ac:dyDescent="0.25">
      <c r="A168" s="101" t="str">
        <f>'Data Vlaue (Cr)'!C163</f>
        <v>PIIND</v>
      </c>
      <c r="B168" s="50">
        <f>VLOOKUP($A168,'Data Vlaue (Cr)'!$C:$FB,8)</f>
        <v>3564.6</v>
      </c>
      <c r="C168" s="50">
        <f>VLOOKUP($A168,'Data Vlaue (Cr)'!$C:$FB,11)*100</f>
        <v>0.92999999999999994</v>
      </c>
      <c r="D168" s="50">
        <f>VLOOKUP($A168,'Data Vlaue (Cr)'!$C:$FB,143)</f>
        <v>669.92</v>
      </c>
      <c r="E168" s="50">
        <f>VLOOKUP($A168,'Data Vlaue (Cr)'!$C:$FB,144)</f>
        <v>189.16</v>
      </c>
      <c r="F168" s="50">
        <f>VLOOKUP($A168,'Data Vlaue (Cr)'!$C:$FB,146)*100</f>
        <v>254.16</v>
      </c>
      <c r="G168" s="49">
        <f>VLOOKUP($A168,'Data Vlaue (Cr)'!$C:$FB,43)</f>
        <v>248</v>
      </c>
      <c r="H168" s="49">
        <f>VLOOKUP($A168,'Data Vlaue (Cr)'!$C:$FB,44)</f>
        <v>62</v>
      </c>
      <c r="I168" s="49">
        <f>VLOOKUP($A168,'Data Vlaue (Cr)'!$C:$FB,46)*100</f>
        <v>298.39000000000004</v>
      </c>
      <c r="J168" s="51">
        <f>VLOOKUP($A168,'Data Vlaue (Cr)'!$C:$FB,59)</f>
        <v>323</v>
      </c>
      <c r="K168" s="51">
        <f>VLOOKUP($A168,'Data Vlaue (Cr)'!$C:$FB,60)</f>
        <v>101</v>
      </c>
      <c r="L168" s="51">
        <f>VLOOKUP($A168,'Data Vlaue (Cr)'!$C:$FB,62)*100</f>
        <v>220.56</v>
      </c>
      <c r="M168" s="51">
        <f>VLOOKUP($A168,'Data Vlaue (Cr)'!$C:$FB,63)</f>
        <v>87</v>
      </c>
      <c r="N168" s="51">
        <f>VLOOKUP($A168,'Data Vlaue (Cr)'!$C:$FB,64)</f>
        <v>25</v>
      </c>
      <c r="O168" s="51">
        <f>VLOOKUP($A168,'Data Vlaue (Cr)'!$C:$FB,66)*100</f>
        <v>246.11999999999998</v>
      </c>
    </row>
    <row r="169" spans="1:15" x14ac:dyDescent="0.25">
      <c r="A169" s="101" t="str">
        <f>'Data Vlaue (Cr)'!C164</f>
        <v>PNB</v>
      </c>
      <c r="B169" s="50">
        <f>VLOOKUP($A169,'Data Vlaue (Cr)'!$C:$FB,8)</f>
        <v>117.24</v>
      </c>
      <c r="C169" s="50">
        <f>VLOOKUP($A169,'Data Vlaue (Cr)'!$C:$FB,11)*100</f>
        <v>2.5700000000000003</v>
      </c>
      <c r="D169" s="50">
        <f>VLOOKUP($A169,'Data Vlaue (Cr)'!$C:$FB,143)</f>
        <v>7788.16</v>
      </c>
      <c r="E169" s="50">
        <f>VLOOKUP($A169,'Data Vlaue (Cr)'!$C:$FB,144)</f>
        <v>2217.67</v>
      </c>
      <c r="F169" s="50">
        <f>VLOOKUP($A169,'Data Vlaue (Cr)'!$C:$FB,146)*100</f>
        <v>251.18999999999997</v>
      </c>
      <c r="G169" s="49">
        <f>VLOOKUP($A169,'Data Vlaue (Cr)'!$C:$FB,43)</f>
        <v>1127</v>
      </c>
      <c r="H169" s="49">
        <f>VLOOKUP($A169,'Data Vlaue (Cr)'!$C:$FB,44)</f>
        <v>421</v>
      </c>
      <c r="I169" s="49">
        <f>VLOOKUP($A169,'Data Vlaue (Cr)'!$C:$FB,46)*100</f>
        <v>167.59</v>
      </c>
      <c r="J169" s="51">
        <f>VLOOKUP($A169,'Data Vlaue (Cr)'!$C:$FB,59)</f>
        <v>4481</v>
      </c>
      <c r="K169" s="51">
        <f>VLOOKUP($A169,'Data Vlaue (Cr)'!$C:$FB,60)</f>
        <v>1191</v>
      </c>
      <c r="L169" s="51">
        <f>VLOOKUP($A169,'Data Vlaue (Cr)'!$C:$FB,62)*100</f>
        <v>276.32</v>
      </c>
      <c r="M169" s="51">
        <f>VLOOKUP($A169,'Data Vlaue (Cr)'!$C:$FB,63)</f>
        <v>2101</v>
      </c>
      <c r="N169" s="51">
        <f>VLOOKUP($A169,'Data Vlaue (Cr)'!$C:$FB,64)</f>
        <v>630</v>
      </c>
      <c r="O169" s="51">
        <f>VLOOKUP($A169,'Data Vlaue (Cr)'!$C:$FB,66)*100</f>
        <v>233.57999999999998</v>
      </c>
    </row>
    <row r="170" spans="1:15" x14ac:dyDescent="0.25">
      <c r="A170" s="101" t="str">
        <f>'Data Vlaue (Cr)'!C165</f>
        <v>PNBHOUSING</v>
      </c>
      <c r="B170" s="50">
        <f>VLOOKUP($A170,'Data Vlaue (Cr)'!$C:$FB,8)</f>
        <v>853.6</v>
      </c>
      <c r="C170" s="50">
        <f>VLOOKUP($A170,'Data Vlaue (Cr)'!$C:$FB,11)*100</f>
        <v>-2.5700000000000003</v>
      </c>
      <c r="D170" s="50">
        <f>VLOOKUP($A170,'Data Vlaue (Cr)'!$C:$FB,143)</f>
        <v>587.11</v>
      </c>
      <c r="E170" s="50">
        <f>VLOOKUP($A170,'Data Vlaue (Cr)'!$C:$FB,144)</f>
        <v>362.33</v>
      </c>
      <c r="F170" s="50">
        <f>VLOOKUP($A170,'Data Vlaue (Cr)'!$C:$FB,146)*100</f>
        <v>62.039999999999992</v>
      </c>
      <c r="G170" s="49">
        <f>VLOOKUP($A170,'Data Vlaue (Cr)'!$C:$FB,43)</f>
        <v>178</v>
      </c>
      <c r="H170" s="49">
        <f>VLOOKUP($A170,'Data Vlaue (Cr)'!$C:$FB,44)</f>
        <v>121</v>
      </c>
      <c r="I170" s="49">
        <f>VLOOKUP($A170,'Data Vlaue (Cr)'!$C:$FB,46)*100</f>
        <v>47.760000000000005</v>
      </c>
      <c r="J170" s="51">
        <f>VLOOKUP($A170,'Data Vlaue (Cr)'!$C:$FB,59)</f>
        <v>264</v>
      </c>
      <c r="K170" s="51">
        <f>VLOOKUP($A170,'Data Vlaue (Cr)'!$C:$FB,60)</f>
        <v>168</v>
      </c>
      <c r="L170" s="51">
        <f>VLOOKUP($A170,'Data Vlaue (Cr)'!$C:$FB,62)*100</f>
        <v>57.3</v>
      </c>
      <c r="M170" s="51">
        <f>VLOOKUP($A170,'Data Vlaue (Cr)'!$C:$FB,63)</f>
        <v>124</v>
      </c>
      <c r="N170" s="51">
        <f>VLOOKUP($A170,'Data Vlaue (Cr)'!$C:$FB,64)</f>
        <v>56</v>
      </c>
      <c r="O170" s="51">
        <f>VLOOKUP($A170,'Data Vlaue (Cr)'!$C:$FB,66)*100</f>
        <v>122.8</v>
      </c>
    </row>
    <row r="171" spans="1:15" x14ac:dyDescent="0.25">
      <c r="A171" s="101" t="str">
        <f>'Data Vlaue (Cr)'!C166</f>
        <v>POLICYBZR</v>
      </c>
      <c r="B171" s="50">
        <f>VLOOKUP($A171,'Data Vlaue (Cr)'!$C:$FB,8)</f>
        <v>1745.4</v>
      </c>
      <c r="C171" s="50">
        <f>VLOOKUP($A171,'Data Vlaue (Cr)'!$C:$FB,11)*100</f>
        <v>0.55999999999999994</v>
      </c>
      <c r="D171" s="50">
        <f>VLOOKUP($A171,'Data Vlaue (Cr)'!$C:$FB,143)</f>
        <v>563.87</v>
      </c>
      <c r="E171" s="50">
        <f>VLOOKUP($A171,'Data Vlaue (Cr)'!$C:$FB,144)</f>
        <v>1513.15</v>
      </c>
      <c r="F171" s="50">
        <f>VLOOKUP($A171,'Data Vlaue (Cr)'!$C:$FB,146)*100</f>
        <v>-62.739999999999995</v>
      </c>
      <c r="G171" s="49">
        <f>VLOOKUP($A171,'Data Vlaue (Cr)'!$C:$FB,43)</f>
        <v>188</v>
      </c>
      <c r="H171" s="49">
        <f>VLOOKUP($A171,'Data Vlaue (Cr)'!$C:$FB,44)</f>
        <v>440</v>
      </c>
      <c r="I171" s="49">
        <f>VLOOKUP($A171,'Data Vlaue (Cr)'!$C:$FB,46)*100</f>
        <v>-57.379999999999995</v>
      </c>
      <c r="J171" s="51">
        <f>VLOOKUP($A171,'Data Vlaue (Cr)'!$C:$FB,59)</f>
        <v>250</v>
      </c>
      <c r="K171" s="51">
        <f>VLOOKUP($A171,'Data Vlaue (Cr)'!$C:$FB,60)</f>
        <v>678</v>
      </c>
      <c r="L171" s="51">
        <f>VLOOKUP($A171,'Data Vlaue (Cr)'!$C:$FB,62)*100</f>
        <v>-63.04</v>
      </c>
      <c r="M171" s="51">
        <f>VLOOKUP($A171,'Data Vlaue (Cr)'!$C:$FB,63)</f>
        <v>117</v>
      </c>
      <c r="N171" s="51">
        <f>VLOOKUP($A171,'Data Vlaue (Cr)'!$C:$FB,64)</f>
        <v>367</v>
      </c>
      <c r="O171" s="51">
        <f>VLOOKUP($A171,'Data Vlaue (Cr)'!$C:$FB,66)*100</f>
        <v>-68.08</v>
      </c>
    </row>
    <row r="172" spans="1:15" x14ac:dyDescent="0.25">
      <c r="A172" s="101" t="str">
        <f>'Data Vlaue (Cr)'!C167</f>
        <v>POLYCAB</v>
      </c>
      <c r="B172" s="50">
        <f>VLOOKUP($A172,'Data Vlaue (Cr)'!$C:$FB,8)</f>
        <v>7730</v>
      </c>
      <c r="C172" s="50">
        <f>VLOOKUP($A172,'Data Vlaue (Cr)'!$C:$FB,11)*100</f>
        <v>1.3</v>
      </c>
      <c r="D172" s="50">
        <f>VLOOKUP($A172,'Data Vlaue (Cr)'!$C:$FB,143)</f>
        <v>3751.3</v>
      </c>
      <c r="E172" s="50">
        <f>VLOOKUP($A172,'Data Vlaue (Cr)'!$C:$FB,144)</f>
        <v>1092.08</v>
      </c>
      <c r="F172" s="50">
        <f>VLOOKUP($A172,'Data Vlaue (Cr)'!$C:$FB,146)*100</f>
        <v>243.5</v>
      </c>
      <c r="G172" s="49">
        <f>VLOOKUP($A172,'Data Vlaue (Cr)'!$C:$FB,43)</f>
        <v>416</v>
      </c>
      <c r="H172" s="49">
        <f>VLOOKUP($A172,'Data Vlaue (Cr)'!$C:$FB,44)</f>
        <v>246</v>
      </c>
      <c r="I172" s="49">
        <f>VLOOKUP($A172,'Data Vlaue (Cr)'!$C:$FB,46)*100</f>
        <v>69.22</v>
      </c>
      <c r="J172" s="51">
        <f>VLOOKUP($A172,'Data Vlaue (Cr)'!$C:$FB,59)</f>
        <v>2572</v>
      </c>
      <c r="K172" s="51">
        <f>VLOOKUP($A172,'Data Vlaue (Cr)'!$C:$FB,60)</f>
        <v>514</v>
      </c>
      <c r="L172" s="51">
        <f>VLOOKUP($A172,'Data Vlaue (Cr)'!$C:$FB,62)*100</f>
        <v>400</v>
      </c>
      <c r="M172" s="51">
        <f>VLOOKUP($A172,'Data Vlaue (Cr)'!$C:$FB,63)</f>
        <v>685</v>
      </c>
      <c r="N172" s="51">
        <f>VLOOKUP($A172,'Data Vlaue (Cr)'!$C:$FB,64)</f>
        <v>343</v>
      </c>
      <c r="O172" s="51">
        <f>VLOOKUP($A172,'Data Vlaue (Cr)'!$C:$FB,66)*100</f>
        <v>99.49</v>
      </c>
    </row>
    <row r="173" spans="1:15" x14ac:dyDescent="0.25">
      <c r="A173" s="101" t="str">
        <f>'Data Vlaue (Cr)'!C168</f>
        <v>POWERGRID</v>
      </c>
      <c r="B173" s="50">
        <f>VLOOKUP($A173,'Data Vlaue (Cr)'!$C:$FB,8)</f>
        <v>289.14999999999998</v>
      </c>
      <c r="C173" s="50">
        <f>VLOOKUP($A173,'Data Vlaue (Cr)'!$C:$FB,11)*100</f>
        <v>1.05</v>
      </c>
      <c r="D173" s="50">
        <f>VLOOKUP($A173,'Data Vlaue (Cr)'!$C:$FB,143)</f>
        <v>1750.17</v>
      </c>
      <c r="E173" s="50">
        <f>VLOOKUP($A173,'Data Vlaue (Cr)'!$C:$FB,144)</f>
        <v>1119.57</v>
      </c>
      <c r="F173" s="50">
        <f>VLOOKUP($A173,'Data Vlaue (Cr)'!$C:$FB,146)*100</f>
        <v>56.330000000000005</v>
      </c>
      <c r="G173" s="49">
        <f>VLOOKUP($A173,'Data Vlaue (Cr)'!$C:$FB,43)</f>
        <v>300</v>
      </c>
      <c r="H173" s="49">
        <f>VLOOKUP($A173,'Data Vlaue (Cr)'!$C:$FB,44)</f>
        <v>219</v>
      </c>
      <c r="I173" s="49">
        <f>VLOOKUP($A173,'Data Vlaue (Cr)'!$C:$FB,46)*100</f>
        <v>37.130000000000003</v>
      </c>
      <c r="J173" s="51">
        <f>VLOOKUP($A173,'Data Vlaue (Cr)'!$C:$FB,59)</f>
        <v>1004</v>
      </c>
      <c r="K173" s="51">
        <f>VLOOKUP($A173,'Data Vlaue (Cr)'!$C:$FB,60)</f>
        <v>565</v>
      </c>
      <c r="L173" s="51">
        <f>VLOOKUP($A173,'Data Vlaue (Cr)'!$C:$FB,62)*100</f>
        <v>77.680000000000007</v>
      </c>
      <c r="M173" s="51">
        <f>VLOOKUP($A173,'Data Vlaue (Cr)'!$C:$FB,63)</f>
        <v>418</v>
      </c>
      <c r="N173" s="51">
        <f>VLOOKUP($A173,'Data Vlaue (Cr)'!$C:$FB,64)</f>
        <v>331</v>
      </c>
      <c r="O173" s="51">
        <f>VLOOKUP($A173,'Data Vlaue (Cr)'!$C:$FB,66)*100</f>
        <v>26.06</v>
      </c>
    </row>
    <row r="174" spans="1:15" x14ac:dyDescent="0.25">
      <c r="A174" s="101" t="str">
        <f>'Data Vlaue (Cr)'!C169</f>
        <v>POWERINDIA</v>
      </c>
      <c r="B174" s="50">
        <f>VLOOKUP($A174,'Data Vlaue (Cr)'!$C:$FB,8)</f>
        <v>17645</v>
      </c>
      <c r="C174" s="50">
        <f>VLOOKUP($A174,'Data Vlaue (Cr)'!$C:$FB,11)*100</f>
        <v>-0.49</v>
      </c>
      <c r="D174" s="50">
        <f>VLOOKUP($A174,'Data Vlaue (Cr)'!$C:$FB,143)</f>
        <v>80.44</v>
      </c>
      <c r="E174" s="50">
        <f>VLOOKUP($A174,'Data Vlaue (Cr)'!$C:$FB,144)</f>
        <v>117.69</v>
      </c>
      <c r="F174" s="50">
        <f>VLOOKUP($A174,'Data Vlaue (Cr)'!$C:$FB,146)*100</f>
        <v>-31.65</v>
      </c>
      <c r="G174" s="49">
        <f>VLOOKUP($A174,'Data Vlaue (Cr)'!$C:$FB,43)</f>
        <v>30</v>
      </c>
      <c r="H174" s="49">
        <f>VLOOKUP($A174,'Data Vlaue (Cr)'!$C:$FB,44)</f>
        <v>30</v>
      </c>
      <c r="I174" s="49">
        <f>VLOOKUP($A174,'Data Vlaue (Cr)'!$C:$FB,46)*100</f>
        <v>-0.57999999999999996</v>
      </c>
      <c r="J174" s="51">
        <f>VLOOKUP($A174,'Data Vlaue (Cr)'!$C:$FB,59)</f>
        <v>40</v>
      </c>
      <c r="K174" s="51">
        <f>VLOOKUP($A174,'Data Vlaue (Cr)'!$C:$FB,60)</f>
        <v>67</v>
      </c>
      <c r="L174" s="51">
        <f>VLOOKUP($A174,'Data Vlaue (Cr)'!$C:$FB,62)*100</f>
        <v>-40.21</v>
      </c>
      <c r="M174" s="51">
        <f>VLOOKUP($A174,'Data Vlaue (Cr)'!$C:$FB,63)</f>
        <v>8</v>
      </c>
      <c r="N174" s="51">
        <f>VLOOKUP($A174,'Data Vlaue (Cr)'!$C:$FB,64)</f>
        <v>16</v>
      </c>
      <c r="O174" s="51">
        <f>VLOOKUP($A174,'Data Vlaue (Cr)'!$C:$FB,66)*100</f>
        <v>-51.43</v>
      </c>
    </row>
    <row r="175" spans="1:15" x14ac:dyDescent="0.25">
      <c r="A175" s="101" t="str">
        <f>'Data Vlaue (Cr)'!C170</f>
        <v>PPLPHARMA</v>
      </c>
      <c r="B175" s="50">
        <f>VLOOKUP($A175,'Data Vlaue (Cr)'!$C:$FB,8)</f>
        <v>201.69</v>
      </c>
      <c r="C175" s="50">
        <f>VLOOKUP($A175,'Data Vlaue (Cr)'!$C:$FB,11)*100</f>
        <v>2.0299999999999998</v>
      </c>
      <c r="D175" s="50">
        <f>VLOOKUP($A175,'Data Vlaue (Cr)'!$C:$FB,143)</f>
        <v>1592.32</v>
      </c>
      <c r="E175" s="50">
        <f>VLOOKUP($A175,'Data Vlaue (Cr)'!$C:$FB,144)</f>
        <v>533.94000000000005</v>
      </c>
      <c r="F175" s="50">
        <f>VLOOKUP($A175,'Data Vlaue (Cr)'!$C:$FB,146)*100</f>
        <v>198.22</v>
      </c>
      <c r="G175" s="49">
        <f>VLOOKUP($A175,'Data Vlaue (Cr)'!$C:$FB,43)</f>
        <v>301</v>
      </c>
      <c r="H175" s="49">
        <f>VLOOKUP($A175,'Data Vlaue (Cr)'!$C:$FB,44)</f>
        <v>114</v>
      </c>
      <c r="I175" s="49">
        <f>VLOOKUP($A175,'Data Vlaue (Cr)'!$C:$FB,46)*100</f>
        <v>164.14</v>
      </c>
      <c r="J175" s="51">
        <f>VLOOKUP($A175,'Data Vlaue (Cr)'!$C:$FB,59)</f>
        <v>887</v>
      </c>
      <c r="K175" s="51">
        <f>VLOOKUP($A175,'Data Vlaue (Cr)'!$C:$FB,60)</f>
        <v>324</v>
      </c>
      <c r="L175" s="51">
        <f>VLOOKUP($A175,'Data Vlaue (Cr)'!$C:$FB,62)*100</f>
        <v>173.69</v>
      </c>
      <c r="M175" s="51">
        <f>VLOOKUP($A175,'Data Vlaue (Cr)'!$C:$FB,63)</f>
        <v>359</v>
      </c>
      <c r="N175" s="51">
        <f>VLOOKUP($A175,'Data Vlaue (Cr)'!$C:$FB,64)</f>
        <v>93</v>
      </c>
      <c r="O175" s="51">
        <f>VLOOKUP($A175,'Data Vlaue (Cr)'!$C:$FB,66)*100</f>
        <v>288.11</v>
      </c>
    </row>
    <row r="176" spans="1:15" x14ac:dyDescent="0.25">
      <c r="A176" s="101" t="str">
        <f>'Data Vlaue (Cr)'!C171</f>
        <v>PRESTIGE</v>
      </c>
      <c r="B176" s="50">
        <f>VLOOKUP($A176,'Data Vlaue (Cr)'!$C:$FB,8)</f>
        <v>1621.6</v>
      </c>
      <c r="C176" s="50">
        <f>VLOOKUP($A176,'Data Vlaue (Cr)'!$C:$FB,11)*100</f>
        <v>2.44</v>
      </c>
      <c r="D176" s="50">
        <f>VLOOKUP($A176,'Data Vlaue (Cr)'!$C:$FB,143)</f>
        <v>2138.63</v>
      </c>
      <c r="E176" s="50">
        <f>VLOOKUP($A176,'Data Vlaue (Cr)'!$C:$FB,144)</f>
        <v>3531.33</v>
      </c>
      <c r="F176" s="50">
        <f>VLOOKUP($A176,'Data Vlaue (Cr)'!$C:$FB,146)*100</f>
        <v>-39.44</v>
      </c>
      <c r="G176" s="49">
        <f>VLOOKUP($A176,'Data Vlaue (Cr)'!$C:$FB,43)</f>
        <v>265</v>
      </c>
      <c r="H176" s="49">
        <f>VLOOKUP($A176,'Data Vlaue (Cr)'!$C:$FB,44)</f>
        <v>518</v>
      </c>
      <c r="I176" s="49">
        <f>VLOOKUP($A176,'Data Vlaue (Cr)'!$C:$FB,46)*100</f>
        <v>-48.83</v>
      </c>
      <c r="J176" s="51">
        <f>VLOOKUP($A176,'Data Vlaue (Cr)'!$C:$FB,59)</f>
        <v>1339</v>
      </c>
      <c r="K176" s="51">
        <f>VLOOKUP($A176,'Data Vlaue (Cr)'!$C:$FB,60)</f>
        <v>2116</v>
      </c>
      <c r="L176" s="51">
        <f>VLOOKUP($A176,'Data Vlaue (Cr)'!$C:$FB,62)*100</f>
        <v>-36.75</v>
      </c>
      <c r="M176" s="51">
        <f>VLOOKUP($A176,'Data Vlaue (Cr)'!$C:$FB,63)</f>
        <v>485</v>
      </c>
      <c r="N176" s="51">
        <f>VLOOKUP($A176,'Data Vlaue (Cr)'!$C:$FB,64)</f>
        <v>901</v>
      </c>
      <c r="O176" s="51">
        <f>VLOOKUP($A176,'Data Vlaue (Cr)'!$C:$FB,66)*100</f>
        <v>-46.17</v>
      </c>
    </row>
    <row r="177" spans="1:15" x14ac:dyDescent="0.25">
      <c r="A177" s="101" t="str">
        <f>'Data Vlaue (Cr)'!C172</f>
        <v>RBLBANK</v>
      </c>
      <c r="B177" s="50">
        <f>VLOOKUP($A177,'Data Vlaue (Cr)'!$C:$FB,8)</f>
        <v>291.60000000000002</v>
      </c>
      <c r="C177" s="50">
        <f>VLOOKUP($A177,'Data Vlaue (Cr)'!$C:$FB,11)*100</f>
        <v>1.71</v>
      </c>
      <c r="D177" s="50">
        <f>VLOOKUP($A177,'Data Vlaue (Cr)'!$C:$FB,143)</f>
        <v>65.72</v>
      </c>
      <c r="E177" s="50">
        <f>VLOOKUP($A177,'Data Vlaue (Cr)'!$C:$FB,144)</f>
        <v>43.04</v>
      </c>
      <c r="F177" s="50">
        <f>VLOOKUP($A177,'Data Vlaue (Cr)'!$C:$FB,146)*100</f>
        <v>52.690000000000005</v>
      </c>
      <c r="G177" s="49">
        <f>VLOOKUP($A177,'Data Vlaue (Cr)'!$C:$FB,43)</f>
        <v>37</v>
      </c>
      <c r="H177" s="49">
        <f>VLOOKUP($A177,'Data Vlaue (Cr)'!$C:$FB,44)</f>
        <v>28</v>
      </c>
      <c r="I177" s="49">
        <f>VLOOKUP($A177,'Data Vlaue (Cr)'!$C:$FB,46)*100</f>
        <v>35.69</v>
      </c>
      <c r="J177" s="51">
        <f>VLOOKUP($A177,'Data Vlaue (Cr)'!$C:$FB,59)</f>
        <v>20</v>
      </c>
      <c r="K177" s="51">
        <f>VLOOKUP($A177,'Data Vlaue (Cr)'!$C:$FB,60)</f>
        <v>11</v>
      </c>
      <c r="L177" s="51">
        <f>VLOOKUP($A177,'Data Vlaue (Cr)'!$C:$FB,62)*100</f>
        <v>79.510000000000005</v>
      </c>
      <c r="M177" s="51">
        <f>VLOOKUP($A177,'Data Vlaue (Cr)'!$C:$FB,63)</f>
        <v>9</v>
      </c>
      <c r="N177" s="51">
        <f>VLOOKUP($A177,'Data Vlaue (Cr)'!$C:$FB,64)</f>
        <v>5</v>
      </c>
      <c r="O177" s="51">
        <f>VLOOKUP($A177,'Data Vlaue (Cr)'!$C:$FB,66)*100</f>
        <v>73.58</v>
      </c>
    </row>
    <row r="178" spans="1:15" x14ac:dyDescent="0.25">
      <c r="A178" s="101" t="str">
        <f>'Data Vlaue (Cr)'!C173</f>
        <v>RECLTD</v>
      </c>
      <c r="B178" s="50">
        <f>VLOOKUP($A178,'Data Vlaue (Cr)'!$C:$FB,8)</f>
        <v>372.95</v>
      </c>
      <c r="C178" s="50">
        <f>VLOOKUP($A178,'Data Vlaue (Cr)'!$C:$FB,11)*100</f>
        <v>0.36</v>
      </c>
      <c r="D178" s="50">
        <f>VLOOKUP($A178,'Data Vlaue (Cr)'!$C:$FB,143)</f>
        <v>1265.5899999999999</v>
      </c>
      <c r="E178" s="50">
        <f>VLOOKUP($A178,'Data Vlaue (Cr)'!$C:$FB,144)</f>
        <v>888.7</v>
      </c>
      <c r="F178" s="50">
        <f>VLOOKUP($A178,'Data Vlaue (Cr)'!$C:$FB,146)*100</f>
        <v>42.41</v>
      </c>
      <c r="G178" s="49">
        <f>VLOOKUP($A178,'Data Vlaue (Cr)'!$C:$FB,43)</f>
        <v>390</v>
      </c>
      <c r="H178" s="49">
        <f>VLOOKUP($A178,'Data Vlaue (Cr)'!$C:$FB,44)</f>
        <v>213</v>
      </c>
      <c r="I178" s="49">
        <f>VLOOKUP($A178,'Data Vlaue (Cr)'!$C:$FB,46)*100</f>
        <v>83.2</v>
      </c>
      <c r="J178" s="51">
        <f>VLOOKUP($A178,'Data Vlaue (Cr)'!$C:$FB,59)</f>
        <v>603</v>
      </c>
      <c r="K178" s="51">
        <f>VLOOKUP($A178,'Data Vlaue (Cr)'!$C:$FB,60)</f>
        <v>458</v>
      </c>
      <c r="L178" s="51">
        <f>VLOOKUP($A178,'Data Vlaue (Cr)'!$C:$FB,62)*100</f>
        <v>31.619999999999997</v>
      </c>
      <c r="M178" s="51">
        <f>VLOOKUP($A178,'Data Vlaue (Cr)'!$C:$FB,63)</f>
        <v>241</v>
      </c>
      <c r="N178" s="51">
        <f>VLOOKUP($A178,'Data Vlaue (Cr)'!$C:$FB,64)</f>
        <v>200</v>
      </c>
      <c r="O178" s="51">
        <f>VLOOKUP($A178,'Data Vlaue (Cr)'!$C:$FB,66)*100</f>
        <v>20.49</v>
      </c>
    </row>
    <row r="179" spans="1:15" x14ac:dyDescent="0.25">
      <c r="A179" s="101" t="str">
        <f>'Data Vlaue (Cr)'!C174</f>
        <v>RELIANCE</v>
      </c>
      <c r="B179" s="50">
        <f>VLOOKUP($A179,'Data Vlaue (Cr)'!$C:$FB,8)</f>
        <v>1381.7</v>
      </c>
      <c r="C179" s="50">
        <f>VLOOKUP($A179,'Data Vlaue (Cr)'!$C:$FB,11)*100</f>
        <v>0.27999999999999997</v>
      </c>
      <c r="D179" s="50">
        <f>VLOOKUP($A179,'Data Vlaue (Cr)'!$C:$FB,143)</f>
        <v>9121.1</v>
      </c>
      <c r="E179" s="50">
        <f>VLOOKUP($A179,'Data Vlaue (Cr)'!$C:$FB,144)</f>
        <v>10555.79</v>
      </c>
      <c r="F179" s="50">
        <f>VLOOKUP($A179,'Data Vlaue (Cr)'!$C:$FB,146)*100</f>
        <v>-13.59</v>
      </c>
      <c r="G179" s="49">
        <f>VLOOKUP($A179,'Data Vlaue (Cr)'!$C:$FB,43)</f>
        <v>1520</v>
      </c>
      <c r="H179" s="49">
        <f>VLOOKUP($A179,'Data Vlaue (Cr)'!$C:$FB,44)</f>
        <v>1566</v>
      </c>
      <c r="I179" s="49">
        <f>VLOOKUP($A179,'Data Vlaue (Cr)'!$C:$FB,46)*100</f>
        <v>-2.92</v>
      </c>
      <c r="J179" s="51">
        <f>VLOOKUP($A179,'Data Vlaue (Cr)'!$C:$FB,59)</f>
        <v>4892</v>
      </c>
      <c r="K179" s="51">
        <f>VLOOKUP($A179,'Data Vlaue (Cr)'!$C:$FB,60)</f>
        <v>5692</v>
      </c>
      <c r="L179" s="51">
        <f>VLOOKUP($A179,'Data Vlaue (Cr)'!$C:$FB,62)*100</f>
        <v>-14.05</v>
      </c>
      <c r="M179" s="51">
        <f>VLOOKUP($A179,'Data Vlaue (Cr)'!$C:$FB,63)</f>
        <v>2587</v>
      </c>
      <c r="N179" s="51">
        <f>VLOOKUP($A179,'Data Vlaue (Cr)'!$C:$FB,64)</f>
        <v>3215</v>
      </c>
      <c r="O179" s="51">
        <f>VLOOKUP($A179,'Data Vlaue (Cr)'!$C:$FB,66)*100</f>
        <v>-19.52</v>
      </c>
    </row>
    <row r="180" spans="1:15" x14ac:dyDescent="0.25">
      <c r="A180" s="101" t="str">
        <f>'Data Vlaue (Cr)'!C175</f>
        <v>RVNL</v>
      </c>
      <c r="B180" s="50">
        <f>VLOOKUP($A180,'Data Vlaue (Cr)'!$C:$FB,8)</f>
        <v>342</v>
      </c>
      <c r="C180" s="50">
        <f>VLOOKUP($A180,'Data Vlaue (Cr)'!$C:$FB,11)*100</f>
        <v>-0.70000000000000007</v>
      </c>
      <c r="D180" s="50">
        <f>VLOOKUP($A180,'Data Vlaue (Cr)'!$C:$FB,143)</f>
        <v>666.1</v>
      </c>
      <c r="E180" s="50">
        <f>VLOOKUP($A180,'Data Vlaue (Cr)'!$C:$FB,144)</f>
        <v>1019.44</v>
      </c>
      <c r="F180" s="50">
        <f>VLOOKUP($A180,'Data Vlaue (Cr)'!$C:$FB,146)*100</f>
        <v>-34.660000000000004</v>
      </c>
      <c r="G180" s="49">
        <f>VLOOKUP($A180,'Data Vlaue (Cr)'!$C:$FB,43)</f>
        <v>173</v>
      </c>
      <c r="H180" s="49">
        <f>VLOOKUP($A180,'Data Vlaue (Cr)'!$C:$FB,44)</f>
        <v>224</v>
      </c>
      <c r="I180" s="49">
        <f>VLOOKUP($A180,'Data Vlaue (Cr)'!$C:$FB,46)*100</f>
        <v>-22.78</v>
      </c>
      <c r="J180" s="51">
        <f>VLOOKUP($A180,'Data Vlaue (Cr)'!$C:$FB,59)</f>
        <v>358</v>
      </c>
      <c r="K180" s="51">
        <f>VLOOKUP($A180,'Data Vlaue (Cr)'!$C:$FB,60)</f>
        <v>593</v>
      </c>
      <c r="L180" s="51">
        <f>VLOOKUP($A180,'Data Vlaue (Cr)'!$C:$FB,62)*100</f>
        <v>-39.629999999999995</v>
      </c>
      <c r="M180" s="51">
        <f>VLOOKUP($A180,'Data Vlaue (Cr)'!$C:$FB,63)</f>
        <v>108</v>
      </c>
      <c r="N180" s="51">
        <f>VLOOKUP($A180,'Data Vlaue (Cr)'!$C:$FB,64)</f>
        <v>162</v>
      </c>
      <c r="O180" s="51">
        <f>VLOOKUP($A180,'Data Vlaue (Cr)'!$C:$FB,66)*100</f>
        <v>-33.229999999999997</v>
      </c>
    </row>
    <row r="181" spans="1:15" x14ac:dyDescent="0.25">
      <c r="A181" s="101" t="str">
        <f>'Data Vlaue (Cr)'!C176</f>
        <v>SAIL</v>
      </c>
      <c r="B181" s="50">
        <f>VLOOKUP($A181,'Data Vlaue (Cr)'!$C:$FB,8)</f>
        <v>132.16999999999999</v>
      </c>
      <c r="C181" s="50">
        <f>VLOOKUP($A181,'Data Vlaue (Cr)'!$C:$FB,11)*100</f>
        <v>-3.1399999999999997</v>
      </c>
      <c r="D181" s="50">
        <f>VLOOKUP($A181,'Data Vlaue (Cr)'!$C:$FB,143)</f>
        <v>2011.49</v>
      </c>
      <c r="E181" s="50">
        <f>VLOOKUP($A181,'Data Vlaue (Cr)'!$C:$FB,144)</f>
        <v>3625</v>
      </c>
      <c r="F181" s="50">
        <f>VLOOKUP($A181,'Data Vlaue (Cr)'!$C:$FB,146)*100</f>
        <v>-44.51</v>
      </c>
      <c r="G181" s="49">
        <f>VLOOKUP($A181,'Data Vlaue (Cr)'!$C:$FB,43)</f>
        <v>511</v>
      </c>
      <c r="H181" s="49">
        <f>VLOOKUP($A181,'Data Vlaue (Cr)'!$C:$FB,44)</f>
        <v>843</v>
      </c>
      <c r="I181" s="49">
        <f>VLOOKUP($A181,'Data Vlaue (Cr)'!$C:$FB,46)*100</f>
        <v>-39.379999999999995</v>
      </c>
      <c r="J181" s="51">
        <f>VLOOKUP($A181,'Data Vlaue (Cr)'!$C:$FB,59)</f>
        <v>1022</v>
      </c>
      <c r="K181" s="51">
        <f>VLOOKUP($A181,'Data Vlaue (Cr)'!$C:$FB,60)</f>
        <v>1742</v>
      </c>
      <c r="L181" s="51">
        <f>VLOOKUP($A181,'Data Vlaue (Cr)'!$C:$FB,62)*100</f>
        <v>-41.36</v>
      </c>
      <c r="M181" s="51">
        <f>VLOOKUP($A181,'Data Vlaue (Cr)'!$C:$FB,63)</f>
        <v>412</v>
      </c>
      <c r="N181" s="51">
        <f>VLOOKUP($A181,'Data Vlaue (Cr)'!$C:$FB,64)</f>
        <v>889</v>
      </c>
      <c r="O181" s="51">
        <f>VLOOKUP($A181,'Data Vlaue (Cr)'!$C:$FB,66)*100</f>
        <v>-53.64</v>
      </c>
    </row>
    <row r="182" spans="1:15" x14ac:dyDescent="0.25">
      <c r="A182" s="101" t="str">
        <f>'Data Vlaue (Cr)'!C177</f>
        <v>SAMMAANCAP</v>
      </c>
      <c r="B182" s="50">
        <f>VLOOKUP($A182,'Data Vlaue (Cr)'!$C:$FB,8)</f>
        <v>162.22</v>
      </c>
      <c r="C182" s="50">
        <f>VLOOKUP($A182,'Data Vlaue (Cr)'!$C:$FB,11)*100</f>
        <v>0.72</v>
      </c>
      <c r="D182" s="50">
        <f>VLOOKUP($A182,'Data Vlaue (Cr)'!$C:$FB,143)</f>
        <v>1612.26</v>
      </c>
      <c r="E182" s="50">
        <f>VLOOKUP($A182,'Data Vlaue (Cr)'!$C:$FB,144)</f>
        <v>758.88</v>
      </c>
      <c r="F182" s="50">
        <f>VLOOKUP($A182,'Data Vlaue (Cr)'!$C:$FB,146)*100</f>
        <v>112.45</v>
      </c>
      <c r="G182" s="49">
        <f>VLOOKUP($A182,'Data Vlaue (Cr)'!$C:$FB,43)</f>
        <v>401</v>
      </c>
      <c r="H182" s="49">
        <f>VLOOKUP($A182,'Data Vlaue (Cr)'!$C:$FB,44)</f>
        <v>230</v>
      </c>
      <c r="I182" s="49">
        <f>VLOOKUP($A182,'Data Vlaue (Cr)'!$C:$FB,46)*100</f>
        <v>74.72999999999999</v>
      </c>
      <c r="J182" s="51">
        <f>VLOOKUP($A182,'Data Vlaue (Cr)'!$C:$FB,59)</f>
        <v>785</v>
      </c>
      <c r="K182" s="51">
        <f>VLOOKUP($A182,'Data Vlaue (Cr)'!$C:$FB,60)</f>
        <v>308</v>
      </c>
      <c r="L182" s="51">
        <f>VLOOKUP($A182,'Data Vlaue (Cr)'!$C:$FB,62)*100</f>
        <v>154.91</v>
      </c>
      <c r="M182" s="51">
        <f>VLOOKUP($A182,'Data Vlaue (Cr)'!$C:$FB,63)</f>
        <v>392</v>
      </c>
      <c r="N182" s="51">
        <f>VLOOKUP($A182,'Data Vlaue (Cr)'!$C:$FB,64)</f>
        <v>220</v>
      </c>
      <c r="O182" s="51">
        <f>VLOOKUP($A182,'Data Vlaue (Cr)'!$C:$FB,66)*100</f>
        <v>77.94</v>
      </c>
    </row>
    <row r="183" spans="1:15" x14ac:dyDescent="0.25">
      <c r="A183" s="101" t="str">
        <f>'Data Vlaue (Cr)'!C178</f>
        <v>SBICARD</v>
      </c>
      <c r="B183" s="50">
        <f>VLOOKUP($A183,'Data Vlaue (Cr)'!$C:$FB,8)</f>
        <v>921.75</v>
      </c>
      <c r="C183" s="50">
        <f>VLOOKUP($A183,'Data Vlaue (Cr)'!$C:$FB,11)*100</f>
        <v>-0.15</v>
      </c>
      <c r="D183" s="50">
        <f>VLOOKUP($A183,'Data Vlaue (Cr)'!$C:$FB,143)</f>
        <v>1023.77</v>
      </c>
      <c r="E183" s="50">
        <f>VLOOKUP($A183,'Data Vlaue (Cr)'!$C:$FB,144)</f>
        <v>1056.6199999999999</v>
      </c>
      <c r="F183" s="50">
        <f>VLOOKUP($A183,'Data Vlaue (Cr)'!$C:$FB,146)*100</f>
        <v>-3.11</v>
      </c>
      <c r="G183" s="49">
        <f>VLOOKUP($A183,'Data Vlaue (Cr)'!$C:$FB,43)</f>
        <v>251</v>
      </c>
      <c r="H183" s="49">
        <f>VLOOKUP($A183,'Data Vlaue (Cr)'!$C:$FB,44)</f>
        <v>224</v>
      </c>
      <c r="I183" s="49">
        <f>VLOOKUP($A183,'Data Vlaue (Cr)'!$C:$FB,46)*100</f>
        <v>11.95</v>
      </c>
      <c r="J183" s="51">
        <f>VLOOKUP($A183,'Data Vlaue (Cr)'!$C:$FB,59)</f>
        <v>512</v>
      </c>
      <c r="K183" s="51">
        <f>VLOOKUP($A183,'Data Vlaue (Cr)'!$C:$FB,60)</f>
        <v>525</v>
      </c>
      <c r="L183" s="51">
        <f>VLOOKUP($A183,'Data Vlaue (Cr)'!$C:$FB,62)*100</f>
        <v>-2.4500000000000002</v>
      </c>
      <c r="M183" s="51">
        <f>VLOOKUP($A183,'Data Vlaue (Cr)'!$C:$FB,63)</f>
        <v>242</v>
      </c>
      <c r="N183" s="51">
        <f>VLOOKUP($A183,'Data Vlaue (Cr)'!$C:$FB,64)</f>
        <v>287</v>
      </c>
      <c r="O183" s="51">
        <f>VLOOKUP($A183,'Data Vlaue (Cr)'!$C:$FB,66)*100</f>
        <v>-15.73</v>
      </c>
    </row>
    <row r="184" spans="1:15" x14ac:dyDescent="0.25">
      <c r="A184" s="101" t="str">
        <f>'Data Vlaue (Cr)'!C179</f>
        <v>SBILIFE</v>
      </c>
      <c r="B184" s="50">
        <f>VLOOKUP($A184,'Data Vlaue (Cr)'!$C:$FB,8)</f>
        <v>1810.4</v>
      </c>
      <c r="C184" s="50">
        <f>VLOOKUP($A184,'Data Vlaue (Cr)'!$C:$FB,11)*100</f>
        <v>0.03</v>
      </c>
      <c r="D184" s="50">
        <f>VLOOKUP($A184,'Data Vlaue (Cr)'!$C:$FB,143)</f>
        <v>2158.94</v>
      </c>
      <c r="E184" s="50">
        <f>VLOOKUP($A184,'Data Vlaue (Cr)'!$C:$FB,144)</f>
        <v>1156.3399999999999</v>
      </c>
      <c r="F184" s="50">
        <f>VLOOKUP($A184,'Data Vlaue (Cr)'!$C:$FB,146)*100</f>
        <v>86.71</v>
      </c>
      <c r="G184" s="49">
        <f>VLOOKUP($A184,'Data Vlaue (Cr)'!$C:$FB,43)</f>
        <v>345</v>
      </c>
      <c r="H184" s="49">
        <f>VLOOKUP($A184,'Data Vlaue (Cr)'!$C:$FB,44)</f>
        <v>210</v>
      </c>
      <c r="I184" s="49">
        <f>VLOOKUP($A184,'Data Vlaue (Cr)'!$C:$FB,46)*100</f>
        <v>63.949999999999996</v>
      </c>
      <c r="J184" s="51">
        <f>VLOOKUP($A184,'Data Vlaue (Cr)'!$C:$FB,59)</f>
        <v>1309</v>
      </c>
      <c r="K184" s="51">
        <f>VLOOKUP($A184,'Data Vlaue (Cr)'!$C:$FB,60)</f>
        <v>663</v>
      </c>
      <c r="L184" s="51">
        <f>VLOOKUP($A184,'Data Vlaue (Cr)'!$C:$FB,62)*100</f>
        <v>97.44</v>
      </c>
      <c r="M184" s="51">
        <f>VLOOKUP($A184,'Data Vlaue (Cr)'!$C:$FB,63)</f>
        <v>455</v>
      </c>
      <c r="N184" s="51">
        <f>VLOOKUP($A184,'Data Vlaue (Cr)'!$C:$FB,64)</f>
        <v>275</v>
      </c>
      <c r="O184" s="51">
        <f>VLOOKUP($A184,'Data Vlaue (Cr)'!$C:$FB,66)*100</f>
        <v>65.33</v>
      </c>
    </row>
    <row r="185" spans="1:15" x14ac:dyDescent="0.25">
      <c r="A185" s="101" t="str">
        <f>'Data Vlaue (Cr)'!C180</f>
        <v>SBIN</v>
      </c>
      <c r="B185" s="50">
        <f>VLOOKUP($A185,'Data Vlaue (Cr)'!$C:$FB,8)</f>
        <v>880.65</v>
      </c>
      <c r="C185" s="50">
        <f>VLOOKUP($A185,'Data Vlaue (Cr)'!$C:$FB,11)*100</f>
        <v>2.15</v>
      </c>
      <c r="D185" s="50">
        <f>VLOOKUP($A185,'Data Vlaue (Cr)'!$C:$FB,143)</f>
        <v>23557.97</v>
      </c>
      <c r="E185" s="50">
        <f>VLOOKUP($A185,'Data Vlaue (Cr)'!$C:$FB,144)</f>
        <v>6780.35</v>
      </c>
      <c r="F185" s="50">
        <f>VLOOKUP($A185,'Data Vlaue (Cr)'!$C:$FB,146)*100</f>
        <v>247.44000000000003</v>
      </c>
      <c r="G185" s="49">
        <f>VLOOKUP($A185,'Data Vlaue (Cr)'!$C:$FB,43)</f>
        <v>2175</v>
      </c>
      <c r="H185" s="49">
        <f>VLOOKUP($A185,'Data Vlaue (Cr)'!$C:$FB,44)</f>
        <v>937</v>
      </c>
      <c r="I185" s="49">
        <f>VLOOKUP($A185,'Data Vlaue (Cr)'!$C:$FB,46)*100</f>
        <v>132.21</v>
      </c>
      <c r="J185" s="51">
        <f>VLOOKUP($A185,'Data Vlaue (Cr)'!$C:$FB,59)</f>
        <v>14060</v>
      </c>
      <c r="K185" s="51">
        <f>VLOOKUP($A185,'Data Vlaue (Cr)'!$C:$FB,60)</f>
        <v>3714</v>
      </c>
      <c r="L185" s="51">
        <f>VLOOKUP($A185,'Data Vlaue (Cr)'!$C:$FB,62)*100</f>
        <v>278.52000000000004</v>
      </c>
      <c r="M185" s="51">
        <f>VLOOKUP($A185,'Data Vlaue (Cr)'!$C:$FB,63)</f>
        <v>7098</v>
      </c>
      <c r="N185" s="51">
        <f>VLOOKUP($A185,'Data Vlaue (Cr)'!$C:$FB,64)</f>
        <v>2161</v>
      </c>
      <c r="O185" s="51">
        <f>VLOOKUP($A185,'Data Vlaue (Cr)'!$C:$FB,66)*100</f>
        <v>228.42</v>
      </c>
    </row>
    <row r="186" spans="1:15" x14ac:dyDescent="0.25">
      <c r="A186" s="101" t="str">
        <f>'Data Vlaue (Cr)'!C181</f>
        <v>SHREECEM</v>
      </c>
      <c r="B186" s="50">
        <f>VLOOKUP($A186,'Data Vlaue (Cr)'!$C:$FB,8)</f>
        <v>29445</v>
      </c>
      <c r="C186" s="50">
        <f>VLOOKUP($A186,'Data Vlaue (Cr)'!$C:$FB,11)*100</f>
        <v>-0.13999999999999999</v>
      </c>
      <c r="D186" s="50">
        <f>VLOOKUP($A186,'Data Vlaue (Cr)'!$C:$FB,143)</f>
        <v>96.11</v>
      </c>
      <c r="E186" s="50">
        <f>VLOOKUP($A186,'Data Vlaue (Cr)'!$C:$FB,144)</f>
        <v>200.95</v>
      </c>
      <c r="F186" s="50">
        <f>VLOOKUP($A186,'Data Vlaue (Cr)'!$C:$FB,146)*100</f>
        <v>-52.17</v>
      </c>
      <c r="G186" s="49">
        <f>VLOOKUP($A186,'Data Vlaue (Cr)'!$C:$FB,43)</f>
        <v>44</v>
      </c>
      <c r="H186" s="49">
        <f>VLOOKUP($A186,'Data Vlaue (Cr)'!$C:$FB,44)</f>
        <v>60</v>
      </c>
      <c r="I186" s="49">
        <f>VLOOKUP($A186,'Data Vlaue (Cr)'!$C:$FB,46)*100</f>
        <v>-27.07</v>
      </c>
      <c r="J186" s="51">
        <f>VLOOKUP($A186,'Data Vlaue (Cr)'!$C:$FB,59)</f>
        <v>40</v>
      </c>
      <c r="K186" s="51">
        <f>VLOOKUP($A186,'Data Vlaue (Cr)'!$C:$FB,60)</f>
        <v>57</v>
      </c>
      <c r="L186" s="51">
        <f>VLOOKUP($A186,'Data Vlaue (Cr)'!$C:$FB,62)*100</f>
        <v>-29.630000000000003</v>
      </c>
      <c r="M186" s="51">
        <f>VLOOKUP($A186,'Data Vlaue (Cr)'!$C:$FB,63)</f>
        <v>11</v>
      </c>
      <c r="N186" s="51">
        <f>VLOOKUP($A186,'Data Vlaue (Cr)'!$C:$FB,64)</f>
        <v>79</v>
      </c>
      <c r="O186" s="51">
        <f>VLOOKUP($A186,'Data Vlaue (Cr)'!$C:$FB,66)*100</f>
        <v>-85.940000000000012</v>
      </c>
    </row>
    <row r="187" spans="1:15" x14ac:dyDescent="0.25">
      <c r="A187" s="101" t="str">
        <f>'Data Vlaue (Cr)'!C182</f>
        <v>SHRIRAMFIN</v>
      </c>
      <c r="B187" s="50">
        <f>VLOOKUP($A187,'Data Vlaue (Cr)'!$C:$FB,8)</f>
        <v>665.05</v>
      </c>
      <c r="C187" s="50">
        <f>VLOOKUP($A187,'Data Vlaue (Cr)'!$C:$FB,11)*100</f>
        <v>-0.6</v>
      </c>
      <c r="D187" s="50">
        <f>VLOOKUP($A187,'Data Vlaue (Cr)'!$C:$FB,143)</f>
        <v>885.21</v>
      </c>
      <c r="E187" s="50">
        <f>VLOOKUP($A187,'Data Vlaue (Cr)'!$C:$FB,144)</f>
        <v>795.66</v>
      </c>
      <c r="F187" s="50">
        <f>VLOOKUP($A187,'Data Vlaue (Cr)'!$C:$FB,146)*100</f>
        <v>11.25</v>
      </c>
      <c r="G187" s="49">
        <f>VLOOKUP($A187,'Data Vlaue (Cr)'!$C:$FB,43)</f>
        <v>209</v>
      </c>
      <c r="H187" s="49">
        <f>VLOOKUP($A187,'Data Vlaue (Cr)'!$C:$FB,44)</f>
        <v>205</v>
      </c>
      <c r="I187" s="49">
        <f>VLOOKUP($A187,'Data Vlaue (Cr)'!$C:$FB,46)*100</f>
        <v>2.0699999999999998</v>
      </c>
      <c r="J187" s="51">
        <f>VLOOKUP($A187,'Data Vlaue (Cr)'!$C:$FB,59)</f>
        <v>418</v>
      </c>
      <c r="K187" s="51">
        <f>VLOOKUP($A187,'Data Vlaue (Cr)'!$C:$FB,60)</f>
        <v>366</v>
      </c>
      <c r="L187" s="51">
        <f>VLOOKUP($A187,'Data Vlaue (Cr)'!$C:$FB,62)*100</f>
        <v>14.39</v>
      </c>
      <c r="M187" s="51">
        <f>VLOOKUP($A187,'Data Vlaue (Cr)'!$C:$FB,63)</f>
        <v>240</v>
      </c>
      <c r="N187" s="51">
        <f>VLOOKUP($A187,'Data Vlaue (Cr)'!$C:$FB,64)</f>
        <v>208</v>
      </c>
      <c r="O187" s="51">
        <f>VLOOKUP($A187,'Data Vlaue (Cr)'!$C:$FB,66)*100</f>
        <v>15.459999999999999</v>
      </c>
    </row>
    <row r="188" spans="1:15" x14ac:dyDescent="0.25">
      <c r="A188" s="101" t="str">
        <f>'Data Vlaue (Cr)'!C183</f>
        <v>SIEMENS</v>
      </c>
      <c r="B188" s="50">
        <f>VLOOKUP($A188,'Data Vlaue (Cr)'!$C:$FB,8)</f>
        <v>3147.4</v>
      </c>
      <c r="C188" s="50">
        <f>VLOOKUP($A188,'Data Vlaue (Cr)'!$C:$FB,11)*100</f>
        <v>-0.98</v>
      </c>
      <c r="D188" s="50">
        <f>VLOOKUP($A188,'Data Vlaue (Cr)'!$C:$FB,143)</f>
        <v>761.29</v>
      </c>
      <c r="E188" s="50">
        <f>VLOOKUP($A188,'Data Vlaue (Cr)'!$C:$FB,144)</f>
        <v>641.62</v>
      </c>
      <c r="F188" s="50">
        <f>VLOOKUP($A188,'Data Vlaue (Cr)'!$C:$FB,146)*100</f>
        <v>18.649999999999999</v>
      </c>
      <c r="G188" s="49">
        <f>VLOOKUP($A188,'Data Vlaue (Cr)'!$C:$FB,43)</f>
        <v>163</v>
      </c>
      <c r="H188" s="49">
        <f>VLOOKUP($A188,'Data Vlaue (Cr)'!$C:$FB,44)</f>
        <v>121</v>
      </c>
      <c r="I188" s="49">
        <f>VLOOKUP($A188,'Data Vlaue (Cr)'!$C:$FB,46)*100</f>
        <v>34.729999999999997</v>
      </c>
      <c r="J188" s="51">
        <f>VLOOKUP($A188,'Data Vlaue (Cr)'!$C:$FB,59)</f>
        <v>436</v>
      </c>
      <c r="K188" s="51">
        <f>VLOOKUP($A188,'Data Vlaue (Cr)'!$C:$FB,60)</f>
        <v>332</v>
      </c>
      <c r="L188" s="51">
        <f>VLOOKUP($A188,'Data Vlaue (Cr)'!$C:$FB,62)*100</f>
        <v>31.28</v>
      </c>
      <c r="M188" s="51">
        <f>VLOOKUP($A188,'Data Vlaue (Cr)'!$C:$FB,63)</f>
        <v>136</v>
      </c>
      <c r="N188" s="51">
        <f>VLOOKUP($A188,'Data Vlaue (Cr)'!$C:$FB,64)</f>
        <v>164</v>
      </c>
      <c r="O188" s="51">
        <f>VLOOKUP($A188,'Data Vlaue (Cr)'!$C:$FB,66)*100</f>
        <v>-17.399999999999999</v>
      </c>
    </row>
    <row r="189" spans="1:15" x14ac:dyDescent="0.25">
      <c r="A189" s="101" t="str">
        <f>'Data Vlaue (Cr)'!C216</f>
        <v>ZYDUSLIFE</v>
      </c>
      <c r="B189" s="50">
        <f>VLOOKUP($A189,'Data Vlaue (Cr)'!$C:$FB,8)</f>
        <v>993.45</v>
      </c>
      <c r="C189" s="50">
        <f>VLOOKUP($A189,'Data Vlaue (Cr)'!$C:$FB,11)*100</f>
        <v>-0.1</v>
      </c>
      <c r="D189" s="50">
        <f>VLOOKUP($A189,'Data Vlaue (Cr)'!$C:$FB,143)</f>
        <v>1245.48</v>
      </c>
      <c r="E189" s="50">
        <f>VLOOKUP($A189,'Data Vlaue (Cr)'!$C:$FB,144)</f>
        <v>1558.3</v>
      </c>
      <c r="F189" s="50">
        <f>VLOOKUP($A189,'Data Vlaue (Cr)'!$C:$FB,146)*100</f>
        <v>-20.07</v>
      </c>
      <c r="G189" s="49">
        <f>VLOOKUP($A189,'Data Vlaue (Cr)'!$C:$FB,43)</f>
        <v>351</v>
      </c>
      <c r="H189" s="49">
        <f>VLOOKUP($A189,'Data Vlaue (Cr)'!$C:$FB,44)</f>
        <v>289</v>
      </c>
      <c r="I189" s="49">
        <f>VLOOKUP($A189,'Data Vlaue (Cr)'!$C:$FB,46)*100</f>
        <v>21.310000000000002</v>
      </c>
      <c r="J189" s="51">
        <f>VLOOKUP($A189,'Data Vlaue (Cr)'!$C:$FB,59)</f>
        <v>617</v>
      </c>
      <c r="K189" s="51">
        <f>VLOOKUP($A189,'Data Vlaue (Cr)'!$C:$FB,60)</f>
        <v>1006</v>
      </c>
      <c r="L189" s="51">
        <f>VLOOKUP($A189,'Data Vlaue (Cr)'!$C:$FB,62)*100</f>
        <v>-38.64</v>
      </c>
      <c r="M189" s="51">
        <f>VLOOKUP($A189,'Data Vlaue (Cr)'!$C:$FB,63)</f>
        <v>248</v>
      </c>
      <c r="N189" s="51">
        <f>VLOOKUP($A189,'Data Vlaue (Cr)'!$C:$FB,64)</f>
        <v>221</v>
      </c>
      <c r="O189" s="51">
        <f>VLOOKUP($A189,'Data Vlaue (Cr)'!$C:$FB,66)*100</f>
        <v>12.16</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19786814.670000009</v>
      </c>
      <c r="E212" s="131">
        <f>SUM(E7:E211)</f>
        <v>13647029.359999996</v>
      </c>
      <c r="F212" s="132">
        <f>(D212-E212)/E212</f>
        <v>0.44989903282511995</v>
      </c>
      <c r="G212" s="131">
        <f>SUM(G7:G211)</f>
        <v>86647</v>
      </c>
      <c r="H212" s="131">
        <f>SUM(H7:H211)</f>
        <v>80565</v>
      </c>
      <c r="I212" s="132">
        <f>(G212-H212)/H212</f>
        <v>7.5491838887854532E-2</v>
      </c>
      <c r="J212" s="131">
        <f>SUM(J7:J211)</f>
        <v>10316376</v>
      </c>
      <c r="K212" s="131">
        <f>SUM(K7:K211)</f>
        <v>7266741</v>
      </c>
      <c r="L212" s="132">
        <f>(J212-K212)/K212</f>
        <v>0.41967024832727629</v>
      </c>
      <c r="M212" s="131">
        <f>SUM(M7:M211)</f>
        <v>9481388</v>
      </c>
      <c r="N212" s="131">
        <f>SUM(N7:N211)</f>
        <v>6416430</v>
      </c>
      <c r="O212" s="132">
        <f>(M212-N212)/N212</f>
        <v>0.47767341029201599</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45940</v>
      </c>
      <c r="C6" s="34" t="s">
        <v>328</v>
      </c>
      <c r="D6" s="21">
        <f>B6</f>
        <v>45940</v>
      </c>
      <c r="E6" s="34" t="s">
        <v>322</v>
      </c>
      <c r="F6" s="34" t="s">
        <v>328</v>
      </c>
      <c r="G6" s="21">
        <f>D6</f>
        <v>45940</v>
      </c>
      <c r="H6" s="34" t="s">
        <v>322</v>
      </c>
      <c r="I6" s="34" t="s">
        <v>328</v>
      </c>
      <c r="J6" s="21">
        <f>D6</f>
        <v>45940</v>
      </c>
      <c r="K6" s="34" t="s">
        <v>322</v>
      </c>
      <c r="L6" s="34" t="s">
        <v>328</v>
      </c>
      <c r="M6" s="21">
        <f>D6</f>
        <v>45940</v>
      </c>
      <c r="N6" s="34" t="s">
        <v>322</v>
      </c>
      <c r="O6" s="34" t="s">
        <v>328</v>
      </c>
    </row>
    <row r="7" spans="1:15" x14ac:dyDescent="0.25">
      <c r="A7" s="101" t="str">
        <f>'Data shares'!C2</f>
        <v>360ONE</v>
      </c>
      <c r="B7" s="50">
        <f>VLOOKUP($A7,'Data shares'!$C:$FB,7)</f>
        <v>1095.0999999999999</v>
      </c>
      <c r="C7" s="50">
        <f>VLOOKUP($A7,'Data shares'!$C:$FB,10)*100</f>
        <v>0.9900000000000001</v>
      </c>
      <c r="D7" s="49">
        <f>VLOOKUP($A7,'Data shares'!$C:$FB,66)</f>
        <v>1488500</v>
      </c>
      <c r="E7" s="49">
        <f>VLOOKUP($A7,'Data shares'!$C:$FB,67)</f>
        <v>1249000</v>
      </c>
      <c r="F7" s="50">
        <f>VLOOKUP($A7,'Data shares'!$C:$FB,69)*100</f>
        <v>19.18</v>
      </c>
      <c r="G7" s="49">
        <f>VLOOKUP($A7,'Data shares'!$C:$FB,42)</f>
        <v>413000</v>
      </c>
      <c r="H7" s="49">
        <f>VLOOKUP($A7,'Data shares'!$C:$FB,43)</f>
        <v>336000</v>
      </c>
      <c r="I7" s="50">
        <f>VLOOKUP($A7,'Data shares'!$C:$FB,45)*100</f>
        <v>22.919999999999998</v>
      </c>
      <c r="J7" s="49">
        <f>VLOOKUP($A7,'Data shares'!$C:$FB,58)</f>
        <v>922500</v>
      </c>
      <c r="K7" s="49">
        <f>VLOOKUP($A7,'Data shares'!$C:$FB,59)</f>
        <v>710500</v>
      </c>
      <c r="L7" s="50">
        <f>VLOOKUP($A7,'Data shares'!$C:$FB,61)*100</f>
        <v>29.84</v>
      </c>
      <c r="M7" s="49">
        <f>VLOOKUP($A7,'Data shares'!$C:$FB,62)</f>
        <v>153000</v>
      </c>
      <c r="N7" s="49">
        <f>VLOOKUP($A7,'Data shares'!$C:$FB,63)</f>
        <v>202500</v>
      </c>
      <c r="O7" s="140">
        <f>VLOOKUP($A7,'Data shares'!$C:$FB,65)*100</f>
        <v>-24.44</v>
      </c>
    </row>
    <row r="8" spans="1:15" x14ac:dyDescent="0.25">
      <c r="A8" s="101" t="str">
        <f>'Data shares'!C3</f>
        <v>ABB</v>
      </c>
      <c r="B8" s="50">
        <f>VLOOKUP($A8,'Data shares'!$C:$FB,7)</f>
        <v>5186</v>
      </c>
      <c r="C8" s="50">
        <f>VLOOKUP($A8,'Data shares'!$C:$FB,10)*100</f>
        <v>0.77</v>
      </c>
      <c r="D8" s="49">
        <f>VLOOKUP($A8,'Data shares'!$C:$FB,66)</f>
        <v>1791375</v>
      </c>
      <c r="E8" s="49">
        <f>VLOOKUP($A8,'Data shares'!$C:$FB,67)</f>
        <v>2727750</v>
      </c>
      <c r="F8" s="50">
        <f>VLOOKUP($A8,'Data shares'!$C:$FB,69)*100</f>
        <v>-34.33</v>
      </c>
      <c r="G8" s="49">
        <f>VLOOKUP($A8,'Data shares'!$C:$FB,42)</f>
        <v>313125</v>
      </c>
      <c r="H8" s="49">
        <f>VLOOKUP($A8,'Data shares'!$C:$FB,43)</f>
        <v>449000</v>
      </c>
      <c r="I8" s="50">
        <f>VLOOKUP($A8,'Data shares'!$C:$FB,45)*100</f>
        <v>-30.259999999999998</v>
      </c>
      <c r="J8" s="49">
        <f>VLOOKUP($A8,'Data shares'!$C:$FB,58)</f>
        <v>1094750</v>
      </c>
      <c r="K8" s="49">
        <f>VLOOKUP($A8,'Data shares'!$C:$FB,59)</f>
        <v>1472125</v>
      </c>
      <c r="L8" s="50">
        <f>VLOOKUP($A8,'Data shares'!$C:$FB,61)*100</f>
        <v>-25.629999999999995</v>
      </c>
      <c r="M8" s="49">
        <f>VLOOKUP($A8,'Data shares'!$C:$FB,62)</f>
        <v>383500</v>
      </c>
      <c r="N8" s="49">
        <f>VLOOKUP($A8,'Data shares'!$C:$FB,63)</f>
        <v>806625</v>
      </c>
      <c r="O8" s="140">
        <f>VLOOKUP($A8,'Data shares'!$C:$FB,65)*100</f>
        <v>-52.459999999999994</v>
      </c>
    </row>
    <row r="9" spans="1:15" x14ac:dyDescent="0.25">
      <c r="A9" s="101" t="str">
        <f>'Data shares'!C4</f>
        <v>ABCAPITAL</v>
      </c>
      <c r="B9" s="50">
        <f>VLOOKUP($A9,'Data shares'!$C:$FB,7)</f>
        <v>293.35000000000002</v>
      </c>
      <c r="C9" s="50">
        <f>VLOOKUP($A9,'Data shares'!$C:$FB,10)*100</f>
        <v>-1.54</v>
      </c>
      <c r="D9" s="49">
        <f>VLOOKUP($A9,'Data shares'!$C:$FB,66)</f>
        <v>35640700</v>
      </c>
      <c r="E9" s="49">
        <f>VLOOKUP($A9,'Data shares'!$C:$FB,67)</f>
        <v>27924800</v>
      </c>
      <c r="F9" s="50">
        <f>VLOOKUP($A9,'Data shares'!$C:$FB,69)*100</f>
        <v>27.63</v>
      </c>
      <c r="G9" s="49">
        <f>VLOOKUP($A9,'Data shares'!$C:$FB,42)</f>
        <v>8435100</v>
      </c>
      <c r="H9" s="49">
        <f>VLOOKUP($A9,'Data shares'!$C:$FB,43)</f>
        <v>6609200</v>
      </c>
      <c r="I9" s="50">
        <f>VLOOKUP($A9,'Data shares'!$C:$FB,45)*100</f>
        <v>27.63</v>
      </c>
      <c r="J9" s="49">
        <f>VLOOKUP($A9,'Data shares'!$C:$FB,58)</f>
        <v>19685000</v>
      </c>
      <c r="K9" s="49">
        <f>VLOOKUP($A9,'Data shares'!$C:$FB,59)</f>
        <v>14774600</v>
      </c>
      <c r="L9" s="50">
        <f>VLOOKUP($A9,'Data shares'!$C:$FB,61)*100</f>
        <v>33.239999999999995</v>
      </c>
      <c r="M9" s="49">
        <f>VLOOKUP($A9,'Data shares'!$C:$FB,62)</f>
        <v>7520600</v>
      </c>
      <c r="N9" s="49">
        <f>VLOOKUP($A9,'Data shares'!$C:$FB,63)</f>
        <v>6541000</v>
      </c>
      <c r="O9" s="140">
        <f>VLOOKUP($A9,'Data shares'!$C:$FB,65)*100</f>
        <v>14.979999999999999</v>
      </c>
    </row>
    <row r="10" spans="1:15" x14ac:dyDescent="0.25">
      <c r="A10" s="101" t="str">
        <f>'Data shares'!C5</f>
        <v>ADANIENSOL</v>
      </c>
      <c r="B10" s="50">
        <f>VLOOKUP($A10,'Data shares'!$C:$FB,7)</f>
        <v>925.85</v>
      </c>
      <c r="C10" s="50">
        <f>VLOOKUP($A10,'Data shares'!$C:$FB,10)*100</f>
        <v>-0.65</v>
      </c>
      <c r="D10" s="49">
        <f>VLOOKUP($A10,'Data shares'!$C:$FB,66)</f>
        <v>7223175</v>
      </c>
      <c r="E10" s="49">
        <f>VLOOKUP($A10,'Data shares'!$C:$FB,67)</f>
        <v>7107750</v>
      </c>
      <c r="F10" s="50">
        <f>VLOOKUP($A10,'Data shares'!$C:$FB,69)*100</f>
        <v>1.6199999999999999</v>
      </c>
      <c r="G10" s="49">
        <f>VLOOKUP($A10,'Data shares'!$C:$FB,42)</f>
        <v>1789425</v>
      </c>
      <c r="H10" s="49">
        <f>VLOOKUP($A10,'Data shares'!$C:$FB,43)</f>
        <v>1534275</v>
      </c>
      <c r="I10" s="50">
        <f>VLOOKUP($A10,'Data shares'!$C:$FB,45)*100</f>
        <v>16.63</v>
      </c>
      <c r="J10" s="49">
        <f>VLOOKUP($A10,'Data shares'!$C:$FB,58)</f>
        <v>4122900</v>
      </c>
      <c r="K10" s="49">
        <f>VLOOKUP($A10,'Data shares'!$C:$FB,59)</f>
        <v>4342950</v>
      </c>
      <c r="L10" s="50">
        <f>VLOOKUP($A10,'Data shares'!$C:$FB,61)*100</f>
        <v>-5.07</v>
      </c>
      <c r="M10" s="49">
        <f>VLOOKUP($A10,'Data shares'!$C:$FB,62)</f>
        <v>1310850</v>
      </c>
      <c r="N10" s="49">
        <f>VLOOKUP($A10,'Data shares'!$C:$FB,63)</f>
        <v>1230525</v>
      </c>
      <c r="O10" s="140">
        <f>VLOOKUP($A10,'Data shares'!$C:$FB,65)*100</f>
        <v>6.5299999999999994</v>
      </c>
    </row>
    <row r="11" spans="1:15" x14ac:dyDescent="0.25">
      <c r="A11" s="101" t="str">
        <f>'Data shares'!C6</f>
        <v>ADANIENT</v>
      </c>
      <c r="B11" s="50">
        <f>VLOOKUP($A11,'Data shares'!$C:$FB,7)</f>
        <v>2550.9</v>
      </c>
      <c r="C11" s="50">
        <f>VLOOKUP($A11,'Data shares'!$C:$FB,10)*100</f>
        <v>0.33</v>
      </c>
      <c r="D11" s="49">
        <f>VLOOKUP($A11,'Data shares'!$C:$FB,66)</f>
        <v>11472600</v>
      </c>
      <c r="E11" s="49">
        <f>VLOOKUP($A11,'Data shares'!$C:$FB,67)</f>
        <v>12392400</v>
      </c>
      <c r="F11" s="50">
        <f>VLOOKUP($A11,'Data shares'!$C:$FB,69)*100</f>
        <v>-7.42</v>
      </c>
      <c r="G11" s="49">
        <f>VLOOKUP($A11,'Data shares'!$C:$FB,42)</f>
        <v>1428300</v>
      </c>
      <c r="H11" s="49">
        <f>VLOOKUP($A11,'Data shares'!$C:$FB,43)</f>
        <v>1263000</v>
      </c>
      <c r="I11" s="50">
        <f>VLOOKUP($A11,'Data shares'!$C:$FB,45)*100</f>
        <v>13.089999999999998</v>
      </c>
      <c r="J11" s="49">
        <f>VLOOKUP($A11,'Data shares'!$C:$FB,58)</f>
        <v>7362600</v>
      </c>
      <c r="K11" s="49">
        <f>VLOOKUP($A11,'Data shares'!$C:$FB,59)</f>
        <v>8328300</v>
      </c>
      <c r="L11" s="50">
        <f>VLOOKUP($A11,'Data shares'!$C:$FB,61)*100</f>
        <v>-11.600000000000001</v>
      </c>
      <c r="M11" s="49">
        <f>VLOOKUP($A11,'Data shares'!$C:$FB,62)</f>
        <v>2681700</v>
      </c>
      <c r="N11" s="49">
        <f>VLOOKUP($A11,'Data shares'!$C:$FB,63)</f>
        <v>2801100</v>
      </c>
      <c r="O11" s="140">
        <f>VLOOKUP($A11,'Data shares'!$C:$FB,65)*100</f>
        <v>-4.26</v>
      </c>
    </row>
    <row r="12" spans="1:15" x14ac:dyDescent="0.25">
      <c r="A12" s="101" t="str">
        <f>'Data shares'!C7</f>
        <v>ADANIGREEN</v>
      </c>
      <c r="B12" s="50">
        <f>VLOOKUP($A12,'Data shares'!$C:$FB,7)</f>
        <v>1064.3</v>
      </c>
      <c r="C12" s="50">
        <f>VLOOKUP($A12,'Data shares'!$C:$FB,10)*100</f>
        <v>1.22</v>
      </c>
      <c r="D12" s="49">
        <f>VLOOKUP($A12,'Data shares'!$C:$FB,66)</f>
        <v>17619000</v>
      </c>
      <c r="E12" s="49">
        <f>VLOOKUP($A12,'Data shares'!$C:$FB,67)</f>
        <v>11973000</v>
      </c>
      <c r="F12" s="50">
        <f>VLOOKUP($A12,'Data shares'!$C:$FB,69)*100</f>
        <v>47.160000000000004</v>
      </c>
      <c r="G12" s="49">
        <f>VLOOKUP($A12,'Data shares'!$C:$FB,42)</f>
        <v>2487600</v>
      </c>
      <c r="H12" s="49">
        <f>VLOOKUP($A12,'Data shares'!$C:$FB,43)</f>
        <v>1728000</v>
      </c>
      <c r="I12" s="50">
        <f>VLOOKUP($A12,'Data shares'!$C:$FB,45)*100</f>
        <v>43.96</v>
      </c>
      <c r="J12" s="49">
        <f>VLOOKUP($A12,'Data shares'!$C:$FB,58)</f>
        <v>11551800</v>
      </c>
      <c r="K12" s="49">
        <f>VLOOKUP($A12,'Data shares'!$C:$FB,59)</f>
        <v>7790400</v>
      </c>
      <c r="L12" s="50">
        <f>VLOOKUP($A12,'Data shares'!$C:$FB,61)*100</f>
        <v>48.28</v>
      </c>
      <c r="M12" s="49">
        <f>VLOOKUP($A12,'Data shares'!$C:$FB,62)</f>
        <v>3579600</v>
      </c>
      <c r="N12" s="49">
        <f>VLOOKUP($A12,'Data shares'!$C:$FB,63)</f>
        <v>2454600</v>
      </c>
      <c r="O12" s="140">
        <f>VLOOKUP($A12,'Data shares'!$C:$FB,65)*100</f>
        <v>45.83</v>
      </c>
    </row>
    <row r="13" spans="1:15" x14ac:dyDescent="0.25">
      <c r="A13" s="101" t="str">
        <f>'Data shares'!C8</f>
        <v>ADANIPORTS</v>
      </c>
      <c r="B13" s="50">
        <f>VLOOKUP($A13,'Data shares'!$C:$FB,7)</f>
        <v>1409.4</v>
      </c>
      <c r="C13" s="50">
        <f>VLOOKUP($A13,'Data shares'!$C:$FB,10)*100</f>
        <v>0.9900000000000001</v>
      </c>
      <c r="D13" s="49">
        <f>VLOOKUP($A13,'Data shares'!$C:$FB,66)</f>
        <v>19906775</v>
      </c>
      <c r="E13" s="49">
        <f>VLOOKUP($A13,'Data shares'!$C:$FB,67)</f>
        <v>9720400</v>
      </c>
      <c r="F13" s="50">
        <f>VLOOKUP($A13,'Data shares'!$C:$FB,69)*100</f>
        <v>104.79</v>
      </c>
      <c r="G13" s="49">
        <f>VLOOKUP($A13,'Data shares'!$C:$FB,42)</f>
        <v>2661425</v>
      </c>
      <c r="H13" s="49">
        <f>VLOOKUP($A13,'Data shares'!$C:$FB,43)</f>
        <v>1531875</v>
      </c>
      <c r="I13" s="50">
        <f>VLOOKUP($A13,'Data shares'!$C:$FB,45)*100</f>
        <v>73.740000000000009</v>
      </c>
      <c r="J13" s="49">
        <f>VLOOKUP($A13,'Data shares'!$C:$FB,58)</f>
        <v>12976050</v>
      </c>
      <c r="K13" s="49">
        <f>VLOOKUP($A13,'Data shares'!$C:$FB,59)</f>
        <v>5771250</v>
      </c>
      <c r="L13" s="50">
        <f>VLOOKUP($A13,'Data shares'!$C:$FB,61)*100</f>
        <v>124.83999999999999</v>
      </c>
      <c r="M13" s="49">
        <f>VLOOKUP($A13,'Data shares'!$C:$FB,62)</f>
        <v>4269300</v>
      </c>
      <c r="N13" s="49">
        <f>VLOOKUP($A13,'Data shares'!$C:$FB,63)</f>
        <v>2417275</v>
      </c>
      <c r="O13" s="140">
        <f>VLOOKUP($A13,'Data shares'!$C:$FB,65)*100</f>
        <v>76.62</v>
      </c>
    </row>
    <row r="14" spans="1:15" x14ac:dyDescent="0.25">
      <c r="A14" s="101" t="str">
        <f>'Data shares'!C9</f>
        <v>ALKEM</v>
      </c>
      <c r="B14" s="50">
        <f>VLOOKUP($A14,'Data shares'!$C:$FB,7)</f>
        <v>5454.5</v>
      </c>
      <c r="C14" s="50">
        <f>VLOOKUP($A14,'Data shares'!$C:$FB,10)*100</f>
        <v>-0.47000000000000003</v>
      </c>
      <c r="D14" s="49">
        <f>VLOOKUP($A14,'Data shares'!$C:$FB,66)</f>
        <v>510125</v>
      </c>
      <c r="E14" s="49">
        <f>VLOOKUP($A14,'Data shares'!$C:$FB,67)</f>
        <v>412250</v>
      </c>
      <c r="F14" s="50">
        <f>VLOOKUP($A14,'Data shares'!$C:$FB,69)*100</f>
        <v>23.74</v>
      </c>
      <c r="G14" s="49">
        <f>VLOOKUP($A14,'Data shares'!$C:$FB,42)</f>
        <v>140375</v>
      </c>
      <c r="H14" s="49">
        <f>VLOOKUP($A14,'Data shares'!$C:$FB,43)</f>
        <v>127500</v>
      </c>
      <c r="I14" s="50">
        <f>VLOOKUP($A14,'Data shares'!$C:$FB,45)*100</f>
        <v>10.100000000000001</v>
      </c>
      <c r="J14" s="49">
        <f>VLOOKUP($A14,'Data shares'!$C:$FB,58)</f>
        <v>289250</v>
      </c>
      <c r="K14" s="49">
        <f>VLOOKUP($A14,'Data shares'!$C:$FB,59)</f>
        <v>226250</v>
      </c>
      <c r="L14" s="50">
        <f>VLOOKUP($A14,'Data shares'!$C:$FB,61)*100</f>
        <v>27.85</v>
      </c>
      <c r="M14" s="49">
        <f>VLOOKUP($A14,'Data shares'!$C:$FB,62)</f>
        <v>80500</v>
      </c>
      <c r="N14" s="49">
        <f>VLOOKUP($A14,'Data shares'!$C:$FB,63)</f>
        <v>58500</v>
      </c>
      <c r="O14" s="140">
        <f>VLOOKUP($A14,'Data shares'!$C:$FB,65)*100</f>
        <v>37.61</v>
      </c>
    </row>
    <row r="15" spans="1:15" x14ac:dyDescent="0.25">
      <c r="A15" s="101" t="str">
        <f>'Data shares'!C10</f>
        <v>AMBER</v>
      </c>
      <c r="B15" s="50">
        <f>VLOOKUP($A15,'Data shares'!$C:$FB,7)</f>
        <v>8284.5</v>
      </c>
      <c r="C15" s="50">
        <f>VLOOKUP($A15,'Data shares'!$C:$FB,10)*100</f>
        <v>0.47000000000000003</v>
      </c>
      <c r="D15" s="49">
        <f>VLOOKUP($A15,'Data shares'!$C:$FB,66)</f>
        <v>1326300</v>
      </c>
      <c r="E15" s="49">
        <f>VLOOKUP($A15,'Data shares'!$C:$FB,67)</f>
        <v>2594400</v>
      </c>
      <c r="F15" s="50">
        <f>VLOOKUP($A15,'Data shares'!$C:$FB,69)*100</f>
        <v>-48.88</v>
      </c>
      <c r="G15" s="49">
        <f>VLOOKUP($A15,'Data shares'!$C:$FB,42)</f>
        <v>198500</v>
      </c>
      <c r="H15" s="49">
        <f>VLOOKUP($A15,'Data shares'!$C:$FB,43)</f>
        <v>397700</v>
      </c>
      <c r="I15" s="50">
        <f>VLOOKUP($A15,'Data shares'!$C:$FB,45)*100</f>
        <v>-50.09</v>
      </c>
      <c r="J15" s="49">
        <f>VLOOKUP($A15,'Data shares'!$C:$FB,58)</f>
        <v>904500</v>
      </c>
      <c r="K15" s="49">
        <f>VLOOKUP($A15,'Data shares'!$C:$FB,59)</f>
        <v>1638500</v>
      </c>
      <c r="L15" s="50">
        <f>VLOOKUP($A15,'Data shares'!$C:$FB,61)*100</f>
        <v>-44.800000000000004</v>
      </c>
      <c r="M15" s="49">
        <f>VLOOKUP($A15,'Data shares'!$C:$FB,62)</f>
        <v>223300</v>
      </c>
      <c r="N15" s="49">
        <f>VLOOKUP($A15,'Data shares'!$C:$FB,63)</f>
        <v>558200</v>
      </c>
      <c r="O15" s="140">
        <f>VLOOKUP($A15,'Data shares'!$C:$FB,65)*100</f>
        <v>-60</v>
      </c>
    </row>
    <row r="16" spans="1:15" x14ac:dyDescent="0.25">
      <c r="A16" s="101" t="str">
        <f>'Data shares'!C11</f>
        <v>AMBUJACEM</v>
      </c>
      <c r="B16" s="50">
        <f>VLOOKUP($A16,'Data shares'!$C:$FB,7)</f>
        <v>569.25</v>
      </c>
      <c r="C16" s="50">
        <f>VLOOKUP($A16,'Data shares'!$C:$FB,10)*100</f>
        <v>0.59</v>
      </c>
      <c r="D16" s="49">
        <f>VLOOKUP($A16,'Data shares'!$C:$FB,66)</f>
        <v>10464300</v>
      </c>
      <c r="E16" s="49">
        <f>VLOOKUP($A16,'Data shares'!$C:$FB,67)</f>
        <v>7100100</v>
      </c>
      <c r="F16" s="50">
        <f>VLOOKUP($A16,'Data shares'!$C:$FB,69)*100</f>
        <v>47.38</v>
      </c>
      <c r="G16" s="49">
        <f>VLOOKUP($A16,'Data shares'!$C:$FB,42)</f>
        <v>2478000</v>
      </c>
      <c r="H16" s="49">
        <f>VLOOKUP($A16,'Data shares'!$C:$FB,43)</f>
        <v>2010750</v>
      </c>
      <c r="I16" s="50">
        <f>VLOOKUP($A16,'Data shares'!$C:$FB,45)*100</f>
        <v>23.24</v>
      </c>
      <c r="J16" s="49">
        <f>VLOOKUP($A16,'Data shares'!$C:$FB,58)</f>
        <v>5668950</v>
      </c>
      <c r="K16" s="49">
        <f>VLOOKUP($A16,'Data shares'!$C:$FB,59)</f>
        <v>3708600</v>
      </c>
      <c r="L16" s="50">
        <f>VLOOKUP($A16,'Data shares'!$C:$FB,61)*100</f>
        <v>52.86</v>
      </c>
      <c r="M16" s="49">
        <f>VLOOKUP($A16,'Data shares'!$C:$FB,62)</f>
        <v>2317350</v>
      </c>
      <c r="N16" s="49">
        <f>VLOOKUP($A16,'Data shares'!$C:$FB,63)</f>
        <v>1380750</v>
      </c>
      <c r="O16" s="140">
        <f>VLOOKUP($A16,'Data shares'!$C:$FB,65)*100</f>
        <v>67.83</v>
      </c>
    </row>
    <row r="17" spans="1:15" x14ac:dyDescent="0.25">
      <c r="A17" s="101" t="str">
        <f>'Data shares'!C12</f>
        <v>ANGELONE</v>
      </c>
      <c r="B17" s="50">
        <f>VLOOKUP($A17,'Data shares'!$C:$FB,7)</f>
        <v>2303.3000000000002</v>
      </c>
      <c r="C17" s="50">
        <f>VLOOKUP($A17,'Data shares'!$C:$FB,10)*100</f>
        <v>1.71</v>
      </c>
      <c r="D17" s="49">
        <f>VLOOKUP($A17,'Data shares'!$C:$FB,66)</f>
        <v>9373750</v>
      </c>
      <c r="E17" s="49">
        <f>VLOOKUP($A17,'Data shares'!$C:$FB,67)</f>
        <v>8715000</v>
      </c>
      <c r="F17" s="50">
        <f>VLOOKUP($A17,'Data shares'!$C:$FB,69)*100</f>
        <v>7.5600000000000005</v>
      </c>
      <c r="G17" s="49">
        <f>VLOOKUP($A17,'Data shares'!$C:$FB,42)</f>
        <v>1441250</v>
      </c>
      <c r="H17" s="49">
        <f>VLOOKUP($A17,'Data shares'!$C:$FB,43)</f>
        <v>1526000</v>
      </c>
      <c r="I17" s="50">
        <f>VLOOKUP($A17,'Data shares'!$C:$FB,45)*100</f>
        <v>-5.55</v>
      </c>
      <c r="J17" s="49">
        <f>VLOOKUP($A17,'Data shares'!$C:$FB,58)</f>
        <v>5629500</v>
      </c>
      <c r="K17" s="49">
        <f>VLOOKUP($A17,'Data shares'!$C:$FB,59)</f>
        <v>5336250</v>
      </c>
      <c r="L17" s="50">
        <f>VLOOKUP($A17,'Data shares'!$C:$FB,61)*100</f>
        <v>5.5</v>
      </c>
      <c r="M17" s="49">
        <f>VLOOKUP($A17,'Data shares'!$C:$FB,62)</f>
        <v>2303000</v>
      </c>
      <c r="N17" s="49">
        <f>VLOOKUP($A17,'Data shares'!$C:$FB,63)</f>
        <v>1852750</v>
      </c>
      <c r="O17" s="140">
        <f>VLOOKUP($A17,'Data shares'!$C:$FB,65)*100</f>
        <v>24.3</v>
      </c>
    </row>
    <row r="18" spans="1:15" x14ac:dyDescent="0.25">
      <c r="A18" s="101" t="str">
        <f>'Data shares'!C13</f>
        <v>APLAPOLLO</v>
      </c>
      <c r="B18" s="50">
        <f>VLOOKUP($A18,'Data shares'!$C:$FB,7)</f>
        <v>1738.6</v>
      </c>
      <c r="C18" s="50">
        <f>VLOOKUP($A18,'Data shares'!$C:$FB,10)*100</f>
        <v>0.21</v>
      </c>
      <c r="D18" s="49">
        <f>VLOOKUP($A18,'Data shares'!$C:$FB,66)</f>
        <v>943600</v>
      </c>
      <c r="E18" s="49">
        <f>VLOOKUP($A18,'Data shares'!$C:$FB,67)</f>
        <v>1652700</v>
      </c>
      <c r="F18" s="50">
        <f>VLOOKUP($A18,'Data shares'!$C:$FB,69)*100</f>
        <v>-42.91</v>
      </c>
      <c r="G18" s="49">
        <f>VLOOKUP($A18,'Data shares'!$C:$FB,42)</f>
        <v>312200</v>
      </c>
      <c r="H18" s="49">
        <f>VLOOKUP($A18,'Data shares'!$C:$FB,43)</f>
        <v>497700</v>
      </c>
      <c r="I18" s="50">
        <f>VLOOKUP($A18,'Data shares'!$C:$FB,45)*100</f>
        <v>-37.269999999999996</v>
      </c>
      <c r="J18" s="49">
        <f>VLOOKUP($A18,'Data shares'!$C:$FB,58)</f>
        <v>487900</v>
      </c>
      <c r="K18" s="49">
        <f>VLOOKUP($A18,'Data shares'!$C:$FB,59)</f>
        <v>935900</v>
      </c>
      <c r="L18" s="50">
        <f>VLOOKUP($A18,'Data shares'!$C:$FB,61)*100</f>
        <v>-47.870000000000005</v>
      </c>
      <c r="M18" s="49">
        <f>VLOOKUP($A18,'Data shares'!$C:$FB,62)</f>
        <v>143500</v>
      </c>
      <c r="N18" s="49">
        <f>VLOOKUP($A18,'Data shares'!$C:$FB,63)</f>
        <v>219100</v>
      </c>
      <c r="O18" s="140">
        <f>VLOOKUP($A18,'Data shares'!$C:$FB,65)*100</f>
        <v>-34.5</v>
      </c>
    </row>
    <row r="19" spans="1:15" x14ac:dyDescent="0.25">
      <c r="A19" s="101" t="str">
        <f>'Data shares'!C14</f>
        <v>APOLLOHOSP</v>
      </c>
      <c r="B19" s="50">
        <f>VLOOKUP($A19,'Data shares'!$C:$FB,7)</f>
        <v>7681</v>
      </c>
      <c r="C19" s="50">
        <f>VLOOKUP($A19,'Data shares'!$C:$FB,10)*100</f>
        <v>-0.18</v>
      </c>
      <c r="D19" s="49">
        <f>VLOOKUP($A19,'Data shares'!$C:$FB,66)</f>
        <v>1691000</v>
      </c>
      <c r="E19" s="49">
        <f>VLOOKUP($A19,'Data shares'!$C:$FB,67)</f>
        <v>2271500</v>
      </c>
      <c r="F19" s="50">
        <f>VLOOKUP($A19,'Data shares'!$C:$FB,69)*100</f>
        <v>-25.56</v>
      </c>
      <c r="G19" s="49">
        <f>VLOOKUP($A19,'Data shares'!$C:$FB,42)</f>
        <v>221750</v>
      </c>
      <c r="H19" s="49">
        <f>VLOOKUP($A19,'Data shares'!$C:$FB,43)</f>
        <v>229750</v>
      </c>
      <c r="I19" s="50">
        <f>VLOOKUP($A19,'Data shares'!$C:$FB,45)*100</f>
        <v>-3.4799999999999995</v>
      </c>
      <c r="J19" s="49">
        <f>VLOOKUP($A19,'Data shares'!$C:$FB,58)</f>
        <v>985875</v>
      </c>
      <c r="K19" s="49">
        <f>VLOOKUP($A19,'Data shares'!$C:$FB,59)</f>
        <v>1305125</v>
      </c>
      <c r="L19" s="50">
        <f>VLOOKUP($A19,'Data shares'!$C:$FB,61)*100</f>
        <v>-24.46</v>
      </c>
      <c r="M19" s="49">
        <f>VLOOKUP($A19,'Data shares'!$C:$FB,62)</f>
        <v>483375</v>
      </c>
      <c r="N19" s="49">
        <f>VLOOKUP($A19,'Data shares'!$C:$FB,63)</f>
        <v>736625</v>
      </c>
      <c r="O19" s="140">
        <f>VLOOKUP($A19,'Data shares'!$C:$FB,65)*100</f>
        <v>-34.380000000000003</v>
      </c>
    </row>
    <row r="20" spans="1:15" x14ac:dyDescent="0.25">
      <c r="A20" s="101" t="str">
        <f>'Data shares'!C15</f>
        <v>ASHOKLEY</v>
      </c>
      <c r="B20" s="50">
        <f>VLOOKUP($A20,'Data shares'!$C:$FB,7)</f>
        <v>137.55000000000001</v>
      </c>
      <c r="C20" s="50">
        <f>VLOOKUP($A20,'Data shares'!$C:$FB,10)*100</f>
        <v>-0.79</v>
      </c>
      <c r="D20" s="49">
        <f>VLOOKUP($A20,'Data shares'!$C:$FB,66)</f>
        <v>73300000</v>
      </c>
      <c r="E20" s="49">
        <f>VLOOKUP($A20,'Data shares'!$C:$FB,67)</f>
        <v>79090000</v>
      </c>
      <c r="F20" s="50">
        <f>VLOOKUP($A20,'Data shares'!$C:$FB,69)*100</f>
        <v>-7.32</v>
      </c>
      <c r="G20" s="49">
        <f>VLOOKUP($A20,'Data shares'!$C:$FB,42)</f>
        <v>12785000</v>
      </c>
      <c r="H20" s="49">
        <f>VLOOKUP($A20,'Data shares'!$C:$FB,43)</f>
        <v>14745000</v>
      </c>
      <c r="I20" s="50">
        <f>VLOOKUP($A20,'Data shares'!$C:$FB,45)*100</f>
        <v>-13.29</v>
      </c>
      <c r="J20" s="49">
        <f>VLOOKUP($A20,'Data shares'!$C:$FB,58)</f>
        <v>41065000</v>
      </c>
      <c r="K20" s="49">
        <f>VLOOKUP($A20,'Data shares'!$C:$FB,59)</f>
        <v>51040000</v>
      </c>
      <c r="L20" s="50">
        <f>VLOOKUP($A20,'Data shares'!$C:$FB,61)*100</f>
        <v>-19.54</v>
      </c>
      <c r="M20" s="49">
        <f>VLOOKUP($A20,'Data shares'!$C:$FB,62)</f>
        <v>19450000</v>
      </c>
      <c r="N20" s="49">
        <f>VLOOKUP($A20,'Data shares'!$C:$FB,63)</f>
        <v>13305000</v>
      </c>
      <c r="O20" s="140">
        <f>VLOOKUP($A20,'Data shares'!$C:$FB,65)*100</f>
        <v>46.19</v>
      </c>
    </row>
    <row r="21" spans="1:15" x14ac:dyDescent="0.25">
      <c r="A21" s="101" t="str">
        <f>'Data shares'!C16</f>
        <v>ASIANPAINT</v>
      </c>
      <c r="B21" s="50">
        <f>VLOOKUP($A21,'Data shares'!$C:$FB,7)</f>
        <v>2340.1999999999998</v>
      </c>
      <c r="C21" s="50">
        <f>VLOOKUP($A21,'Data shares'!$C:$FB,10)*100</f>
        <v>0.16</v>
      </c>
      <c r="D21" s="49">
        <f>VLOOKUP($A21,'Data shares'!$C:$FB,66)</f>
        <v>7820250</v>
      </c>
      <c r="E21" s="49">
        <f>VLOOKUP($A21,'Data shares'!$C:$FB,67)</f>
        <v>6886500</v>
      </c>
      <c r="F21" s="50">
        <f>VLOOKUP($A21,'Data shares'!$C:$FB,69)*100</f>
        <v>13.56</v>
      </c>
      <c r="G21" s="49">
        <f>VLOOKUP($A21,'Data shares'!$C:$FB,42)</f>
        <v>1473250</v>
      </c>
      <c r="H21" s="49">
        <f>VLOOKUP($A21,'Data shares'!$C:$FB,43)</f>
        <v>904500</v>
      </c>
      <c r="I21" s="50">
        <f>VLOOKUP($A21,'Data shares'!$C:$FB,45)*100</f>
        <v>62.88</v>
      </c>
      <c r="J21" s="49">
        <f>VLOOKUP($A21,'Data shares'!$C:$FB,58)</f>
        <v>4768750</v>
      </c>
      <c r="K21" s="49">
        <f>VLOOKUP($A21,'Data shares'!$C:$FB,59)</f>
        <v>4464500</v>
      </c>
      <c r="L21" s="50">
        <f>VLOOKUP($A21,'Data shares'!$C:$FB,61)*100</f>
        <v>6.81</v>
      </c>
      <c r="M21" s="49">
        <f>VLOOKUP($A21,'Data shares'!$C:$FB,62)</f>
        <v>1578250</v>
      </c>
      <c r="N21" s="49">
        <f>VLOOKUP($A21,'Data shares'!$C:$FB,63)</f>
        <v>1517500</v>
      </c>
      <c r="O21" s="140">
        <f>VLOOKUP($A21,'Data shares'!$C:$FB,65)*100</f>
        <v>4</v>
      </c>
    </row>
    <row r="22" spans="1:15" x14ac:dyDescent="0.25">
      <c r="A22" s="101" t="str">
        <f>'Data shares'!C17</f>
        <v>ASTRAL</v>
      </c>
      <c r="B22" s="50">
        <f>VLOOKUP($A22,'Data shares'!$C:$FB,7)</f>
        <v>1427.1</v>
      </c>
      <c r="C22" s="50">
        <f>VLOOKUP($A22,'Data shares'!$C:$FB,10)*100</f>
        <v>1.49</v>
      </c>
      <c r="D22" s="49">
        <f>VLOOKUP($A22,'Data shares'!$C:$FB,66)</f>
        <v>8944125</v>
      </c>
      <c r="E22" s="49">
        <f>VLOOKUP($A22,'Data shares'!$C:$FB,67)</f>
        <v>4504150</v>
      </c>
      <c r="F22" s="50">
        <f>VLOOKUP($A22,'Data shares'!$C:$FB,69)*100</f>
        <v>98.58</v>
      </c>
      <c r="G22" s="49">
        <f>VLOOKUP($A22,'Data shares'!$C:$FB,42)</f>
        <v>2030225</v>
      </c>
      <c r="H22" s="49">
        <f>VLOOKUP($A22,'Data shares'!$C:$FB,43)</f>
        <v>1001300</v>
      </c>
      <c r="I22" s="50">
        <f>VLOOKUP($A22,'Data shares'!$C:$FB,45)*100</f>
        <v>102.76</v>
      </c>
      <c r="J22" s="49">
        <f>VLOOKUP($A22,'Data shares'!$C:$FB,58)</f>
        <v>5179050</v>
      </c>
      <c r="K22" s="49">
        <f>VLOOKUP($A22,'Data shares'!$C:$FB,59)</f>
        <v>2278850</v>
      </c>
      <c r="L22" s="50">
        <f>VLOOKUP($A22,'Data shares'!$C:$FB,61)*100</f>
        <v>127.27</v>
      </c>
      <c r="M22" s="49">
        <f>VLOOKUP($A22,'Data shares'!$C:$FB,62)</f>
        <v>1734850</v>
      </c>
      <c r="N22" s="49">
        <f>VLOOKUP($A22,'Data shares'!$C:$FB,63)</f>
        <v>1224000</v>
      </c>
      <c r="O22" s="140">
        <f>VLOOKUP($A22,'Data shares'!$C:$FB,65)*100</f>
        <v>41.74</v>
      </c>
    </row>
    <row r="23" spans="1:15" x14ac:dyDescent="0.25">
      <c r="A23" s="101" t="str">
        <f>'Data shares'!C18</f>
        <v>AUBANK</v>
      </c>
      <c r="B23" s="50">
        <f>VLOOKUP($A23,'Data shares'!$C:$FB,7)</f>
        <v>763.25</v>
      </c>
      <c r="C23" s="50">
        <f>VLOOKUP($A23,'Data shares'!$C:$FB,10)*100</f>
        <v>0.43</v>
      </c>
      <c r="D23" s="49">
        <f>VLOOKUP($A23,'Data shares'!$C:$FB,66)</f>
        <v>18527000</v>
      </c>
      <c r="E23" s="49">
        <f>VLOOKUP($A23,'Data shares'!$C:$FB,67)</f>
        <v>12477000</v>
      </c>
      <c r="F23" s="50">
        <f>VLOOKUP($A23,'Data shares'!$C:$FB,69)*100</f>
        <v>48.49</v>
      </c>
      <c r="G23" s="49">
        <f>VLOOKUP($A23,'Data shares'!$C:$FB,42)</f>
        <v>3376000</v>
      </c>
      <c r="H23" s="49">
        <f>VLOOKUP($A23,'Data shares'!$C:$FB,43)</f>
        <v>2984000</v>
      </c>
      <c r="I23" s="50">
        <f>VLOOKUP($A23,'Data shares'!$C:$FB,45)*100</f>
        <v>13.139999999999999</v>
      </c>
      <c r="J23" s="49">
        <f>VLOOKUP($A23,'Data shares'!$C:$FB,58)</f>
        <v>11638000</v>
      </c>
      <c r="K23" s="49">
        <f>VLOOKUP($A23,'Data shares'!$C:$FB,59)</f>
        <v>6578000</v>
      </c>
      <c r="L23" s="50">
        <f>VLOOKUP($A23,'Data shares'!$C:$FB,61)*100</f>
        <v>76.92</v>
      </c>
      <c r="M23" s="49">
        <f>VLOOKUP($A23,'Data shares'!$C:$FB,62)</f>
        <v>3513000</v>
      </c>
      <c r="N23" s="49">
        <f>VLOOKUP($A23,'Data shares'!$C:$FB,63)</f>
        <v>2915000</v>
      </c>
      <c r="O23" s="140">
        <f>VLOOKUP($A23,'Data shares'!$C:$FB,65)*100</f>
        <v>20.51</v>
      </c>
    </row>
    <row r="24" spans="1:15" x14ac:dyDescent="0.25">
      <c r="A24" s="101" t="str">
        <f>'Data shares'!C19</f>
        <v>AUROPHARMA</v>
      </c>
      <c r="B24" s="50">
        <f>VLOOKUP($A24,'Data shares'!$C:$FB,7)</f>
        <v>1130.3</v>
      </c>
      <c r="C24" s="50">
        <f>VLOOKUP($A24,'Data shares'!$C:$FB,10)*100</f>
        <v>0.92999999999999994</v>
      </c>
      <c r="D24" s="49">
        <f>VLOOKUP($A24,'Data shares'!$C:$FB,66)</f>
        <v>17376150</v>
      </c>
      <c r="E24" s="49">
        <f>VLOOKUP($A24,'Data shares'!$C:$FB,67)</f>
        <v>42793300</v>
      </c>
      <c r="F24" s="50">
        <f>VLOOKUP($A24,'Data shares'!$C:$FB,69)*100</f>
        <v>-59.4</v>
      </c>
      <c r="G24" s="49">
        <f>VLOOKUP($A24,'Data shares'!$C:$FB,42)</f>
        <v>3195500</v>
      </c>
      <c r="H24" s="49">
        <f>VLOOKUP($A24,'Data shares'!$C:$FB,43)</f>
        <v>6831000</v>
      </c>
      <c r="I24" s="50">
        <f>VLOOKUP($A24,'Data shares'!$C:$FB,45)*100</f>
        <v>-53.22</v>
      </c>
      <c r="J24" s="49">
        <f>VLOOKUP($A24,'Data shares'!$C:$FB,58)</f>
        <v>9753700</v>
      </c>
      <c r="K24" s="49">
        <f>VLOOKUP($A24,'Data shares'!$C:$FB,59)</f>
        <v>24354550</v>
      </c>
      <c r="L24" s="50">
        <f>VLOOKUP($A24,'Data shares'!$C:$FB,61)*100</f>
        <v>-59.95</v>
      </c>
      <c r="M24" s="49">
        <f>VLOOKUP($A24,'Data shares'!$C:$FB,62)</f>
        <v>4426950</v>
      </c>
      <c r="N24" s="49">
        <f>VLOOKUP($A24,'Data shares'!$C:$FB,63)</f>
        <v>11607750</v>
      </c>
      <c r="O24" s="140">
        <f>VLOOKUP($A24,'Data shares'!$C:$FB,65)*100</f>
        <v>-61.860000000000007</v>
      </c>
    </row>
    <row r="25" spans="1:15" x14ac:dyDescent="0.25">
      <c r="A25" s="101" t="str">
        <f>'Data shares'!C20</f>
        <v>AXISBANK</v>
      </c>
      <c r="B25" s="50">
        <f>VLOOKUP($A25,'Data shares'!$C:$FB,7)</f>
        <v>1180.4000000000001</v>
      </c>
      <c r="C25" s="50">
        <f>VLOOKUP($A25,'Data shares'!$C:$FB,10)*100</f>
        <v>1.1100000000000001</v>
      </c>
      <c r="D25" s="49">
        <f>VLOOKUP($A25,'Data shares'!$C:$FB,66)</f>
        <v>59223125</v>
      </c>
      <c r="E25" s="49">
        <f>VLOOKUP($A25,'Data shares'!$C:$FB,67)</f>
        <v>65233125</v>
      </c>
      <c r="F25" s="50">
        <f>VLOOKUP($A25,'Data shares'!$C:$FB,69)*100</f>
        <v>-9.2100000000000009</v>
      </c>
      <c r="G25" s="49">
        <f>VLOOKUP($A25,'Data shares'!$C:$FB,42)</f>
        <v>13829375</v>
      </c>
      <c r="H25" s="49">
        <f>VLOOKUP($A25,'Data shares'!$C:$FB,43)</f>
        <v>12896875</v>
      </c>
      <c r="I25" s="50">
        <f>VLOOKUP($A25,'Data shares'!$C:$FB,45)*100</f>
        <v>7.23</v>
      </c>
      <c r="J25" s="49">
        <f>VLOOKUP($A25,'Data shares'!$C:$FB,58)</f>
        <v>28633750</v>
      </c>
      <c r="K25" s="49">
        <f>VLOOKUP($A25,'Data shares'!$C:$FB,59)</f>
        <v>34111250</v>
      </c>
      <c r="L25" s="50">
        <f>VLOOKUP($A25,'Data shares'!$C:$FB,61)*100</f>
        <v>-16.059999999999999</v>
      </c>
      <c r="M25" s="49">
        <f>VLOOKUP($A25,'Data shares'!$C:$FB,62)</f>
        <v>16760000</v>
      </c>
      <c r="N25" s="49">
        <f>VLOOKUP($A25,'Data shares'!$C:$FB,63)</f>
        <v>18225000</v>
      </c>
      <c r="O25" s="140">
        <f>VLOOKUP($A25,'Data shares'!$C:$FB,65)*100</f>
        <v>-8.0399999999999991</v>
      </c>
    </row>
    <row r="26" spans="1:15" x14ac:dyDescent="0.25">
      <c r="A26" s="101" t="str">
        <f>'Data shares'!C21</f>
        <v>BAJAJ-AUTO</v>
      </c>
      <c r="B26" s="50">
        <f>VLOOKUP($A26,'Data shares'!$C:$FB,7)</f>
        <v>8946.5</v>
      </c>
      <c r="C26" s="50">
        <f>VLOOKUP($A26,'Data shares'!$C:$FB,10)*100</f>
        <v>1.55</v>
      </c>
      <c r="D26" s="49">
        <f>VLOOKUP($A26,'Data shares'!$C:$FB,66)</f>
        <v>5317875</v>
      </c>
      <c r="E26" s="49">
        <f>VLOOKUP($A26,'Data shares'!$C:$FB,67)</f>
        <v>2575725</v>
      </c>
      <c r="F26" s="50">
        <f>VLOOKUP($A26,'Data shares'!$C:$FB,69)*100</f>
        <v>106.46</v>
      </c>
      <c r="G26" s="49">
        <f>VLOOKUP($A26,'Data shares'!$C:$FB,42)</f>
        <v>607725</v>
      </c>
      <c r="H26" s="49">
        <f>VLOOKUP($A26,'Data shares'!$C:$FB,43)</f>
        <v>333750</v>
      </c>
      <c r="I26" s="50">
        <f>VLOOKUP($A26,'Data shares'!$C:$FB,45)*100</f>
        <v>82.09</v>
      </c>
      <c r="J26" s="49">
        <f>VLOOKUP($A26,'Data shares'!$C:$FB,58)</f>
        <v>3448350</v>
      </c>
      <c r="K26" s="49">
        <f>VLOOKUP($A26,'Data shares'!$C:$FB,59)</f>
        <v>1506375</v>
      </c>
      <c r="L26" s="50">
        <f>VLOOKUP($A26,'Data shares'!$C:$FB,61)*100</f>
        <v>128.91999999999999</v>
      </c>
      <c r="M26" s="49">
        <f>VLOOKUP($A26,'Data shares'!$C:$FB,62)</f>
        <v>1261800</v>
      </c>
      <c r="N26" s="49">
        <f>VLOOKUP($A26,'Data shares'!$C:$FB,63)</f>
        <v>735600</v>
      </c>
      <c r="O26" s="140">
        <f>VLOOKUP($A26,'Data shares'!$C:$FB,65)*100</f>
        <v>71.53</v>
      </c>
    </row>
    <row r="27" spans="1:15" x14ac:dyDescent="0.25">
      <c r="A27" s="101" t="str">
        <f>'Data shares'!C22</f>
        <v>BAJAJFINSV</v>
      </c>
      <c r="B27" s="50">
        <f>VLOOKUP($A27,'Data shares'!$C:$FB,7)</f>
        <v>2004.3</v>
      </c>
      <c r="C27" s="50">
        <f>VLOOKUP($A27,'Data shares'!$C:$FB,10)*100</f>
        <v>-0.51</v>
      </c>
      <c r="D27" s="49">
        <f>VLOOKUP($A27,'Data shares'!$C:$FB,66)</f>
        <v>6465000</v>
      </c>
      <c r="E27" s="49">
        <f>VLOOKUP($A27,'Data shares'!$C:$FB,67)</f>
        <v>5271000</v>
      </c>
      <c r="F27" s="50">
        <f>VLOOKUP($A27,'Data shares'!$C:$FB,69)*100</f>
        <v>22.650000000000002</v>
      </c>
      <c r="G27" s="49">
        <f>VLOOKUP($A27,'Data shares'!$C:$FB,42)</f>
        <v>1161500</v>
      </c>
      <c r="H27" s="49">
        <f>VLOOKUP($A27,'Data shares'!$C:$FB,43)</f>
        <v>931500</v>
      </c>
      <c r="I27" s="50">
        <f>VLOOKUP($A27,'Data shares'!$C:$FB,45)*100</f>
        <v>24.69</v>
      </c>
      <c r="J27" s="49">
        <f>VLOOKUP($A27,'Data shares'!$C:$FB,58)</f>
        <v>3517500</v>
      </c>
      <c r="K27" s="49">
        <f>VLOOKUP($A27,'Data shares'!$C:$FB,59)</f>
        <v>2611500</v>
      </c>
      <c r="L27" s="50">
        <f>VLOOKUP($A27,'Data shares'!$C:$FB,61)*100</f>
        <v>34.69</v>
      </c>
      <c r="M27" s="49">
        <f>VLOOKUP($A27,'Data shares'!$C:$FB,62)</f>
        <v>1786000</v>
      </c>
      <c r="N27" s="49">
        <f>VLOOKUP($A27,'Data shares'!$C:$FB,63)</f>
        <v>1728000</v>
      </c>
      <c r="O27" s="140">
        <f>VLOOKUP($A27,'Data shares'!$C:$FB,65)*100</f>
        <v>3.36</v>
      </c>
    </row>
    <row r="28" spans="1:15" x14ac:dyDescent="0.25">
      <c r="A28" s="101" t="str">
        <f>'Data shares'!C23</f>
        <v>BAJFINANCE</v>
      </c>
      <c r="B28" s="50">
        <f>VLOOKUP($A28,'Data shares'!$C:$FB,7)</f>
        <v>1023.85</v>
      </c>
      <c r="C28" s="50">
        <f>VLOOKUP($A28,'Data shares'!$C:$FB,10)*100</f>
        <v>-0.02</v>
      </c>
      <c r="D28" s="49">
        <f>VLOOKUP($A28,'Data shares'!$C:$FB,66)</f>
        <v>27846750</v>
      </c>
      <c r="E28" s="49">
        <f>VLOOKUP($A28,'Data shares'!$C:$FB,67)</f>
        <v>23292750</v>
      </c>
      <c r="F28" s="50">
        <f>VLOOKUP($A28,'Data shares'!$C:$FB,69)*100</f>
        <v>19.55</v>
      </c>
      <c r="G28" s="49">
        <f>VLOOKUP($A28,'Data shares'!$C:$FB,42)</f>
        <v>4181250</v>
      </c>
      <c r="H28" s="49">
        <f>VLOOKUP($A28,'Data shares'!$C:$FB,43)</f>
        <v>3951750</v>
      </c>
      <c r="I28" s="50">
        <f>VLOOKUP($A28,'Data shares'!$C:$FB,45)*100</f>
        <v>5.81</v>
      </c>
      <c r="J28" s="49">
        <f>VLOOKUP($A28,'Data shares'!$C:$FB,58)</f>
        <v>16077000</v>
      </c>
      <c r="K28" s="49">
        <f>VLOOKUP($A28,'Data shares'!$C:$FB,59)</f>
        <v>11010000</v>
      </c>
      <c r="L28" s="50">
        <f>VLOOKUP($A28,'Data shares'!$C:$FB,61)*100</f>
        <v>46.02</v>
      </c>
      <c r="M28" s="49">
        <f>VLOOKUP($A28,'Data shares'!$C:$FB,62)</f>
        <v>7588500</v>
      </c>
      <c r="N28" s="49">
        <f>VLOOKUP($A28,'Data shares'!$C:$FB,63)</f>
        <v>8331000</v>
      </c>
      <c r="O28" s="140">
        <f>VLOOKUP($A28,'Data shares'!$C:$FB,65)*100</f>
        <v>-8.91</v>
      </c>
    </row>
    <row r="29" spans="1:15" x14ac:dyDescent="0.25">
      <c r="A29" s="101" t="str">
        <f>'Data shares'!C24</f>
        <v>BANDHANBNK</v>
      </c>
      <c r="B29" s="50">
        <f>VLOOKUP($A29,'Data shares'!$C:$FB,7)</f>
        <v>169.32</v>
      </c>
      <c r="C29" s="50">
        <f>VLOOKUP($A29,'Data shares'!$C:$FB,10)*100</f>
        <v>3.6900000000000004</v>
      </c>
      <c r="D29" s="49">
        <f>VLOOKUP($A29,'Data shares'!$C:$FB,66)</f>
        <v>117244800</v>
      </c>
      <c r="E29" s="49">
        <f>VLOOKUP($A29,'Data shares'!$C:$FB,67)</f>
        <v>36565200</v>
      </c>
      <c r="F29" s="50">
        <f>VLOOKUP($A29,'Data shares'!$C:$FB,69)*100</f>
        <v>220.65</v>
      </c>
      <c r="G29" s="49">
        <f>VLOOKUP($A29,'Data shares'!$C:$FB,42)</f>
        <v>28461600</v>
      </c>
      <c r="H29" s="49">
        <f>VLOOKUP($A29,'Data shares'!$C:$FB,43)</f>
        <v>11052000</v>
      </c>
      <c r="I29" s="50">
        <f>VLOOKUP($A29,'Data shares'!$C:$FB,45)*100</f>
        <v>157.51999999999998</v>
      </c>
      <c r="J29" s="49">
        <f>VLOOKUP($A29,'Data shares'!$C:$FB,58)</f>
        <v>59752800</v>
      </c>
      <c r="K29" s="49">
        <f>VLOOKUP($A29,'Data shares'!$C:$FB,59)</f>
        <v>18194400</v>
      </c>
      <c r="L29" s="50">
        <f>VLOOKUP($A29,'Data shares'!$C:$FB,61)*100</f>
        <v>228.41</v>
      </c>
      <c r="M29" s="49">
        <f>VLOOKUP($A29,'Data shares'!$C:$FB,62)</f>
        <v>29030400</v>
      </c>
      <c r="N29" s="49">
        <f>VLOOKUP($A29,'Data shares'!$C:$FB,63)</f>
        <v>7318800</v>
      </c>
      <c r="O29" s="140">
        <f>VLOOKUP($A29,'Data shares'!$C:$FB,65)*100</f>
        <v>296.66000000000003</v>
      </c>
    </row>
    <row r="30" spans="1:15" x14ac:dyDescent="0.25">
      <c r="A30" s="101" t="str">
        <f>'Data shares'!C25</f>
        <v>BANKBARODA</v>
      </c>
      <c r="B30" s="50">
        <f>VLOOKUP($A30,'Data shares'!$C:$FB,7)</f>
        <v>266.95</v>
      </c>
      <c r="C30" s="50">
        <f>VLOOKUP($A30,'Data shares'!$C:$FB,10)*100</f>
        <v>1.06</v>
      </c>
      <c r="D30" s="49">
        <f>VLOOKUP($A30,'Data shares'!$C:$FB,66)</f>
        <v>138314475</v>
      </c>
      <c r="E30" s="49">
        <f>VLOOKUP($A30,'Data shares'!$C:$FB,67)</f>
        <v>79580475</v>
      </c>
      <c r="F30" s="50">
        <f>VLOOKUP($A30,'Data shares'!$C:$FB,69)*100</f>
        <v>73.8</v>
      </c>
      <c r="G30" s="49">
        <f>VLOOKUP($A30,'Data shares'!$C:$FB,42)</f>
        <v>23078250</v>
      </c>
      <c r="H30" s="49">
        <f>VLOOKUP($A30,'Data shares'!$C:$FB,43)</f>
        <v>16850925</v>
      </c>
      <c r="I30" s="50">
        <f>VLOOKUP($A30,'Data shares'!$C:$FB,45)*100</f>
        <v>36.96</v>
      </c>
      <c r="J30" s="49">
        <f>VLOOKUP($A30,'Data shares'!$C:$FB,58)</f>
        <v>81487575</v>
      </c>
      <c r="K30" s="49">
        <f>VLOOKUP($A30,'Data shares'!$C:$FB,59)</f>
        <v>43231500</v>
      </c>
      <c r="L30" s="50">
        <f>VLOOKUP($A30,'Data shares'!$C:$FB,61)*100</f>
        <v>88.490000000000009</v>
      </c>
      <c r="M30" s="49">
        <f>VLOOKUP($A30,'Data shares'!$C:$FB,62)</f>
        <v>33748650</v>
      </c>
      <c r="N30" s="49">
        <f>VLOOKUP($A30,'Data shares'!$C:$FB,63)</f>
        <v>19498050</v>
      </c>
      <c r="O30" s="140">
        <f>VLOOKUP($A30,'Data shares'!$C:$FB,65)*100</f>
        <v>73.09</v>
      </c>
    </row>
    <row r="31" spans="1:15" x14ac:dyDescent="0.25">
      <c r="A31" s="101" t="str">
        <f>'Data shares'!C26</f>
        <v>BANKINDIA</v>
      </c>
      <c r="B31" s="50">
        <f>VLOOKUP($A31,'Data shares'!$C:$FB,7)</f>
        <v>126.77</v>
      </c>
      <c r="C31" s="50">
        <f>VLOOKUP($A31,'Data shares'!$C:$FB,10)*100</f>
        <v>0.77999999999999992</v>
      </c>
      <c r="D31" s="49">
        <f>VLOOKUP($A31,'Data shares'!$C:$FB,66)</f>
        <v>51620400</v>
      </c>
      <c r="E31" s="49">
        <f>VLOOKUP($A31,'Data shares'!$C:$FB,67)</f>
        <v>25006800</v>
      </c>
      <c r="F31" s="50">
        <f>VLOOKUP($A31,'Data shares'!$C:$FB,69)*100</f>
        <v>106.43</v>
      </c>
      <c r="G31" s="49">
        <f>VLOOKUP($A31,'Data shares'!$C:$FB,42)</f>
        <v>16343600</v>
      </c>
      <c r="H31" s="49">
        <f>VLOOKUP($A31,'Data shares'!$C:$FB,43)</f>
        <v>7446400</v>
      </c>
      <c r="I31" s="50">
        <f>VLOOKUP($A31,'Data shares'!$C:$FB,45)*100</f>
        <v>119.48</v>
      </c>
      <c r="J31" s="49">
        <f>VLOOKUP($A31,'Data shares'!$C:$FB,58)</f>
        <v>26260000</v>
      </c>
      <c r="K31" s="49">
        <f>VLOOKUP($A31,'Data shares'!$C:$FB,59)</f>
        <v>13213200</v>
      </c>
      <c r="L31" s="50">
        <f>VLOOKUP($A31,'Data shares'!$C:$FB,61)*100</f>
        <v>98.740000000000009</v>
      </c>
      <c r="M31" s="49">
        <f>VLOOKUP($A31,'Data shares'!$C:$FB,62)</f>
        <v>9016800</v>
      </c>
      <c r="N31" s="49">
        <f>VLOOKUP($A31,'Data shares'!$C:$FB,63)</f>
        <v>4347200</v>
      </c>
      <c r="O31" s="140">
        <f>VLOOKUP($A31,'Data shares'!$C:$FB,65)*100</f>
        <v>107.42</v>
      </c>
    </row>
    <row r="32" spans="1:15" x14ac:dyDescent="0.25">
      <c r="A32" s="101" t="str">
        <f>'Data shares'!C27</f>
        <v>BANKNIFTY</v>
      </c>
      <c r="B32" s="50">
        <f>VLOOKUP($A32,'Data shares'!$C:$FB,7)</f>
        <v>56609.75</v>
      </c>
      <c r="C32" s="50">
        <f>VLOOKUP($A32,'Data shares'!$C:$FB,10)*100</f>
        <v>0.74</v>
      </c>
      <c r="D32" s="49">
        <f>VLOOKUP($A32,'Data shares'!$C:$FB,66)</f>
        <v>120178765</v>
      </c>
      <c r="E32" s="49">
        <f>VLOOKUP($A32,'Data shares'!$C:$FB,67)</f>
        <v>85088255</v>
      </c>
      <c r="F32" s="50">
        <f>VLOOKUP($A32,'Data shares'!$C:$FB,69)*100</f>
        <v>41.24</v>
      </c>
      <c r="G32" s="49">
        <f>VLOOKUP($A32,'Data shares'!$C:$FB,42)</f>
        <v>1092595</v>
      </c>
      <c r="H32" s="49">
        <f>VLOOKUP($A32,'Data shares'!$C:$FB,43)</f>
        <v>765100</v>
      </c>
      <c r="I32" s="50">
        <f>VLOOKUP($A32,'Data shares'!$C:$FB,45)*100</f>
        <v>42.8</v>
      </c>
      <c r="J32" s="49">
        <f>VLOOKUP($A32,'Data shares'!$C:$FB,58)</f>
        <v>65441705</v>
      </c>
      <c r="K32" s="49">
        <f>VLOOKUP($A32,'Data shares'!$C:$FB,59)</f>
        <v>44573830</v>
      </c>
      <c r="L32" s="50">
        <f>VLOOKUP($A32,'Data shares'!$C:$FB,61)*100</f>
        <v>46.82</v>
      </c>
      <c r="M32" s="49">
        <f>VLOOKUP($A32,'Data shares'!$C:$FB,62)</f>
        <v>53644465</v>
      </c>
      <c r="N32" s="49">
        <f>VLOOKUP($A32,'Data shares'!$C:$FB,63)</f>
        <v>39749325</v>
      </c>
      <c r="O32" s="140">
        <f>VLOOKUP($A32,'Data shares'!$C:$FB,65)*100</f>
        <v>34.96</v>
      </c>
    </row>
    <row r="33" spans="1:15" x14ac:dyDescent="0.25">
      <c r="A33" s="101" t="str">
        <f>'Data shares'!C28</f>
        <v>BDL</v>
      </c>
      <c r="B33" s="50">
        <f>VLOOKUP($A33,'Data shares'!$C:$FB,7)</f>
        <v>1537.1</v>
      </c>
      <c r="C33" s="50">
        <f>VLOOKUP($A33,'Data shares'!$C:$FB,10)*100</f>
        <v>1.1100000000000001</v>
      </c>
      <c r="D33" s="49">
        <f>VLOOKUP($A33,'Data shares'!$C:$FB,66)</f>
        <v>6124300</v>
      </c>
      <c r="E33" s="49">
        <f>VLOOKUP($A33,'Data shares'!$C:$FB,67)</f>
        <v>5244850</v>
      </c>
      <c r="F33" s="50">
        <f>VLOOKUP($A33,'Data shares'!$C:$FB,69)*100</f>
        <v>16.77</v>
      </c>
      <c r="G33" s="49">
        <f>VLOOKUP($A33,'Data shares'!$C:$FB,42)</f>
        <v>932425</v>
      </c>
      <c r="H33" s="49">
        <f>VLOOKUP($A33,'Data shares'!$C:$FB,43)</f>
        <v>982800</v>
      </c>
      <c r="I33" s="50">
        <f>VLOOKUP($A33,'Data shares'!$C:$FB,45)*100</f>
        <v>-5.13</v>
      </c>
      <c r="J33" s="49">
        <f>VLOOKUP($A33,'Data shares'!$C:$FB,58)</f>
        <v>3936725</v>
      </c>
      <c r="K33" s="49">
        <f>VLOOKUP($A33,'Data shares'!$C:$FB,59)</f>
        <v>3493750</v>
      </c>
      <c r="L33" s="50">
        <f>VLOOKUP($A33,'Data shares'!$C:$FB,61)*100</f>
        <v>12.68</v>
      </c>
      <c r="M33" s="49">
        <f>VLOOKUP($A33,'Data shares'!$C:$FB,62)</f>
        <v>1255150</v>
      </c>
      <c r="N33" s="49">
        <f>VLOOKUP($A33,'Data shares'!$C:$FB,63)</f>
        <v>768300</v>
      </c>
      <c r="O33" s="140">
        <f>VLOOKUP($A33,'Data shares'!$C:$FB,65)*100</f>
        <v>63.370000000000005</v>
      </c>
    </row>
    <row r="34" spans="1:15" x14ac:dyDescent="0.25">
      <c r="A34" s="101" t="str">
        <f>'Data shares'!C29</f>
        <v>BEL</v>
      </c>
      <c r="B34" s="50">
        <f>VLOOKUP($A34,'Data shares'!$C:$FB,7)</f>
        <v>413.5</v>
      </c>
      <c r="C34" s="50">
        <f>VLOOKUP($A34,'Data shares'!$C:$FB,10)*100</f>
        <v>1.01</v>
      </c>
      <c r="D34" s="49">
        <f>VLOOKUP($A34,'Data shares'!$C:$FB,66)</f>
        <v>176303850</v>
      </c>
      <c r="E34" s="49">
        <f>VLOOKUP($A34,'Data shares'!$C:$FB,67)</f>
        <v>128877000</v>
      </c>
      <c r="F34" s="50">
        <f>VLOOKUP($A34,'Data shares'!$C:$FB,69)*100</f>
        <v>36.799999999999997</v>
      </c>
      <c r="G34" s="49">
        <f>VLOOKUP($A34,'Data shares'!$C:$FB,42)</f>
        <v>26311200</v>
      </c>
      <c r="H34" s="49">
        <f>VLOOKUP($A34,'Data shares'!$C:$FB,43)</f>
        <v>20015550</v>
      </c>
      <c r="I34" s="50">
        <f>VLOOKUP($A34,'Data shares'!$C:$FB,45)*100</f>
        <v>31.45</v>
      </c>
      <c r="J34" s="49">
        <f>VLOOKUP($A34,'Data shares'!$C:$FB,58)</f>
        <v>100992600</v>
      </c>
      <c r="K34" s="49">
        <f>VLOOKUP($A34,'Data shares'!$C:$FB,59)</f>
        <v>72538200</v>
      </c>
      <c r="L34" s="50">
        <f>VLOOKUP($A34,'Data shares'!$C:$FB,61)*100</f>
        <v>39.229999999999997</v>
      </c>
      <c r="M34" s="49">
        <f>VLOOKUP($A34,'Data shares'!$C:$FB,62)</f>
        <v>49000050</v>
      </c>
      <c r="N34" s="49">
        <f>VLOOKUP($A34,'Data shares'!$C:$FB,63)</f>
        <v>36323250</v>
      </c>
      <c r="O34" s="140">
        <f>VLOOKUP($A34,'Data shares'!$C:$FB,65)*100</f>
        <v>34.9</v>
      </c>
    </row>
    <row r="35" spans="1:15" x14ac:dyDescent="0.25">
      <c r="A35" s="101" t="str">
        <f>'Data shares'!C30</f>
        <v>BHARATFORG</v>
      </c>
      <c r="B35" s="50">
        <f>VLOOKUP($A35,'Data shares'!$C:$FB,7)</f>
        <v>1220</v>
      </c>
      <c r="C35" s="50">
        <f>VLOOKUP($A35,'Data shares'!$C:$FB,10)*100</f>
        <v>0.88</v>
      </c>
      <c r="D35" s="49">
        <f>VLOOKUP($A35,'Data shares'!$C:$FB,66)</f>
        <v>5952000</v>
      </c>
      <c r="E35" s="49">
        <f>VLOOKUP($A35,'Data shares'!$C:$FB,67)</f>
        <v>5743000</v>
      </c>
      <c r="F35" s="50">
        <f>VLOOKUP($A35,'Data shares'!$C:$FB,69)*100</f>
        <v>3.64</v>
      </c>
      <c r="G35" s="49">
        <f>VLOOKUP($A35,'Data shares'!$C:$FB,42)</f>
        <v>1505500</v>
      </c>
      <c r="H35" s="49">
        <f>VLOOKUP($A35,'Data shares'!$C:$FB,43)</f>
        <v>1800000</v>
      </c>
      <c r="I35" s="50">
        <f>VLOOKUP($A35,'Data shares'!$C:$FB,45)*100</f>
        <v>-16.36</v>
      </c>
      <c r="J35" s="49">
        <f>VLOOKUP($A35,'Data shares'!$C:$FB,58)</f>
        <v>3293500</v>
      </c>
      <c r="K35" s="49">
        <f>VLOOKUP($A35,'Data shares'!$C:$FB,59)</f>
        <v>2759000</v>
      </c>
      <c r="L35" s="50">
        <f>VLOOKUP($A35,'Data shares'!$C:$FB,61)*100</f>
        <v>19.37</v>
      </c>
      <c r="M35" s="49">
        <f>VLOOKUP($A35,'Data shares'!$C:$FB,62)</f>
        <v>1153000</v>
      </c>
      <c r="N35" s="49">
        <f>VLOOKUP($A35,'Data shares'!$C:$FB,63)</f>
        <v>1184000</v>
      </c>
      <c r="O35" s="140">
        <f>VLOOKUP($A35,'Data shares'!$C:$FB,65)*100</f>
        <v>-2.62</v>
      </c>
    </row>
    <row r="36" spans="1:15" x14ac:dyDescent="0.25">
      <c r="A36" s="101" t="str">
        <f>'Data shares'!C31</f>
        <v>BHARTIARTL</v>
      </c>
      <c r="B36" s="50">
        <f>VLOOKUP($A36,'Data shares'!$C:$FB,7)</f>
        <v>1939.9</v>
      </c>
      <c r="C36" s="50">
        <f>VLOOKUP($A36,'Data shares'!$C:$FB,10)*100</f>
        <v>-0.11</v>
      </c>
      <c r="D36" s="49">
        <f>VLOOKUP($A36,'Data shares'!$C:$FB,66)</f>
        <v>21015425</v>
      </c>
      <c r="E36" s="49">
        <f>VLOOKUP($A36,'Data shares'!$C:$FB,67)</f>
        <v>31544750</v>
      </c>
      <c r="F36" s="50">
        <f>VLOOKUP($A36,'Data shares'!$C:$FB,69)*100</f>
        <v>-33.379999999999995</v>
      </c>
      <c r="G36" s="49">
        <f>VLOOKUP($A36,'Data shares'!$C:$FB,42)</f>
        <v>4349575</v>
      </c>
      <c r="H36" s="49">
        <f>VLOOKUP($A36,'Data shares'!$C:$FB,43)</f>
        <v>4113975</v>
      </c>
      <c r="I36" s="50">
        <f>VLOOKUP($A36,'Data shares'!$C:$FB,45)*100</f>
        <v>5.7299999999999995</v>
      </c>
      <c r="J36" s="49">
        <f>VLOOKUP($A36,'Data shares'!$C:$FB,58)</f>
        <v>11038525</v>
      </c>
      <c r="K36" s="49">
        <f>VLOOKUP($A36,'Data shares'!$C:$FB,59)</f>
        <v>18059975</v>
      </c>
      <c r="L36" s="50">
        <f>VLOOKUP($A36,'Data shares'!$C:$FB,61)*100</f>
        <v>-38.879999999999995</v>
      </c>
      <c r="M36" s="49">
        <f>VLOOKUP($A36,'Data shares'!$C:$FB,62)</f>
        <v>5627325</v>
      </c>
      <c r="N36" s="49">
        <f>VLOOKUP($A36,'Data shares'!$C:$FB,63)</f>
        <v>9370800</v>
      </c>
      <c r="O36" s="140">
        <f>VLOOKUP($A36,'Data shares'!$C:$FB,65)*100</f>
        <v>-39.950000000000003</v>
      </c>
    </row>
    <row r="37" spans="1:15" x14ac:dyDescent="0.25">
      <c r="A37" s="101" t="str">
        <f>'Data shares'!C32</f>
        <v>BHEL</v>
      </c>
      <c r="B37" s="50">
        <f>VLOOKUP($A37,'Data shares'!$C:$FB,7)</f>
        <v>239.64</v>
      </c>
      <c r="C37" s="50">
        <f>VLOOKUP($A37,'Data shares'!$C:$FB,10)*100</f>
        <v>0.25</v>
      </c>
      <c r="D37" s="49">
        <f>VLOOKUP($A37,'Data shares'!$C:$FB,66)</f>
        <v>46270875</v>
      </c>
      <c r="E37" s="49">
        <f>VLOOKUP($A37,'Data shares'!$C:$FB,67)</f>
        <v>32794125</v>
      </c>
      <c r="F37" s="50">
        <f>VLOOKUP($A37,'Data shares'!$C:$FB,69)*100</f>
        <v>41.099999999999994</v>
      </c>
      <c r="G37" s="49">
        <f>VLOOKUP($A37,'Data shares'!$C:$FB,42)</f>
        <v>10263750</v>
      </c>
      <c r="H37" s="49">
        <f>VLOOKUP($A37,'Data shares'!$C:$FB,43)</f>
        <v>8184750</v>
      </c>
      <c r="I37" s="50">
        <f>VLOOKUP($A37,'Data shares'!$C:$FB,45)*100</f>
        <v>25.4</v>
      </c>
      <c r="J37" s="49">
        <f>VLOOKUP($A37,'Data shares'!$C:$FB,58)</f>
        <v>23320500</v>
      </c>
      <c r="K37" s="49">
        <f>VLOOKUP($A37,'Data shares'!$C:$FB,59)</f>
        <v>16254000</v>
      </c>
      <c r="L37" s="50">
        <f>VLOOKUP($A37,'Data shares'!$C:$FB,61)*100</f>
        <v>43.480000000000004</v>
      </c>
      <c r="M37" s="49">
        <f>VLOOKUP($A37,'Data shares'!$C:$FB,62)</f>
        <v>12686625</v>
      </c>
      <c r="N37" s="49">
        <f>VLOOKUP($A37,'Data shares'!$C:$FB,63)</f>
        <v>8355375</v>
      </c>
      <c r="O37" s="140">
        <f>VLOOKUP($A37,'Data shares'!$C:$FB,65)*100</f>
        <v>51.839999999999996</v>
      </c>
    </row>
    <row r="38" spans="1:15" x14ac:dyDescent="0.25">
      <c r="A38" s="101" t="str">
        <f>'Data shares'!C33</f>
        <v>BIOCON</v>
      </c>
      <c r="B38" s="50">
        <f>VLOOKUP($A38,'Data shares'!$C:$FB,7)</f>
        <v>353.45</v>
      </c>
      <c r="C38" s="50">
        <f>VLOOKUP($A38,'Data shares'!$C:$FB,10)*100</f>
        <v>0.27</v>
      </c>
      <c r="D38" s="49">
        <f>VLOOKUP($A38,'Data shares'!$C:$FB,66)</f>
        <v>58707500</v>
      </c>
      <c r="E38" s="49">
        <f>VLOOKUP($A38,'Data shares'!$C:$FB,67)</f>
        <v>31752500</v>
      </c>
      <c r="F38" s="50">
        <f>VLOOKUP($A38,'Data shares'!$C:$FB,69)*100</f>
        <v>84.89</v>
      </c>
      <c r="G38" s="49">
        <f>VLOOKUP($A38,'Data shares'!$C:$FB,42)</f>
        <v>10675000</v>
      </c>
      <c r="H38" s="49">
        <f>VLOOKUP($A38,'Data shares'!$C:$FB,43)</f>
        <v>6102500</v>
      </c>
      <c r="I38" s="50">
        <f>VLOOKUP($A38,'Data shares'!$C:$FB,45)*100</f>
        <v>74.929999999999993</v>
      </c>
      <c r="J38" s="49">
        <f>VLOOKUP($A38,'Data shares'!$C:$FB,58)</f>
        <v>34452500</v>
      </c>
      <c r="K38" s="49">
        <f>VLOOKUP($A38,'Data shares'!$C:$FB,59)</f>
        <v>19295000</v>
      </c>
      <c r="L38" s="50">
        <f>VLOOKUP($A38,'Data shares'!$C:$FB,61)*100</f>
        <v>78.56</v>
      </c>
      <c r="M38" s="49">
        <f>VLOOKUP($A38,'Data shares'!$C:$FB,62)</f>
        <v>13580000</v>
      </c>
      <c r="N38" s="49">
        <f>VLOOKUP($A38,'Data shares'!$C:$FB,63)</f>
        <v>6355000</v>
      </c>
      <c r="O38" s="140">
        <f>VLOOKUP($A38,'Data shares'!$C:$FB,65)*100</f>
        <v>113.69</v>
      </c>
    </row>
    <row r="39" spans="1:15" x14ac:dyDescent="0.25">
      <c r="A39" s="101" t="str">
        <f>'Data shares'!C34</f>
        <v>BLUESTARCO</v>
      </c>
      <c r="B39" s="50">
        <f>VLOOKUP($A39,'Data shares'!$C:$FB,7)</f>
        <v>1949.1</v>
      </c>
      <c r="C39" s="50">
        <f>VLOOKUP($A39,'Data shares'!$C:$FB,10)*100</f>
        <v>3</v>
      </c>
      <c r="D39" s="49">
        <f>VLOOKUP($A39,'Data shares'!$C:$FB,66)</f>
        <v>5622175</v>
      </c>
      <c r="E39" s="49">
        <f>VLOOKUP($A39,'Data shares'!$C:$FB,67)</f>
        <v>718250</v>
      </c>
      <c r="F39" s="50">
        <f>VLOOKUP($A39,'Data shares'!$C:$FB,69)*100</f>
        <v>682.76</v>
      </c>
      <c r="G39" s="49">
        <f>VLOOKUP($A39,'Data shares'!$C:$FB,42)</f>
        <v>1211275</v>
      </c>
      <c r="H39" s="49">
        <f>VLOOKUP($A39,'Data shares'!$C:$FB,43)</f>
        <v>339950</v>
      </c>
      <c r="I39" s="50">
        <f>VLOOKUP($A39,'Data shares'!$C:$FB,45)*100</f>
        <v>256.31</v>
      </c>
      <c r="J39" s="49">
        <f>VLOOKUP($A39,'Data shares'!$C:$FB,58)</f>
        <v>3421600</v>
      </c>
      <c r="K39" s="49">
        <f>VLOOKUP($A39,'Data shares'!$C:$FB,59)</f>
        <v>261950</v>
      </c>
      <c r="L39" s="50">
        <f>VLOOKUP($A39,'Data shares'!$C:$FB,61)*100</f>
        <v>1206.2</v>
      </c>
      <c r="M39" s="49">
        <f>VLOOKUP($A39,'Data shares'!$C:$FB,62)</f>
        <v>989300</v>
      </c>
      <c r="N39" s="49">
        <f>VLOOKUP($A39,'Data shares'!$C:$FB,63)</f>
        <v>116350</v>
      </c>
      <c r="O39" s="140">
        <f>VLOOKUP($A39,'Data shares'!$C:$FB,65)*100</f>
        <v>750.28</v>
      </c>
    </row>
    <row r="40" spans="1:15" x14ac:dyDescent="0.25">
      <c r="A40" s="101" t="str">
        <f>'Data shares'!C35</f>
        <v>BOSCHLTD</v>
      </c>
      <c r="B40" s="50">
        <f>VLOOKUP($A40,'Data shares'!$C:$FB,7)</f>
        <v>38625</v>
      </c>
      <c r="C40" s="50">
        <f>VLOOKUP($A40,'Data shares'!$C:$FB,10)*100</f>
        <v>0.42</v>
      </c>
      <c r="D40" s="49">
        <f>VLOOKUP($A40,'Data shares'!$C:$FB,66)</f>
        <v>126575</v>
      </c>
      <c r="E40" s="49">
        <f>VLOOKUP($A40,'Data shares'!$C:$FB,67)</f>
        <v>148550</v>
      </c>
      <c r="F40" s="50">
        <f>VLOOKUP($A40,'Data shares'!$C:$FB,69)*100</f>
        <v>-14.790000000000001</v>
      </c>
      <c r="G40" s="49">
        <f>VLOOKUP($A40,'Data shares'!$C:$FB,42)</f>
        <v>31750</v>
      </c>
      <c r="H40" s="49">
        <f>VLOOKUP($A40,'Data shares'!$C:$FB,43)</f>
        <v>18075</v>
      </c>
      <c r="I40" s="50">
        <f>VLOOKUP($A40,'Data shares'!$C:$FB,45)*100</f>
        <v>75.660000000000011</v>
      </c>
      <c r="J40" s="49">
        <f>VLOOKUP($A40,'Data shares'!$C:$FB,58)</f>
        <v>73425</v>
      </c>
      <c r="K40" s="49">
        <f>VLOOKUP($A40,'Data shares'!$C:$FB,59)</f>
        <v>64700</v>
      </c>
      <c r="L40" s="50">
        <f>VLOOKUP($A40,'Data shares'!$C:$FB,61)*100</f>
        <v>13.489999999999998</v>
      </c>
      <c r="M40" s="49">
        <f>VLOOKUP($A40,'Data shares'!$C:$FB,62)</f>
        <v>21400</v>
      </c>
      <c r="N40" s="49">
        <f>VLOOKUP($A40,'Data shares'!$C:$FB,63)</f>
        <v>65775</v>
      </c>
      <c r="O40" s="140">
        <f>VLOOKUP($A40,'Data shares'!$C:$FB,65)*100</f>
        <v>-67.459999999999994</v>
      </c>
    </row>
    <row r="41" spans="1:15" x14ac:dyDescent="0.25">
      <c r="A41" s="101" t="str">
        <f>'Data shares'!C36</f>
        <v>BPCL</v>
      </c>
      <c r="B41" s="50">
        <f>VLOOKUP($A41,'Data shares'!$C:$FB,7)</f>
        <v>338.7</v>
      </c>
      <c r="C41" s="50">
        <f>VLOOKUP($A41,'Data shares'!$C:$FB,10)*100</f>
        <v>-1.54</v>
      </c>
      <c r="D41" s="49">
        <f>VLOOKUP($A41,'Data shares'!$C:$FB,66)</f>
        <v>31388675</v>
      </c>
      <c r="E41" s="49">
        <f>VLOOKUP($A41,'Data shares'!$C:$FB,67)</f>
        <v>46357200</v>
      </c>
      <c r="F41" s="50">
        <f>VLOOKUP($A41,'Data shares'!$C:$FB,69)*100</f>
        <v>-32.29</v>
      </c>
      <c r="G41" s="49">
        <f>VLOOKUP($A41,'Data shares'!$C:$FB,42)</f>
        <v>6829550</v>
      </c>
      <c r="H41" s="49">
        <f>VLOOKUP($A41,'Data shares'!$C:$FB,43)</f>
        <v>7143575</v>
      </c>
      <c r="I41" s="50">
        <f>VLOOKUP($A41,'Data shares'!$C:$FB,45)*100</f>
        <v>-4.3999999999999995</v>
      </c>
      <c r="J41" s="49">
        <f>VLOOKUP($A41,'Data shares'!$C:$FB,58)</f>
        <v>15837525</v>
      </c>
      <c r="K41" s="49">
        <f>VLOOKUP($A41,'Data shares'!$C:$FB,59)</f>
        <v>27825775</v>
      </c>
      <c r="L41" s="50">
        <f>VLOOKUP($A41,'Data shares'!$C:$FB,61)*100</f>
        <v>-43.08</v>
      </c>
      <c r="M41" s="49">
        <f>VLOOKUP($A41,'Data shares'!$C:$FB,62)</f>
        <v>8721600</v>
      </c>
      <c r="N41" s="49">
        <f>VLOOKUP($A41,'Data shares'!$C:$FB,63)</f>
        <v>11387850</v>
      </c>
      <c r="O41" s="140">
        <f>VLOOKUP($A41,'Data shares'!$C:$FB,65)*100</f>
        <v>-23.41</v>
      </c>
    </row>
    <row r="42" spans="1:15" x14ac:dyDescent="0.25">
      <c r="A42" s="101" t="str">
        <f>'Data shares'!C37</f>
        <v>BRITANNIA</v>
      </c>
      <c r="B42" s="50">
        <f>VLOOKUP($A42,'Data shares'!$C:$FB,7)</f>
        <v>5871.5</v>
      </c>
      <c r="C42" s="50">
        <f>VLOOKUP($A42,'Data shares'!$C:$FB,10)*100</f>
        <v>-0.08</v>
      </c>
      <c r="D42" s="49">
        <f>VLOOKUP($A42,'Data shares'!$C:$FB,66)</f>
        <v>856750</v>
      </c>
      <c r="E42" s="49">
        <f>VLOOKUP($A42,'Data shares'!$C:$FB,67)</f>
        <v>1460125</v>
      </c>
      <c r="F42" s="50">
        <f>VLOOKUP($A42,'Data shares'!$C:$FB,69)*100</f>
        <v>-41.32</v>
      </c>
      <c r="G42" s="49">
        <f>VLOOKUP($A42,'Data shares'!$C:$FB,42)</f>
        <v>168375</v>
      </c>
      <c r="H42" s="49">
        <f>VLOOKUP($A42,'Data shares'!$C:$FB,43)</f>
        <v>208875</v>
      </c>
      <c r="I42" s="50">
        <f>VLOOKUP($A42,'Data shares'!$C:$FB,45)*100</f>
        <v>-19.39</v>
      </c>
      <c r="J42" s="49">
        <f>VLOOKUP($A42,'Data shares'!$C:$FB,58)</f>
        <v>515250</v>
      </c>
      <c r="K42" s="49">
        <f>VLOOKUP($A42,'Data shares'!$C:$FB,59)</f>
        <v>933250</v>
      </c>
      <c r="L42" s="50">
        <f>VLOOKUP($A42,'Data shares'!$C:$FB,61)*100</f>
        <v>-44.79</v>
      </c>
      <c r="M42" s="49">
        <f>VLOOKUP($A42,'Data shares'!$C:$FB,62)</f>
        <v>173125</v>
      </c>
      <c r="N42" s="49">
        <f>VLOOKUP($A42,'Data shares'!$C:$FB,63)</f>
        <v>318000</v>
      </c>
      <c r="O42" s="140">
        <f>VLOOKUP($A42,'Data shares'!$C:$FB,65)*100</f>
        <v>-45.56</v>
      </c>
    </row>
    <row r="43" spans="1:15" x14ac:dyDescent="0.25">
      <c r="A43" s="101" t="str">
        <f>'Data shares'!C38</f>
        <v>BSE</v>
      </c>
      <c r="B43" s="50">
        <f>VLOOKUP($A43,'Data shares'!$C:$FB,7)</f>
        <v>2385</v>
      </c>
      <c r="C43" s="50">
        <f>VLOOKUP($A43,'Data shares'!$C:$FB,10)*100</f>
        <v>2.35</v>
      </c>
      <c r="D43" s="49">
        <f>VLOOKUP($A43,'Data shares'!$C:$FB,66)</f>
        <v>56261250</v>
      </c>
      <c r="E43" s="49">
        <f>VLOOKUP($A43,'Data shares'!$C:$FB,67)</f>
        <v>61701750</v>
      </c>
      <c r="F43" s="50">
        <f>VLOOKUP($A43,'Data shares'!$C:$FB,69)*100</f>
        <v>-8.82</v>
      </c>
      <c r="G43" s="49">
        <f>VLOOKUP($A43,'Data shares'!$C:$FB,42)</f>
        <v>5225250</v>
      </c>
      <c r="H43" s="49">
        <f>VLOOKUP($A43,'Data shares'!$C:$FB,43)</f>
        <v>6321000</v>
      </c>
      <c r="I43" s="50">
        <f>VLOOKUP($A43,'Data shares'!$C:$FB,45)*100</f>
        <v>-17.34</v>
      </c>
      <c r="J43" s="49">
        <f>VLOOKUP($A43,'Data shares'!$C:$FB,58)</f>
        <v>34923750</v>
      </c>
      <c r="K43" s="49">
        <f>VLOOKUP($A43,'Data shares'!$C:$FB,59)</f>
        <v>35055750</v>
      </c>
      <c r="L43" s="50">
        <f>VLOOKUP($A43,'Data shares'!$C:$FB,61)*100</f>
        <v>-0.38</v>
      </c>
      <c r="M43" s="49">
        <f>VLOOKUP($A43,'Data shares'!$C:$FB,62)</f>
        <v>16112250</v>
      </c>
      <c r="N43" s="49">
        <f>VLOOKUP($A43,'Data shares'!$C:$FB,63)</f>
        <v>20325000</v>
      </c>
      <c r="O43" s="140">
        <f>VLOOKUP($A43,'Data shares'!$C:$FB,65)*100</f>
        <v>-20.73</v>
      </c>
    </row>
    <row r="44" spans="1:15" x14ac:dyDescent="0.25">
      <c r="A44" s="101" t="str">
        <f>'Data shares'!C39</f>
        <v>CAMS</v>
      </c>
      <c r="B44" s="50">
        <f>VLOOKUP($A44,'Data shares'!$C:$FB,7)</f>
        <v>3860.8</v>
      </c>
      <c r="C44" s="50">
        <f>VLOOKUP($A44,'Data shares'!$C:$FB,10)*100</f>
        <v>0.77999999999999992</v>
      </c>
      <c r="D44" s="49">
        <f>VLOOKUP($A44,'Data shares'!$C:$FB,66)</f>
        <v>2343300</v>
      </c>
      <c r="E44" s="49">
        <f>VLOOKUP($A44,'Data shares'!$C:$FB,67)</f>
        <v>2360400</v>
      </c>
      <c r="F44" s="50">
        <f>VLOOKUP($A44,'Data shares'!$C:$FB,69)*100</f>
        <v>-0.72</v>
      </c>
      <c r="G44" s="49">
        <f>VLOOKUP($A44,'Data shares'!$C:$FB,42)</f>
        <v>400350</v>
      </c>
      <c r="H44" s="49">
        <f>VLOOKUP($A44,'Data shares'!$C:$FB,43)</f>
        <v>403800</v>
      </c>
      <c r="I44" s="50">
        <f>VLOOKUP($A44,'Data shares'!$C:$FB,45)*100</f>
        <v>-0.85000000000000009</v>
      </c>
      <c r="J44" s="49">
        <f>VLOOKUP($A44,'Data shares'!$C:$FB,58)</f>
        <v>1566300</v>
      </c>
      <c r="K44" s="49">
        <f>VLOOKUP($A44,'Data shares'!$C:$FB,59)</f>
        <v>1597500</v>
      </c>
      <c r="L44" s="50">
        <f>VLOOKUP($A44,'Data shares'!$C:$FB,61)*100</f>
        <v>-1.95</v>
      </c>
      <c r="M44" s="49">
        <f>VLOOKUP($A44,'Data shares'!$C:$FB,62)</f>
        <v>376650</v>
      </c>
      <c r="N44" s="49">
        <f>VLOOKUP($A44,'Data shares'!$C:$FB,63)</f>
        <v>359100</v>
      </c>
      <c r="O44" s="140">
        <f>VLOOKUP($A44,'Data shares'!$C:$FB,65)*100</f>
        <v>4.8899999999999997</v>
      </c>
    </row>
    <row r="45" spans="1:15" x14ac:dyDescent="0.25">
      <c r="A45" s="101" t="str">
        <f>'Data shares'!C40</f>
        <v>CANBK</v>
      </c>
      <c r="B45" s="50">
        <f>VLOOKUP($A45,'Data shares'!$C:$FB,7)</f>
        <v>127.39</v>
      </c>
      <c r="C45" s="50">
        <f>VLOOKUP($A45,'Data shares'!$C:$FB,10)*100</f>
        <v>0.97</v>
      </c>
      <c r="D45" s="49">
        <f>VLOOKUP($A45,'Data shares'!$C:$FB,66)</f>
        <v>317270250</v>
      </c>
      <c r="E45" s="49">
        <f>VLOOKUP($A45,'Data shares'!$C:$FB,67)</f>
        <v>168250500</v>
      </c>
      <c r="F45" s="50">
        <f>VLOOKUP($A45,'Data shares'!$C:$FB,69)*100</f>
        <v>88.570000000000007</v>
      </c>
      <c r="G45" s="49">
        <f>VLOOKUP($A45,'Data shares'!$C:$FB,42)</f>
        <v>54175500</v>
      </c>
      <c r="H45" s="49">
        <f>VLOOKUP($A45,'Data shares'!$C:$FB,43)</f>
        <v>32231250</v>
      </c>
      <c r="I45" s="50">
        <f>VLOOKUP($A45,'Data shares'!$C:$FB,45)*100</f>
        <v>68.08</v>
      </c>
      <c r="J45" s="49">
        <f>VLOOKUP($A45,'Data shares'!$C:$FB,58)</f>
        <v>178794000</v>
      </c>
      <c r="K45" s="49">
        <f>VLOOKUP($A45,'Data shares'!$C:$FB,59)</f>
        <v>88141500</v>
      </c>
      <c r="L45" s="50">
        <f>VLOOKUP($A45,'Data shares'!$C:$FB,61)*100</f>
        <v>102.85</v>
      </c>
      <c r="M45" s="49">
        <f>VLOOKUP($A45,'Data shares'!$C:$FB,62)</f>
        <v>84300750</v>
      </c>
      <c r="N45" s="49">
        <f>VLOOKUP($A45,'Data shares'!$C:$FB,63)</f>
        <v>47877750</v>
      </c>
      <c r="O45" s="140">
        <f>VLOOKUP($A45,'Data shares'!$C:$FB,65)*100</f>
        <v>76.08</v>
      </c>
    </row>
    <row r="46" spans="1:15" x14ac:dyDescent="0.25">
      <c r="A46" s="101" t="str">
        <f>'Data shares'!C41</f>
        <v>CDSL</v>
      </c>
      <c r="B46" s="50">
        <f>VLOOKUP($A46,'Data shares'!$C:$FB,7)</f>
        <v>1605.3</v>
      </c>
      <c r="C46" s="50">
        <f>VLOOKUP($A46,'Data shares'!$C:$FB,10)*100</f>
        <v>3</v>
      </c>
      <c r="D46" s="49">
        <f>VLOOKUP($A46,'Data shares'!$C:$FB,66)</f>
        <v>32985425</v>
      </c>
      <c r="E46" s="49">
        <f>VLOOKUP($A46,'Data shares'!$C:$FB,67)</f>
        <v>13303800</v>
      </c>
      <c r="F46" s="50">
        <f>VLOOKUP($A46,'Data shares'!$C:$FB,69)*100</f>
        <v>147.94</v>
      </c>
      <c r="G46" s="49">
        <f>VLOOKUP($A46,'Data shares'!$C:$FB,42)</f>
        <v>4331525</v>
      </c>
      <c r="H46" s="49">
        <f>VLOOKUP($A46,'Data shares'!$C:$FB,43)</f>
        <v>1876725</v>
      </c>
      <c r="I46" s="50">
        <f>VLOOKUP($A46,'Data shares'!$C:$FB,45)*100</f>
        <v>130.80000000000001</v>
      </c>
      <c r="J46" s="49">
        <f>VLOOKUP($A46,'Data shares'!$C:$FB,58)</f>
        <v>22485550</v>
      </c>
      <c r="K46" s="49">
        <f>VLOOKUP($A46,'Data shares'!$C:$FB,59)</f>
        <v>8437425</v>
      </c>
      <c r="L46" s="50">
        <f>VLOOKUP($A46,'Data shares'!$C:$FB,61)*100</f>
        <v>166.5</v>
      </c>
      <c r="M46" s="49">
        <f>VLOOKUP($A46,'Data shares'!$C:$FB,62)</f>
        <v>6168350</v>
      </c>
      <c r="N46" s="49">
        <f>VLOOKUP($A46,'Data shares'!$C:$FB,63)</f>
        <v>2989650</v>
      </c>
      <c r="O46" s="140">
        <f>VLOOKUP($A46,'Data shares'!$C:$FB,65)*100</f>
        <v>106.32</v>
      </c>
    </row>
    <row r="47" spans="1:15" x14ac:dyDescent="0.25">
      <c r="A47" s="101" t="str">
        <f>'Data shares'!C42</f>
        <v>CGPOWER</v>
      </c>
      <c r="B47" s="50">
        <f>VLOOKUP($A47,'Data shares'!$C:$FB,7)</f>
        <v>753.4</v>
      </c>
      <c r="C47" s="50">
        <f>VLOOKUP($A47,'Data shares'!$C:$FB,10)*100</f>
        <v>-1.02</v>
      </c>
      <c r="D47" s="49">
        <f>VLOOKUP($A47,'Data shares'!$C:$FB,66)</f>
        <v>11459700</v>
      </c>
      <c r="E47" s="49">
        <f>VLOOKUP($A47,'Data shares'!$C:$FB,67)</f>
        <v>17282200</v>
      </c>
      <c r="F47" s="50">
        <f>VLOOKUP($A47,'Data shares'!$C:$FB,69)*100</f>
        <v>-33.69</v>
      </c>
      <c r="G47" s="49">
        <f>VLOOKUP($A47,'Data shares'!$C:$FB,42)</f>
        <v>2548300</v>
      </c>
      <c r="H47" s="49">
        <f>VLOOKUP($A47,'Data shares'!$C:$FB,43)</f>
        <v>3623550</v>
      </c>
      <c r="I47" s="50">
        <f>VLOOKUP($A47,'Data shares'!$C:$FB,45)*100</f>
        <v>-29.67</v>
      </c>
      <c r="J47" s="49">
        <f>VLOOKUP($A47,'Data shares'!$C:$FB,58)</f>
        <v>6420900</v>
      </c>
      <c r="K47" s="49">
        <f>VLOOKUP($A47,'Data shares'!$C:$FB,59)</f>
        <v>10970100</v>
      </c>
      <c r="L47" s="50">
        <f>VLOOKUP($A47,'Data shares'!$C:$FB,61)*100</f>
        <v>-41.47</v>
      </c>
      <c r="M47" s="49">
        <f>VLOOKUP($A47,'Data shares'!$C:$FB,62)</f>
        <v>2490500</v>
      </c>
      <c r="N47" s="49">
        <f>VLOOKUP($A47,'Data shares'!$C:$FB,63)</f>
        <v>2688550</v>
      </c>
      <c r="O47" s="140">
        <f>VLOOKUP($A47,'Data shares'!$C:$FB,65)*100</f>
        <v>-7.37</v>
      </c>
    </row>
    <row r="48" spans="1:15" x14ac:dyDescent="0.25">
      <c r="A48" s="101" t="str">
        <f>'Data shares'!C43</f>
        <v>CHOLAFIN</v>
      </c>
      <c r="B48" s="50">
        <f>VLOOKUP($A48,'Data shares'!$C:$FB,7)</f>
        <v>1614.2</v>
      </c>
      <c r="C48" s="50">
        <f>VLOOKUP($A48,'Data shares'!$C:$FB,10)*100</f>
        <v>-0.44</v>
      </c>
      <c r="D48" s="49">
        <f>VLOOKUP($A48,'Data shares'!$C:$FB,66)</f>
        <v>5520000</v>
      </c>
      <c r="E48" s="49">
        <f>VLOOKUP($A48,'Data shares'!$C:$FB,67)</f>
        <v>6890000</v>
      </c>
      <c r="F48" s="50">
        <f>VLOOKUP($A48,'Data shares'!$C:$FB,69)*100</f>
        <v>-19.88</v>
      </c>
      <c r="G48" s="49">
        <f>VLOOKUP($A48,'Data shares'!$C:$FB,42)</f>
        <v>1146250</v>
      </c>
      <c r="H48" s="49">
        <f>VLOOKUP($A48,'Data shares'!$C:$FB,43)</f>
        <v>1890625</v>
      </c>
      <c r="I48" s="50">
        <f>VLOOKUP($A48,'Data shares'!$C:$FB,45)*100</f>
        <v>-39.369999999999997</v>
      </c>
      <c r="J48" s="49">
        <f>VLOOKUP($A48,'Data shares'!$C:$FB,58)</f>
        <v>3148125</v>
      </c>
      <c r="K48" s="49">
        <f>VLOOKUP($A48,'Data shares'!$C:$FB,59)</f>
        <v>3404375</v>
      </c>
      <c r="L48" s="50">
        <f>VLOOKUP($A48,'Data shares'!$C:$FB,61)*100</f>
        <v>-7.53</v>
      </c>
      <c r="M48" s="49">
        <f>VLOOKUP($A48,'Data shares'!$C:$FB,62)</f>
        <v>1225625</v>
      </c>
      <c r="N48" s="49">
        <f>VLOOKUP($A48,'Data shares'!$C:$FB,63)</f>
        <v>1595000</v>
      </c>
      <c r="O48" s="140">
        <f>VLOOKUP($A48,'Data shares'!$C:$FB,65)*100</f>
        <v>-23.16</v>
      </c>
    </row>
    <row r="49" spans="1:15" x14ac:dyDescent="0.25">
      <c r="A49" s="101" t="str">
        <f>'Data shares'!C44</f>
        <v>CIPLA</v>
      </c>
      <c r="B49" s="50">
        <f>VLOOKUP($A49,'Data shares'!$C:$FB,7)</f>
        <v>1561.8</v>
      </c>
      <c r="C49" s="50">
        <f>VLOOKUP($A49,'Data shares'!$C:$FB,10)*100</f>
        <v>3.2199999999999998</v>
      </c>
      <c r="D49" s="49">
        <f>VLOOKUP($A49,'Data shares'!$C:$FB,66)</f>
        <v>32216625</v>
      </c>
      <c r="E49" s="49">
        <f>VLOOKUP($A49,'Data shares'!$C:$FB,67)</f>
        <v>8125875</v>
      </c>
      <c r="F49" s="50">
        <f>VLOOKUP($A49,'Data shares'!$C:$FB,69)*100</f>
        <v>296.47000000000003</v>
      </c>
      <c r="G49" s="49">
        <f>VLOOKUP($A49,'Data shares'!$C:$FB,42)</f>
        <v>3531375</v>
      </c>
      <c r="H49" s="49">
        <f>VLOOKUP($A49,'Data shares'!$C:$FB,43)</f>
        <v>1343625</v>
      </c>
      <c r="I49" s="50">
        <f>VLOOKUP($A49,'Data shares'!$C:$FB,45)*100</f>
        <v>162.82000000000002</v>
      </c>
      <c r="J49" s="49">
        <f>VLOOKUP($A49,'Data shares'!$C:$FB,58)</f>
        <v>20770125</v>
      </c>
      <c r="K49" s="49">
        <f>VLOOKUP($A49,'Data shares'!$C:$FB,59)</f>
        <v>5136000</v>
      </c>
      <c r="L49" s="50">
        <f>VLOOKUP($A49,'Data shares'!$C:$FB,61)*100</f>
        <v>304.39999999999998</v>
      </c>
      <c r="M49" s="49">
        <f>VLOOKUP($A49,'Data shares'!$C:$FB,62)</f>
        <v>7915125</v>
      </c>
      <c r="N49" s="49">
        <f>VLOOKUP($A49,'Data shares'!$C:$FB,63)</f>
        <v>1646250</v>
      </c>
      <c r="O49" s="140">
        <f>VLOOKUP($A49,'Data shares'!$C:$FB,65)*100</f>
        <v>380.79999999999995</v>
      </c>
    </row>
    <row r="50" spans="1:15" x14ac:dyDescent="0.25">
      <c r="A50" s="101" t="str">
        <f>'Data shares'!C45</f>
        <v>COALINDIA</v>
      </c>
      <c r="B50" s="50">
        <f>VLOOKUP($A50,'Data shares'!$C:$FB,7)</f>
        <v>384.5</v>
      </c>
      <c r="C50" s="50">
        <f>VLOOKUP($A50,'Data shares'!$C:$FB,10)*100</f>
        <v>0.3</v>
      </c>
      <c r="D50" s="49">
        <f>VLOOKUP($A50,'Data shares'!$C:$FB,66)</f>
        <v>30369600</v>
      </c>
      <c r="E50" s="49">
        <f>VLOOKUP($A50,'Data shares'!$C:$FB,67)</f>
        <v>34118550</v>
      </c>
      <c r="F50" s="50">
        <f>VLOOKUP($A50,'Data shares'!$C:$FB,69)*100</f>
        <v>-10.99</v>
      </c>
      <c r="G50" s="49">
        <f>VLOOKUP($A50,'Data shares'!$C:$FB,42)</f>
        <v>5665950</v>
      </c>
      <c r="H50" s="49">
        <f>VLOOKUP($A50,'Data shares'!$C:$FB,43)</f>
        <v>5215050</v>
      </c>
      <c r="I50" s="50">
        <f>VLOOKUP($A50,'Data shares'!$C:$FB,45)*100</f>
        <v>8.6499999999999986</v>
      </c>
      <c r="J50" s="49">
        <f>VLOOKUP($A50,'Data shares'!$C:$FB,58)</f>
        <v>16858800</v>
      </c>
      <c r="K50" s="49">
        <f>VLOOKUP($A50,'Data shares'!$C:$FB,59)</f>
        <v>19890900</v>
      </c>
      <c r="L50" s="50">
        <f>VLOOKUP($A50,'Data shares'!$C:$FB,61)*100</f>
        <v>-15.24</v>
      </c>
      <c r="M50" s="49">
        <f>VLOOKUP($A50,'Data shares'!$C:$FB,62)</f>
        <v>7844850</v>
      </c>
      <c r="N50" s="49">
        <f>VLOOKUP($A50,'Data shares'!$C:$FB,63)</f>
        <v>9012600</v>
      </c>
      <c r="O50" s="140">
        <f>VLOOKUP($A50,'Data shares'!$C:$FB,65)*100</f>
        <v>-12.959999999999999</v>
      </c>
    </row>
    <row r="51" spans="1:15" x14ac:dyDescent="0.25">
      <c r="A51" s="101" t="str">
        <f>'Data shares'!C46</f>
        <v>COFORGE</v>
      </c>
      <c r="B51" s="50">
        <f>VLOOKUP($A51,'Data shares'!$C:$FB,7)</f>
        <v>1722.3</v>
      </c>
      <c r="C51" s="50">
        <f>VLOOKUP($A51,'Data shares'!$C:$FB,10)*100</f>
        <v>0.13</v>
      </c>
      <c r="D51" s="49">
        <f>VLOOKUP($A51,'Data shares'!$C:$FB,66)</f>
        <v>13305750</v>
      </c>
      <c r="E51" s="49">
        <f>VLOOKUP($A51,'Data shares'!$C:$FB,67)</f>
        <v>13551375</v>
      </c>
      <c r="F51" s="50">
        <f>VLOOKUP($A51,'Data shares'!$C:$FB,69)*100</f>
        <v>-1.81</v>
      </c>
      <c r="G51" s="49">
        <f>VLOOKUP($A51,'Data shares'!$C:$FB,42)</f>
        <v>2481375</v>
      </c>
      <c r="H51" s="49">
        <f>VLOOKUP($A51,'Data shares'!$C:$FB,43)</f>
        <v>2356500</v>
      </c>
      <c r="I51" s="50">
        <f>VLOOKUP($A51,'Data shares'!$C:$FB,45)*100</f>
        <v>5.3</v>
      </c>
      <c r="J51" s="49">
        <f>VLOOKUP($A51,'Data shares'!$C:$FB,58)</f>
        <v>7130250</v>
      </c>
      <c r="K51" s="49">
        <f>VLOOKUP($A51,'Data shares'!$C:$FB,59)</f>
        <v>7158750</v>
      </c>
      <c r="L51" s="50">
        <f>VLOOKUP($A51,'Data shares'!$C:$FB,61)*100</f>
        <v>-0.4</v>
      </c>
      <c r="M51" s="49">
        <f>VLOOKUP($A51,'Data shares'!$C:$FB,62)</f>
        <v>3694125</v>
      </c>
      <c r="N51" s="49">
        <f>VLOOKUP($A51,'Data shares'!$C:$FB,63)</f>
        <v>4036125</v>
      </c>
      <c r="O51" s="140">
        <f>VLOOKUP($A51,'Data shares'!$C:$FB,65)*100</f>
        <v>-8.4699999999999989</v>
      </c>
    </row>
    <row r="52" spans="1:15" x14ac:dyDescent="0.25">
      <c r="A52" s="101" t="str">
        <f>'Data shares'!C47</f>
        <v>COLPAL</v>
      </c>
      <c r="B52" s="50">
        <f>VLOOKUP($A52,'Data shares'!$C:$FB,7)</f>
        <v>2227.8000000000002</v>
      </c>
      <c r="C52" s="50">
        <f>VLOOKUP($A52,'Data shares'!$C:$FB,10)*100</f>
        <v>0.86999999999999988</v>
      </c>
      <c r="D52" s="49">
        <f>VLOOKUP($A52,'Data shares'!$C:$FB,66)</f>
        <v>2343375</v>
      </c>
      <c r="E52" s="49">
        <f>VLOOKUP($A52,'Data shares'!$C:$FB,67)</f>
        <v>1425375</v>
      </c>
      <c r="F52" s="50">
        <f>VLOOKUP($A52,'Data shares'!$C:$FB,69)*100</f>
        <v>64.400000000000006</v>
      </c>
      <c r="G52" s="49">
        <f>VLOOKUP($A52,'Data shares'!$C:$FB,42)</f>
        <v>616050</v>
      </c>
      <c r="H52" s="49">
        <f>VLOOKUP($A52,'Data shares'!$C:$FB,43)</f>
        <v>572625</v>
      </c>
      <c r="I52" s="50">
        <f>VLOOKUP($A52,'Data shares'!$C:$FB,45)*100</f>
        <v>7.580000000000001</v>
      </c>
      <c r="J52" s="49">
        <f>VLOOKUP($A52,'Data shares'!$C:$FB,58)</f>
        <v>1324575</v>
      </c>
      <c r="K52" s="49">
        <f>VLOOKUP($A52,'Data shares'!$C:$FB,59)</f>
        <v>663075</v>
      </c>
      <c r="L52" s="50">
        <f>VLOOKUP($A52,'Data shares'!$C:$FB,61)*100</f>
        <v>99.76</v>
      </c>
      <c r="M52" s="49">
        <f>VLOOKUP($A52,'Data shares'!$C:$FB,62)</f>
        <v>402750</v>
      </c>
      <c r="N52" s="49">
        <f>VLOOKUP($A52,'Data shares'!$C:$FB,63)</f>
        <v>189675</v>
      </c>
      <c r="O52" s="140">
        <f>VLOOKUP($A52,'Data shares'!$C:$FB,65)*100</f>
        <v>112.33999999999999</v>
      </c>
    </row>
    <row r="53" spans="1:15" x14ac:dyDescent="0.25">
      <c r="A53" s="101" t="str">
        <f>'Data shares'!C48</f>
        <v>CONCOR</v>
      </c>
      <c r="B53" s="50">
        <f>VLOOKUP($A53,'Data shares'!$C:$FB,7)</f>
        <v>541.4</v>
      </c>
      <c r="C53" s="50">
        <f>VLOOKUP($A53,'Data shares'!$C:$FB,10)*100</f>
        <v>0.67999999999999994</v>
      </c>
      <c r="D53" s="49">
        <f>VLOOKUP($A53,'Data shares'!$C:$FB,66)</f>
        <v>17983750</v>
      </c>
      <c r="E53" s="49">
        <f>VLOOKUP($A53,'Data shares'!$C:$FB,67)</f>
        <v>26731250</v>
      </c>
      <c r="F53" s="50">
        <f>VLOOKUP($A53,'Data shares'!$C:$FB,69)*100</f>
        <v>-32.72</v>
      </c>
      <c r="G53" s="49">
        <f>VLOOKUP($A53,'Data shares'!$C:$FB,42)</f>
        <v>3482500</v>
      </c>
      <c r="H53" s="49">
        <f>VLOOKUP($A53,'Data shares'!$C:$FB,43)</f>
        <v>5420000</v>
      </c>
      <c r="I53" s="50">
        <f>VLOOKUP($A53,'Data shares'!$C:$FB,45)*100</f>
        <v>-35.75</v>
      </c>
      <c r="J53" s="49">
        <f>VLOOKUP($A53,'Data shares'!$C:$FB,58)</f>
        <v>11128750</v>
      </c>
      <c r="K53" s="49">
        <f>VLOOKUP($A53,'Data shares'!$C:$FB,59)</f>
        <v>15996250</v>
      </c>
      <c r="L53" s="50">
        <f>VLOOKUP($A53,'Data shares'!$C:$FB,61)*100</f>
        <v>-30.43</v>
      </c>
      <c r="M53" s="49">
        <f>VLOOKUP($A53,'Data shares'!$C:$FB,62)</f>
        <v>3372500</v>
      </c>
      <c r="N53" s="49">
        <f>VLOOKUP($A53,'Data shares'!$C:$FB,63)</f>
        <v>5315000</v>
      </c>
      <c r="O53" s="140">
        <f>VLOOKUP($A53,'Data shares'!$C:$FB,65)*100</f>
        <v>-36.549999999999997</v>
      </c>
    </row>
    <row r="54" spans="1:15" x14ac:dyDescent="0.25">
      <c r="A54" s="101" t="str">
        <f>'Data shares'!C49</f>
        <v>CROMPTON</v>
      </c>
      <c r="B54" s="50">
        <f>VLOOKUP($A54,'Data shares'!$C:$FB,7)</f>
        <v>287.75</v>
      </c>
      <c r="C54" s="50">
        <f>VLOOKUP($A54,'Data shares'!$C:$FB,10)*100</f>
        <v>1.1199999999999999</v>
      </c>
      <c r="D54" s="49">
        <f>VLOOKUP($A54,'Data shares'!$C:$FB,66)</f>
        <v>26521200</v>
      </c>
      <c r="E54" s="49">
        <f>VLOOKUP($A54,'Data shares'!$C:$FB,67)</f>
        <v>19188000</v>
      </c>
      <c r="F54" s="50">
        <f>VLOOKUP($A54,'Data shares'!$C:$FB,69)*100</f>
        <v>38.22</v>
      </c>
      <c r="G54" s="49">
        <f>VLOOKUP($A54,'Data shares'!$C:$FB,42)</f>
        <v>5722200</v>
      </c>
      <c r="H54" s="49">
        <f>VLOOKUP($A54,'Data shares'!$C:$FB,43)</f>
        <v>5423400</v>
      </c>
      <c r="I54" s="50">
        <f>VLOOKUP($A54,'Data shares'!$C:$FB,45)*100</f>
        <v>5.5100000000000007</v>
      </c>
      <c r="J54" s="49">
        <f>VLOOKUP($A54,'Data shares'!$C:$FB,58)</f>
        <v>16507800</v>
      </c>
      <c r="K54" s="49">
        <f>VLOOKUP($A54,'Data shares'!$C:$FB,59)</f>
        <v>10949400</v>
      </c>
      <c r="L54" s="50">
        <f>VLOOKUP($A54,'Data shares'!$C:$FB,61)*100</f>
        <v>50.760000000000005</v>
      </c>
      <c r="M54" s="49">
        <f>VLOOKUP($A54,'Data shares'!$C:$FB,62)</f>
        <v>4291200</v>
      </c>
      <c r="N54" s="49">
        <f>VLOOKUP($A54,'Data shares'!$C:$FB,63)</f>
        <v>2815200</v>
      </c>
      <c r="O54" s="140">
        <f>VLOOKUP($A54,'Data shares'!$C:$FB,65)*100</f>
        <v>52.43</v>
      </c>
    </row>
    <row r="55" spans="1:15" x14ac:dyDescent="0.25">
      <c r="A55" s="101" t="str">
        <f>'Data shares'!C50</f>
        <v>CUMMINSIND</v>
      </c>
      <c r="B55" s="50">
        <f>VLOOKUP($A55,'Data shares'!$C:$FB,7)</f>
        <v>3966</v>
      </c>
      <c r="C55" s="50">
        <f>VLOOKUP($A55,'Data shares'!$C:$FB,10)*100</f>
        <v>0.22</v>
      </c>
      <c r="D55" s="49">
        <f>VLOOKUP($A55,'Data shares'!$C:$FB,66)</f>
        <v>4103800</v>
      </c>
      <c r="E55" s="49">
        <f>VLOOKUP($A55,'Data shares'!$C:$FB,67)</f>
        <v>1810000</v>
      </c>
      <c r="F55" s="50">
        <f>VLOOKUP($A55,'Data shares'!$C:$FB,69)*100</f>
        <v>126.73</v>
      </c>
      <c r="G55" s="49">
        <f>VLOOKUP($A55,'Data shares'!$C:$FB,42)</f>
        <v>1004800</v>
      </c>
      <c r="H55" s="49">
        <f>VLOOKUP($A55,'Data shares'!$C:$FB,43)</f>
        <v>461400</v>
      </c>
      <c r="I55" s="50">
        <f>VLOOKUP($A55,'Data shares'!$C:$FB,45)*100</f>
        <v>117.77</v>
      </c>
      <c r="J55" s="49">
        <f>VLOOKUP($A55,'Data shares'!$C:$FB,58)</f>
        <v>2447800</v>
      </c>
      <c r="K55" s="49">
        <f>VLOOKUP($A55,'Data shares'!$C:$FB,59)</f>
        <v>1058800</v>
      </c>
      <c r="L55" s="50">
        <f>VLOOKUP($A55,'Data shares'!$C:$FB,61)*100</f>
        <v>131.19</v>
      </c>
      <c r="M55" s="49">
        <f>VLOOKUP($A55,'Data shares'!$C:$FB,62)</f>
        <v>651200</v>
      </c>
      <c r="N55" s="49">
        <f>VLOOKUP($A55,'Data shares'!$C:$FB,63)</f>
        <v>289800</v>
      </c>
      <c r="O55" s="140">
        <f>VLOOKUP($A55,'Data shares'!$C:$FB,65)*100</f>
        <v>124.71000000000001</v>
      </c>
    </row>
    <row r="56" spans="1:15" x14ac:dyDescent="0.25">
      <c r="A56" s="101" t="str">
        <f>'Data shares'!C51</f>
        <v>CYIENT</v>
      </c>
      <c r="B56" s="50">
        <f>VLOOKUP($A56,'Data shares'!$C:$FB,7)</f>
        <v>1176.9000000000001</v>
      </c>
      <c r="C56" s="50">
        <f>VLOOKUP($A56,'Data shares'!$C:$FB,10)*100</f>
        <v>0.02</v>
      </c>
      <c r="D56" s="49">
        <f>VLOOKUP($A56,'Data shares'!$C:$FB,66)</f>
        <v>2348125</v>
      </c>
      <c r="E56" s="49">
        <f>VLOOKUP($A56,'Data shares'!$C:$FB,67)</f>
        <v>2170900</v>
      </c>
      <c r="F56" s="50">
        <f>VLOOKUP($A56,'Data shares'!$C:$FB,69)*100</f>
        <v>8.16</v>
      </c>
      <c r="G56" s="49">
        <f>VLOOKUP($A56,'Data shares'!$C:$FB,42)</f>
        <v>386325</v>
      </c>
      <c r="H56" s="49">
        <f>VLOOKUP($A56,'Data shares'!$C:$FB,43)</f>
        <v>606900</v>
      </c>
      <c r="I56" s="50">
        <f>VLOOKUP($A56,'Data shares'!$C:$FB,45)*100</f>
        <v>-36.340000000000003</v>
      </c>
      <c r="J56" s="49">
        <f>VLOOKUP($A56,'Data shares'!$C:$FB,58)</f>
        <v>1648575</v>
      </c>
      <c r="K56" s="49">
        <f>VLOOKUP($A56,'Data shares'!$C:$FB,59)</f>
        <v>1077375</v>
      </c>
      <c r="L56" s="50">
        <f>VLOOKUP($A56,'Data shares'!$C:$FB,61)*100</f>
        <v>53.02</v>
      </c>
      <c r="M56" s="49">
        <f>VLOOKUP($A56,'Data shares'!$C:$FB,62)</f>
        <v>313225</v>
      </c>
      <c r="N56" s="49">
        <f>VLOOKUP($A56,'Data shares'!$C:$FB,63)</f>
        <v>486625</v>
      </c>
      <c r="O56" s="140">
        <f>VLOOKUP($A56,'Data shares'!$C:$FB,65)*100</f>
        <v>-35.630000000000003</v>
      </c>
    </row>
    <row r="57" spans="1:15" x14ac:dyDescent="0.25">
      <c r="A57" s="101" t="str">
        <f>'Data shares'!C52</f>
        <v>DABUR</v>
      </c>
      <c r="B57" s="50">
        <f>VLOOKUP($A57,'Data shares'!$C:$FB,7)</f>
        <v>489.7</v>
      </c>
      <c r="C57" s="50">
        <f>VLOOKUP($A57,'Data shares'!$C:$FB,10)*100</f>
        <v>0.89</v>
      </c>
      <c r="D57" s="49">
        <f>VLOOKUP($A57,'Data shares'!$C:$FB,66)</f>
        <v>16525000</v>
      </c>
      <c r="E57" s="49">
        <f>VLOOKUP($A57,'Data shares'!$C:$FB,67)</f>
        <v>23620000</v>
      </c>
      <c r="F57" s="50">
        <f>VLOOKUP($A57,'Data shares'!$C:$FB,69)*100</f>
        <v>-30.04</v>
      </c>
      <c r="G57" s="49">
        <f>VLOOKUP($A57,'Data shares'!$C:$FB,42)</f>
        <v>2378750</v>
      </c>
      <c r="H57" s="49">
        <f>VLOOKUP($A57,'Data shares'!$C:$FB,43)</f>
        <v>3546250</v>
      </c>
      <c r="I57" s="50">
        <f>VLOOKUP($A57,'Data shares'!$C:$FB,45)*100</f>
        <v>-32.92</v>
      </c>
      <c r="J57" s="49">
        <f>VLOOKUP($A57,'Data shares'!$C:$FB,58)</f>
        <v>10195000</v>
      </c>
      <c r="K57" s="49">
        <f>VLOOKUP($A57,'Data shares'!$C:$FB,59)</f>
        <v>14016250</v>
      </c>
      <c r="L57" s="50">
        <f>VLOOKUP($A57,'Data shares'!$C:$FB,61)*100</f>
        <v>-27.26</v>
      </c>
      <c r="M57" s="49">
        <f>VLOOKUP($A57,'Data shares'!$C:$FB,62)</f>
        <v>3951250</v>
      </c>
      <c r="N57" s="49">
        <f>VLOOKUP($A57,'Data shares'!$C:$FB,63)</f>
        <v>6057500</v>
      </c>
      <c r="O57" s="140">
        <f>VLOOKUP($A57,'Data shares'!$C:$FB,65)*100</f>
        <v>-34.770000000000003</v>
      </c>
    </row>
    <row r="58" spans="1:15" x14ac:dyDescent="0.25">
      <c r="A58" s="101" t="str">
        <f>'Data shares'!C53</f>
        <v>DALBHARAT</v>
      </c>
      <c r="B58" s="50">
        <f>VLOOKUP($A58,'Data shares'!$C:$FB,7)</f>
        <v>2227.6999999999998</v>
      </c>
      <c r="C58" s="50">
        <f>VLOOKUP($A58,'Data shares'!$C:$FB,10)*100</f>
        <v>-0.31</v>
      </c>
      <c r="D58" s="49">
        <f>VLOOKUP($A58,'Data shares'!$C:$FB,66)</f>
        <v>781950</v>
      </c>
      <c r="E58" s="49">
        <f>VLOOKUP($A58,'Data shares'!$C:$FB,67)</f>
        <v>1271075</v>
      </c>
      <c r="F58" s="50">
        <f>VLOOKUP($A58,'Data shares'!$C:$FB,69)*100</f>
        <v>-38.479999999999997</v>
      </c>
      <c r="G58" s="49">
        <f>VLOOKUP($A58,'Data shares'!$C:$FB,42)</f>
        <v>315900</v>
      </c>
      <c r="H58" s="49">
        <f>VLOOKUP($A58,'Data shares'!$C:$FB,43)</f>
        <v>493675</v>
      </c>
      <c r="I58" s="50">
        <f>VLOOKUP($A58,'Data shares'!$C:$FB,45)*100</f>
        <v>-36.01</v>
      </c>
      <c r="J58" s="49">
        <f>VLOOKUP($A58,'Data shares'!$C:$FB,58)</f>
        <v>271375</v>
      </c>
      <c r="K58" s="49">
        <f>VLOOKUP($A58,'Data shares'!$C:$FB,59)</f>
        <v>369200</v>
      </c>
      <c r="L58" s="50">
        <f>VLOOKUP($A58,'Data shares'!$C:$FB,61)*100</f>
        <v>-26.5</v>
      </c>
      <c r="M58" s="49">
        <f>VLOOKUP($A58,'Data shares'!$C:$FB,62)</f>
        <v>194675</v>
      </c>
      <c r="N58" s="49">
        <f>VLOOKUP($A58,'Data shares'!$C:$FB,63)</f>
        <v>408200</v>
      </c>
      <c r="O58" s="140">
        <f>VLOOKUP($A58,'Data shares'!$C:$FB,65)*100</f>
        <v>-52.31</v>
      </c>
    </row>
    <row r="59" spans="1:15" x14ac:dyDescent="0.25">
      <c r="A59" s="101" t="str">
        <f>'Data shares'!C54</f>
        <v>DELHIVERY</v>
      </c>
      <c r="B59" s="50">
        <f>VLOOKUP($A59,'Data shares'!$C:$FB,7)</f>
        <v>464.85</v>
      </c>
      <c r="C59" s="50">
        <f>VLOOKUP($A59,'Data shares'!$C:$FB,10)*100</f>
        <v>-0.67</v>
      </c>
      <c r="D59" s="49">
        <f>VLOOKUP($A59,'Data shares'!$C:$FB,66)</f>
        <v>15842625</v>
      </c>
      <c r="E59" s="49">
        <f>VLOOKUP($A59,'Data shares'!$C:$FB,67)</f>
        <v>18666700</v>
      </c>
      <c r="F59" s="50">
        <f>VLOOKUP($A59,'Data shares'!$C:$FB,69)*100</f>
        <v>-15.129999999999999</v>
      </c>
      <c r="G59" s="49">
        <f>VLOOKUP($A59,'Data shares'!$C:$FB,42)</f>
        <v>3855350</v>
      </c>
      <c r="H59" s="49">
        <f>VLOOKUP($A59,'Data shares'!$C:$FB,43)</f>
        <v>3185125</v>
      </c>
      <c r="I59" s="50">
        <f>VLOOKUP($A59,'Data shares'!$C:$FB,45)*100</f>
        <v>21.04</v>
      </c>
      <c r="J59" s="49">
        <f>VLOOKUP($A59,'Data shares'!$C:$FB,58)</f>
        <v>7474150</v>
      </c>
      <c r="K59" s="49">
        <f>VLOOKUP($A59,'Data shares'!$C:$FB,59)</f>
        <v>10360475</v>
      </c>
      <c r="L59" s="50">
        <f>VLOOKUP($A59,'Data shares'!$C:$FB,61)*100</f>
        <v>-27.860000000000003</v>
      </c>
      <c r="M59" s="49">
        <f>VLOOKUP($A59,'Data shares'!$C:$FB,62)</f>
        <v>4513125</v>
      </c>
      <c r="N59" s="49">
        <f>VLOOKUP($A59,'Data shares'!$C:$FB,63)</f>
        <v>5121100</v>
      </c>
      <c r="O59" s="140">
        <f>VLOOKUP($A59,'Data shares'!$C:$FB,65)*100</f>
        <v>-11.87</v>
      </c>
    </row>
    <row r="60" spans="1:15" x14ac:dyDescent="0.25">
      <c r="A60" s="101" t="str">
        <f>'Data shares'!C55</f>
        <v>DIVISLAB</v>
      </c>
      <c r="B60" s="50">
        <f>VLOOKUP($A60,'Data shares'!$C:$FB,7)</f>
        <v>6474.5</v>
      </c>
      <c r="C60" s="50">
        <f>VLOOKUP($A60,'Data shares'!$C:$FB,10)*100</f>
        <v>5.59</v>
      </c>
      <c r="D60" s="49">
        <f>VLOOKUP($A60,'Data shares'!$C:$FB,66)</f>
        <v>21603100</v>
      </c>
      <c r="E60" s="49">
        <f>VLOOKUP($A60,'Data shares'!$C:$FB,67)</f>
        <v>2996200</v>
      </c>
      <c r="F60" s="50">
        <f>VLOOKUP($A60,'Data shares'!$C:$FB,69)*100</f>
        <v>621.02</v>
      </c>
      <c r="G60" s="49">
        <f>VLOOKUP($A60,'Data shares'!$C:$FB,42)</f>
        <v>1350400</v>
      </c>
      <c r="H60" s="49">
        <f>VLOOKUP($A60,'Data shares'!$C:$FB,43)</f>
        <v>288600</v>
      </c>
      <c r="I60" s="50">
        <f>VLOOKUP($A60,'Data shares'!$C:$FB,45)*100</f>
        <v>367.91</v>
      </c>
      <c r="J60" s="49">
        <f>VLOOKUP($A60,'Data shares'!$C:$FB,58)</f>
        <v>14622500</v>
      </c>
      <c r="K60" s="49">
        <f>VLOOKUP($A60,'Data shares'!$C:$FB,59)</f>
        <v>1858000</v>
      </c>
      <c r="L60" s="50">
        <f>VLOOKUP($A60,'Data shares'!$C:$FB,61)*100</f>
        <v>687</v>
      </c>
      <c r="M60" s="49">
        <f>VLOOKUP($A60,'Data shares'!$C:$FB,62)</f>
        <v>5630200</v>
      </c>
      <c r="N60" s="49">
        <f>VLOOKUP($A60,'Data shares'!$C:$FB,63)</f>
        <v>849600</v>
      </c>
      <c r="O60" s="140">
        <f>VLOOKUP($A60,'Data shares'!$C:$FB,65)*100</f>
        <v>562.69000000000005</v>
      </c>
    </row>
    <row r="61" spans="1:15" x14ac:dyDescent="0.25">
      <c r="A61" s="101" t="str">
        <f>'Data shares'!C56</f>
        <v>DIXON</v>
      </c>
      <c r="B61" s="50">
        <f>VLOOKUP($A61,'Data shares'!$C:$FB,7)</f>
        <v>17445</v>
      </c>
      <c r="C61" s="50">
        <f>VLOOKUP($A61,'Data shares'!$C:$FB,10)*100</f>
        <v>2.0299999999999998</v>
      </c>
      <c r="D61" s="49">
        <f>VLOOKUP($A61,'Data shares'!$C:$FB,66)</f>
        <v>2911700</v>
      </c>
      <c r="E61" s="49">
        <f>VLOOKUP($A61,'Data shares'!$C:$FB,67)</f>
        <v>1764450</v>
      </c>
      <c r="F61" s="50">
        <f>VLOOKUP($A61,'Data shares'!$C:$FB,69)*100</f>
        <v>65.02</v>
      </c>
      <c r="G61" s="49">
        <f>VLOOKUP($A61,'Data shares'!$C:$FB,42)</f>
        <v>337350</v>
      </c>
      <c r="H61" s="49">
        <f>VLOOKUP($A61,'Data shares'!$C:$FB,43)</f>
        <v>180800</v>
      </c>
      <c r="I61" s="50">
        <f>VLOOKUP($A61,'Data shares'!$C:$FB,45)*100</f>
        <v>86.59</v>
      </c>
      <c r="J61" s="49">
        <f>VLOOKUP($A61,'Data shares'!$C:$FB,58)</f>
        <v>1686250</v>
      </c>
      <c r="K61" s="49">
        <f>VLOOKUP($A61,'Data shares'!$C:$FB,59)</f>
        <v>967350</v>
      </c>
      <c r="L61" s="50">
        <f>VLOOKUP($A61,'Data shares'!$C:$FB,61)*100</f>
        <v>74.319999999999993</v>
      </c>
      <c r="M61" s="49">
        <f>VLOOKUP($A61,'Data shares'!$C:$FB,62)</f>
        <v>888100</v>
      </c>
      <c r="N61" s="49">
        <f>VLOOKUP($A61,'Data shares'!$C:$FB,63)</f>
        <v>616300</v>
      </c>
      <c r="O61" s="140">
        <f>VLOOKUP($A61,'Data shares'!$C:$FB,65)*100</f>
        <v>44.1</v>
      </c>
    </row>
    <row r="62" spans="1:15" x14ac:dyDescent="0.25">
      <c r="A62" s="101" t="str">
        <f>'Data shares'!C57</f>
        <v>DLF</v>
      </c>
      <c r="B62" s="50">
        <f>VLOOKUP($A62,'Data shares'!$C:$FB,7)</f>
        <v>740.2</v>
      </c>
      <c r="C62" s="50">
        <f>VLOOKUP($A62,'Data shares'!$C:$FB,10)*100</f>
        <v>1.54</v>
      </c>
      <c r="D62" s="49">
        <f>VLOOKUP($A62,'Data shares'!$C:$FB,66)</f>
        <v>44042625</v>
      </c>
      <c r="E62" s="49">
        <f>VLOOKUP($A62,'Data shares'!$C:$FB,67)</f>
        <v>19114425</v>
      </c>
      <c r="F62" s="50">
        <f>VLOOKUP($A62,'Data shares'!$C:$FB,69)*100</f>
        <v>130.42000000000002</v>
      </c>
      <c r="G62" s="49">
        <f>VLOOKUP($A62,'Data shares'!$C:$FB,42)</f>
        <v>6883800</v>
      </c>
      <c r="H62" s="49">
        <f>VLOOKUP($A62,'Data shares'!$C:$FB,43)</f>
        <v>4558125</v>
      </c>
      <c r="I62" s="50">
        <f>VLOOKUP($A62,'Data shares'!$C:$FB,45)*100</f>
        <v>51.019999999999996</v>
      </c>
      <c r="J62" s="49">
        <f>VLOOKUP($A62,'Data shares'!$C:$FB,58)</f>
        <v>26532825</v>
      </c>
      <c r="K62" s="49">
        <f>VLOOKUP($A62,'Data shares'!$C:$FB,59)</f>
        <v>10950225</v>
      </c>
      <c r="L62" s="50">
        <f>VLOOKUP($A62,'Data shares'!$C:$FB,61)*100</f>
        <v>142.30000000000001</v>
      </c>
      <c r="M62" s="49">
        <f>VLOOKUP($A62,'Data shares'!$C:$FB,62)</f>
        <v>10626000</v>
      </c>
      <c r="N62" s="49">
        <f>VLOOKUP($A62,'Data shares'!$C:$FB,63)</f>
        <v>3606075</v>
      </c>
      <c r="O62" s="140">
        <f>VLOOKUP($A62,'Data shares'!$C:$FB,65)*100</f>
        <v>194.67000000000002</v>
      </c>
    </row>
    <row r="63" spans="1:15" x14ac:dyDescent="0.25">
      <c r="A63" s="101" t="str">
        <f>'Data shares'!C58</f>
        <v>DMART</v>
      </c>
      <c r="B63" s="50">
        <f>VLOOKUP($A63,'Data shares'!$C:$FB,7)</f>
        <v>4320.3999999999996</v>
      </c>
      <c r="C63" s="50">
        <f>VLOOKUP($A63,'Data shares'!$C:$FB,10)*100</f>
        <v>0.36</v>
      </c>
      <c r="D63" s="49">
        <f>VLOOKUP($A63,'Data shares'!$C:$FB,66)</f>
        <v>11075400</v>
      </c>
      <c r="E63" s="49">
        <f>VLOOKUP($A63,'Data shares'!$C:$FB,67)</f>
        <v>2647050</v>
      </c>
      <c r="F63" s="50">
        <f>VLOOKUP($A63,'Data shares'!$C:$FB,69)*100</f>
        <v>318.40999999999997</v>
      </c>
      <c r="G63" s="49">
        <f>VLOOKUP($A63,'Data shares'!$C:$FB,42)</f>
        <v>1081950</v>
      </c>
      <c r="H63" s="49">
        <f>VLOOKUP($A63,'Data shares'!$C:$FB,43)</f>
        <v>444450</v>
      </c>
      <c r="I63" s="50">
        <f>VLOOKUP($A63,'Data shares'!$C:$FB,45)*100</f>
        <v>143.44</v>
      </c>
      <c r="J63" s="49">
        <f>VLOOKUP($A63,'Data shares'!$C:$FB,58)</f>
        <v>6924900</v>
      </c>
      <c r="K63" s="49">
        <f>VLOOKUP($A63,'Data shares'!$C:$FB,59)</f>
        <v>1597350</v>
      </c>
      <c r="L63" s="50">
        <f>VLOOKUP($A63,'Data shares'!$C:$FB,61)*100</f>
        <v>333.52</v>
      </c>
      <c r="M63" s="49">
        <f>VLOOKUP($A63,'Data shares'!$C:$FB,62)</f>
        <v>3068550</v>
      </c>
      <c r="N63" s="49">
        <f>VLOOKUP($A63,'Data shares'!$C:$FB,63)</f>
        <v>605250</v>
      </c>
      <c r="O63" s="140">
        <f>VLOOKUP($A63,'Data shares'!$C:$FB,65)*100</f>
        <v>406.98999999999995</v>
      </c>
    </row>
    <row r="64" spans="1:15" x14ac:dyDescent="0.25">
      <c r="A64" s="101" t="str">
        <f>'Data shares'!C59</f>
        <v>DRREDDY</v>
      </c>
      <c r="B64" s="50">
        <f>VLOOKUP($A64,'Data shares'!$C:$FB,7)</f>
        <v>1264.4000000000001</v>
      </c>
      <c r="C64" s="50">
        <f>VLOOKUP($A64,'Data shares'!$C:$FB,10)*100</f>
        <v>1.47</v>
      </c>
      <c r="D64" s="49">
        <f>VLOOKUP($A64,'Data shares'!$C:$FB,66)</f>
        <v>12853750</v>
      </c>
      <c r="E64" s="49">
        <f>VLOOKUP($A64,'Data shares'!$C:$FB,67)</f>
        <v>20705000</v>
      </c>
      <c r="F64" s="50">
        <f>VLOOKUP($A64,'Data shares'!$C:$FB,69)*100</f>
        <v>-37.92</v>
      </c>
      <c r="G64" s="49">
        <f>VLOOKUP($A64,'Data shares'!$C:$FB,42)</f>
        <v>2413750</v>
      </c>
      <c r="H64" s="49">
        <f>VLOOKUP($A64,'Data shares'!$C:$FB,43)</f>
        <v>3210625</v>
      </c>
      <c r="I64" s="50">
        <f>VLOOKUP($A64,'Data shares'!$C:$FB,45)*100</f>
        <v>-24.82</v>
      </c>
      <c r="J64" s="49">
        <f>VLOOKUP($A64,'Data shares'!$C:$FB,58)</f>
        <v>7698750</v>
      </c>
      <c r="K64" s="49">
        <f>VLOOKUP($A64,'Data shares'!$C:$FB,59)</f>
        <v>13688125</v>
      </c>
      <c r="L64" s="50">
        <f>VLOOKUP($A64,'Data shares'!$C:$FB,61)*100</f>
        <v>-43.76</v>
      </c>
      <c r="M64" s="49">
        <f>VLOOKUP($A64,'Data shares'!$C:$FB,62)</f>
        <v>2741250</v>
      </c>
      <c r="N64" s="49">
        <f>VLOOKUP($A64,'Data shares'!$C:$FB,63)</f>
        <v>3806250</v>
      </c>
      <c r="O64" s="140">
        <f>VLOOKUP($A64,'Data shares'!$C:$FB,65)*100</f>
        <v>-27.98</v>
      </c>
    </row>
    <row r="65" spans="1:15" x14ac:dyDescent="0.25">
      <c r="A65" s="101" t="str">
        <f>'Data shares'!C60</f>
        <v>EICHERMOT</v>
      </c>
      <c r="B65" s="50">
        <f>VLOOKUP($A65,'Data shares'!$C:$FB,7)</f>
        <v>6965</v>
      </c>
      <c r="C65" s="50">
        <f>VLOOKUP($A65,'Data shares'!$C:$FB,10)*100</f>
        <v>0.9900000000000001</v>
      </c>
      <c r="D65" s="49">
        <f>VLOOKUP($A65,'Data shares'!$C:$FB,66)</f>
        <v>3686550</v>
      </c>
      <c r="E65" s="49">
        <f>VLOOKUP($A65,'Data shares'!$C:$FB,67)</f>
        <v>4903325</v>
      </c>
      <c r="F65" s="50">
        <f>VLOOKUP($A65,'Data shares'!$C:$FB,69)*100</f>
        <v>-24.82</v>
      </c>
      <c r="G65" s="49">
        <f>VLOOKUP($A65,'Data shares'!$C:$FB,42)</f>
        <v>516950</v>
      </c>
      <c r="H65" s="49">
        <f>VLOOKUP($A65,'Data shares'!$C:$FB,43)</f>
        <v>679875</v>
      </c>
      <c r="I65" s="50">
        <f>VLOOKUP($A65,'Data shares'!$C:$FB,45)*100</f>
        <v>-23.96</v>
      </c>
      <c r="J65" s="49">
        <f>VLOOKUP($A65,'Data shares'!$C:$FB,58)</f>
        <v>2017225</v>
      </c>
      <c r="K65" s="49">
        <f>VLOOKUP($A65,'Data shares'!$C:$FB,59)</f>
        <v>2382625</v>
      </c>
      <c r="L65" s="50">
        <f>VLOOKUP($A65,'Data shares'!$C:$FB,61)*100</f>
        <v>-15.340000000000002</v>
      </c>
      <c r="M65" s="49">
        <f>VLOOKUP($A65,'Data shares'!$C:$FB,62)</f>
        <v>1152375</v>
      </c>
      <c r="N65" s="49">
        <f>VLOOKUP($A65,'Data shares'!$C:$FB,63)</f>
        <v>1840825</v>
      </c>
      <c r="O65" s="140">
        <f>VLOOKUP($A65,'Data shares'!$C:$FB,65)*100</f>
        <v>-37.4</v>
      </c>
    </row>
    <row r="66" spans="1:15" x14ac:dyDescent="0.25">
      <c r="A66" s="101" t="str">
        <f>'Data shares'!C61</f>
        <v>ETERNAL</v>
      </c>
      <c r="B66" s="50">
        <f>VLOOKUP($A66,'Data shares'!$C:$FB,7)</f>
        <v>348.3</v>
      </c>
      <c r="C66" s="50">
        <f>VLOOKUP($A66,'Data shares'!$C:$FB,10)*100</f>
        <v>0.80999999999999994</v>
      </c>
      <c r="D66" s="49">
        <f>VLOOKUP($A66,'Data shares'!$C:$FB,66)</f>
        <v>113291150</v>
      </c>
      <c r="E66" s="49">
        <f>VLOOKUP($A66,'Data shares'!$C:$FB,67)</f>
        <v>179765250</v>
      </c>
      <c r="F66" s="50">
        <f>VLOOKUP($A66,'Data shares'!$C:$FB,69)*100</f>
        <v>-36.980000000000004</v>
      </c>
      <c r="G66" s="49">
        <f>VLOOKUP($A66,'Data shares'!$C:$FB,42)</f>
        <v>22557350</v>
      </c>
      <c r="H66" s="49">
        <f>VLOOKUP($A66,'Data shares'!$C:$FB,43)</f>
        <v>28719275</v>
      </c>
      <c r="I66" s="50">
        <f>VLOOKUP($A66,'Data shares'!$C:$FB,45)*100</f>
        <v>-21.46</v>
      </c>
      <c r="J66" s="49">
        <f>VLOOKUP($A66,'Data shares'!$C:$FB,58)</f>
        <v>53820450</v>
      </c>
      <c r="K66" s="49">
        <f>VLOOKUP($A66,'Data shares'!$C:$FB,59)</f>
        <v>95848125</v>
      </c>
      <c r="L66" s="50">
        <f>VLOOKUP($A66,'Data shares'!$C:$FB,61)*100</f>
        <v>-43.85</v>
      </c>
      <c r="M66" s="49">
        <f>VLOOKUP($A66,'Data shares'!$C:$FB,62)</f>
        <v>36913350</v>
      </c>
      <c r="N66" s="49">
        <f>VLOOKUP($A66,'Data shares'!$C:$FB,63)</f>
        <v>55197850</v>
      </c>
      <c r="O66" s="140">
        <f>VLOOKUP($A66,'Data shares'!$C:$FB,65)*100</f>
        <v>-33.129999999999995</v>
      </c>
    </row>
    <row r="67" spans="1:15" x14ac:dyDescent="0.25">
      <c r="A67" s="101" t="str">
        <f>'Data shares'!C62</f>
        <v>EXIDEIND</v>
      </c>
      <c r="B67" s="50">
        <f>VLOOKUP($A67,'Data shares'!$C:$FB,7)</f>
        <v>400.65</v>
      </c>
      <c r="C67" s="50">
        <f>VLOOKUP($A67,'Data shares'!$C:$FB,10)*100</f>
        <v>0.77</v>
      </c>
      <c r="D67" s="49">
        <f>VLOOKUP($A67,'Data shares'!$C:$FB,66)</f>
        <v>29923200</v>
      </c>
      <c r="E67" s="49">
        <f>VLOOKUP($A67,'Data shares'!$C:$FB,67)</f>
        <v>31118400</v>
      </c>
      <c r="F67" s="50">
        <f>VLOOKUP($A67,'Data shares'!$C:$FB,69)*100</f>
        <v>-3.84</v>
      </c>
      <c r="G67" s="49">
        <f>VLOOKUP($A67,'Data shares'!$C:$FB,42)</f>
        <v>5002200</v>
      </c>
      <c r="H67" s="49">
        <f>VLOOKUP($A67,'Data shares'!$C:$FB,43)</f>
        <v>6165000</v>
      </c>
      <c r="I67" s="50">
        <f>VLOOKUP($A67,'Data shares'!$C:$FB,45)*100</f>
        <v>-18.86</v>
      </c>
      <c r="J67" s="49">
        <f>VLOOKUP($A67,'Data shares'!$C:$FB,58)</f>
        <v>13134600</v>
      </c>
      <c r="K67" s="49">
        <f>VLOOKUP($A67,'Data shares'!$C:$FB,59)</f>
        <v>13204800</v>
      </c>
      <c r="L67" s="50">
        <f>VLOOKUP($A67,'Data shares'!$C:$FB,61)*100</f>
        <v>-0.53</v>
      </c>
      <c r="M67" s="49">
        <f>VLOOKUP($A67,'Data shares'!$C:$FB,62)</f>
        <v>11786400</v>
      </c>
      <c r="N67" s="49">
        <f>VLOOKUP($A67,'Data shares'!$C:$FB,63)</f>
        <v>11748600</v>
      </c>
      <c r="O67" s="140">
        <f>VLOOKUP($A67,'Data shares'!$C:$FB,65)*100</f>
        <v>0.32</v>
      </c>
    </row>
    <row r="68" spans="1:15" x14ac:dyDescent="0.25">
      <c r="A68" s="101" t="str">
        <f>'Data shares'!C63</f>
        <v>FEDERALBNK</v>
      </c>
      <c r="B68" s="50">
        <f>VLOOKUP($A68,'Data shares'!$C:$FB,7)</f>
        <v>208.3</v>
      </c>
      <c r="C68" s="50">
        <f>VLOOKUP($A68,'Data shares'!$C:$FB,10)*100</f>
        <v>0.45999999999999996</v>
      </c>
      <c r="D68" s="49">
        <f>VLOOKUP($A68,'Data shares'!$C:$FB,66)</f>
        <v>194020000</v>
      </c>
      <c r="E68" s="49">
        <f>VLOOKUP($A68,'Data shares'!$C:$FB,67)</f>
        <v>241305000</v>
      </c>
      <c r="F68" s="50">
        <f>VLOOKUP($A68,'Data shares'!$C:$FB,69)*100</f>
        <v>-19.600000000000001</v>
      </c>
      <c r="G68" s="49">
        <f>VLOOKUP($A68,'Data shares'!$C:$FB,42)</f>
        <v>32195000</v>
      </c>
      <c r="H68" s="49">
        <f>VLOOKUP($A68,'Data shares'!$C:$FB,43)</f>
        <v>38050000</v>
      </c>
      <c r="I68" s="50">
        <f>VLOOKUP($A68,'Data shares'!$C:$FB,45)*100</f>
        <v>-15.39</v>
      </c>
      <c r="J68" s="49">
        <f>VLOOKUP($A68,'Data shares'!$C:$FB,58)</f>
        <v>98570000</v>
      </c>
      <c r="K68" s="49">
        <f>VLOOKUP($A68,'Data shares'!$C:$FB,59)</f>
        <v>140405000</v>
      </c>
      <c r="L68" s="50">
        <f>VLOOKUP($A68,'Data shares'!$C:$FB,61)*100</f>
        <v>-29.799999999999997</v>
      </c>
      <c r="M68" s="49">
        <f>VLOOKUP($A68,'Data shares'!$C:$FB,62)</f>
        <v>63255000</v>
      </c>
      <c r="N68" s="49">
        <f>VLOOKUP($A68,'Data shares'!$C:$FB,63)</f>
        <v>62850000</v>
      </c>
      <c r="O68" s="140">
        <f>VLOOKUP($A68,'Data shares'!$C:$FB,65)*100</f>
        <v>0.64</v>
      </c>
    </row>
    <row r="69" spans="1:15" x14ac:dyDescent="0.25">
      <c r="A69" s="101" t="str">
        <f>'Data shares'!C64</f>
        <v>FINNIFTY</v>
      </c>
      <c r="B69" s="50">
        <f>VLOOKUP($A69,'Data shares'!$C:$FB,7)</f>
        <v>26842.25</v>
      </c>
      <c r="C69" s="50">
        <f>VLOOKUP($A69,'Data shares'!$C:$FB,10)*100</f>
        <v>0.44</v>
      </c>
      <c r="D69" s="49">
        <f>VLOOKUP($A69,'Data shares'!$C:$FB,66)</f>
        <v>3907735</v>
      </c>
      <c r="E69" s="49">
        <f>VLOOKUP($A69,'Data shares'!$C:$FB,67)</f>
        <v>2788370</v>
      </c>
      <c r="F69" s="50">
        <f>VLOOKUP($A69,'Data shares'!$C:$FB,69)*100</f>
        <v>40.14</v>
      </c>
      <c r="G69" s="49">
        <f>VLOOKUP($A69,'Data shares'!$C:$FB,42)</f>
        <v>24635</v>
      </c>
      <c r="H69" s="49">
        <f>VLOOKUP($A69,'Data shares'!$C:$FB,43)</f>
        <v>22165</v>
      </c>
      <c r="I69" s="50">
        <f>VLOOKUP($A69,'Data shares'!$C:$FB,45)*100</f>
        <v>11.14</v>
      </c>
      <c r="J69" s="49">
        <f>VLOOKUP($A69,'Data shares'!$C:$FB,58)</f>
        <v>2550665</v>
      </c>
      <c r="K69" s="49">
        <f>VLOOKUP($A69,'Data shares'!$C:$FB,59)</f>
        <v>1701310</v>
      </c>
      <c r="L69" s="50">
        <f>VLOOKUP($A69,'Data shares'!$C:$FB,61)*100</f>
        <v>49.919999999999995</v>
      </c>
      <c r="M69" s="49">
        <f>VLOOKUP($A69,'Data shares'!$C:$FB,62)</f>
        <v>1332435</v>
      </c>
      <c r="N69" s="49">
        <f>VLOOKUP($A69,'Data shares'!$C:$FB,63)</f>
        <v>1064895</v>
      </c>
      <c r="O69" s="140">
        <f>VLOOKUP($A69,'Data shares'!$C:$FB,65)*100</f>
        <v>25.119999999999997</v>
      </c>
    </row>
    <row r="70" spans="1:15" x14ac:dyDescent="0.25">
      <c r="A70" s="101" t="str">
        <f>'Data shares'!C65</f>
        <v>FORTIS</v>
      </c>
      <c r="B70" s="50">
        <f>VLOOKUP($A70,'Data shares'!$C:$FB,7)</f>
        <v>1060.3</v>
      </c>
      <c r="C70" s="50">
        <f>VLOOKUP($A70,'Data shares'!$C:$FB,10)*100</f>
        <v>-0.8</v>
      </c>
      <c r="D70" s="49">
        <f>VLOOKUP($A70,'Data shares'!$C:$FB,66)</f>
        <v>9508475</v>
      </c>
      <c r="E70" s="49">
        <f>VLOOKUP($A70,'Data shares'!$C:$FB,67)</f>
        <v>13835300</v>
      </c>
      <c r="F70" s="50">
        <f>VLOOKUP($A70,'Data shares'!$C:$FB,69)*100</f>
        <v>-31.269999999999996</v>
      </c>
      <c r="G70" s="49">
        <f>VLOOKUP($A70,'Data shares'!$C:$FB,42)</f>
        <v>1934400</v>
      </c>
      <c r="H70" s="49">
        <f>VLOOKUP($A70,'Data shares'!$C:$FB,43)</f>
        <v>1737550</v>
      </c>
      <c r="I70" s="50">
        <f>VLOOKUP($A70,'Data shares'!$C:$FB,45)*100</f>
        <v>11.33</v>
      </c>
      <c r="J70" s="49">
        <f>VLOOKUP($A70,'Data shares'!$C:$FB,58)</f>
        <v>4484150</v>
      </c>
      <c r="K70" s="49">
        <f>VLOOKUP($A70,'Data shares'!$C:$FB,59)</f>
        <v>8169275</v>
      </c>
      <c r="L70" s="50">
        <f>VLOOKUP($A70,'Data shares'!$C:$FB,61)*100</f>
        <v>-45.11</v>
      </c>
      <c r="M70" s="49">
        <f>VLOOKUP($A70,'Data shares'!$C:$FB,62)</f>
        <v>3089925</v>
      </c>
      <c r="N70" s="49">
        <f>VLOOKUP($A70,'Data shares'!$C:$FB,63)</f>
        <v>3928475</v>
      </c>
      <c r="O70" s="140">
        <f>VLOOKUP($A70,'Data shares'!$C:$FB,65)*100</f>
        <v>-21.349999999999998</v>
      </c>
    </row>
    <row r="71" spans="1:15" x14ac:dyDescent="0.25">
      <c r="A71" s="101" t="str">
        <f>'Data shares'!C66</f>
        <v>GAIL</v>
      </c>
      <c r="B71" s="50">
        <f>VLOOKUP($A71,'Data shares'!$C:$FB,7)</f>
        <v>179.21</v>
      </c>
      <c r="C71" s="50">
        <f>VLOOKUP($A71,'Data shares'!$C:$FB,10)*100</f>
        <v>0.43</v>
      </c>
      <c r="D71" s="49">
        <f>VLOOKUP($A71,'Data shares'!$C:$FB,66)</f>
        <v>60291000</v>
      </c>
      <c r="E71" s="49">
        <f>VLOOKUP($A71,'Data shares'!$C:$FB,67)</f>
        <v>35878500</v>
      </c>
      <c r="F71" s="50">
        <f>VLOOKUP($A71,'Data shares'!$C:$FB,69)*100</f>
        <v>68.040000000000006</v>
      </c>
      <c r="G71" s="49">
        <f>VLOOKUP($A71,'Data shares'!$C:$FB,42)</f>
        <v>14445900</v>
      </c>
      <c r="H71" s="49">
        <f>VLOOKUP($A71,'Data shares'!$C:$FB,43)</f>
        <v>6372450</v>
      </c>
      <c r="I71" s="50">
        <f>VLOOKUP($A71,'Data shares'!$C:$FB,45)*100</f>
        <v>126.69</v>
      </c>
      <c r="J71" s="49">
        <f>VLOOKUP($A71,'Data shares'!$C:$FB,58)</f>
        <v>32382000</v>
      </c>
      <c r="K71" s="49">
        <f>VLOOKUP($A71,'Data shares'!$C:$FB,59)</f>
        <v>21539700</v>
      </c>
      <c r="L71" s="50">
        <f>VLOOKUP($A71,'Data shares'!$C:$FB,61)*100</f>
        <v>50.339999999999996</v>
      </c>
      <c r="M71" s="49">
        <f>VLOOKUP($A71,'Data shares'!$C:$FB,62)</f>
        <v>13463100</v>
      </c>
      <c r="N71" s="49">
        <f>VLOOKUP($A71,'Data shares'!$C:$FB,63)</f>
        <v>7966350</v>
      </c>
      <c r="O71" s="140">
        <f>VLOOKUP($A71,'Data shares'!$C:$FB,65)*100</f>
        <v>69</v>
      </c>
    </row>
    <row r="72" spans="1:15" x14ac:dyDescent="0.25">
      <c r="A72" s="101" t="str">
        <f>'Data shares'!C67</f>
        <v>GLENMARK</v>
      </c>
      <c r="B72" s="50">
        <f>VLOOKUP($A72,'Data shares'!$C:$FB,7)</f>
        <v>1939.3</v>
      </c>
      <c r="C72" s="50">
        <f>VLOOKUP($A72,'Data shares'!$C:$FB,10)*100</f>
        <v>0.19</v>
      </c>
      <c r="D72" s="49">
        <f>VLOOKUP($A72,'Data shares'!$C:$FB,66)</f>
        <v>4190250</v>
      </c>
      <c r="E72" s="49">
        <f>VLOOKUP($A72,'Data shares'!$C:$FB,67)</f>
        <v>2915625</v>
      </c>
      <c r="F72" s="50">
        <f>VLOOKUP($A72,'Data shares'!$C:$FB,69)*100</f>
        <v>43.72</v>
      </c>
      <c r="G72" s="49">
        <f>VLOOKUP($A72,'Data shares'!$C:$FB,42)</f>
        <v>1207125</v>
      </c>
      <c r="H72" s="49">
        <f>VLOOKUP($A72,'Data shares'!$C:$FB,43)</f>
        <v>726375</v>
      </c>
      <c r="I72" s="50">
        <f>VLOOKUP($A72,'Data shares'!$C:$FB,45)*100</f>
        <v>66.180000000000007</v>
      </c>
      <c r="J72" s="49">
        <f>VLOOKUP($A72,'Data shares'!$C:$FB,58)</f>
        <v>2230875</v>
      </c>
      <c r="K72" s="49">
        <f>VLOOKUP($A72,'Data shares'!$C:$FB,59)</f>
        <v>1726500</v>
      </c>
      <c r="L72" s="50">
        <f>VLOOKUP($A72,'Data shares'!$C:$FB,61)*100</f>
        <v>29.21</v>
      </c>
      <c r="M72" s="49">
        <f>VLOOKUP($A72,'Data shares'!$C:$FB,62)</f>
        <v>752250</v>
      </c>
      <c r="N72" s="49">
        <f>VLOOKUP($A72,'Data shares'!$C:$FB,63)</f>
        <v>462750</v>
      </c>
      <c r="O72" s="140">
        <f>VLOOKUP($A72,'Data shares'!$C:$FB,65)*100</f>
        <v>62.56</v>
      </c>
    </row>
    <row r="73" spans="1:15" x14ac:dyDescent="0.25">
      <c r="A73" s="101" t="str">
        <f>'Data shares'!C68</f>
        <v>GMRAIRPORT</v>
      </c>
      <c r="B73" s="50">
        <f>VLOOKUP($A73,'Data shares'!$C:$FB,7)</f>
        <v>90.35</v>
      </c>
      <c r="C73" s="50">
        <f>VLOOKUP($A73,'Data shares'!$C:$FB,10)*100</f>
        <v>-0.4</v>
      </c>
      <c r="D73" s="49">
        <f>VLOOKUP($A73,'Data shares'!$C:$FB,66)</f>
        <v>69680250</v>
      </c>
      <c r="E73" s="49">
        <f>VLOOKUP($A73,'Data shares'!$C:$FB,67)</f>
        <v>176321025</v>
      </c>
      <c r="F73" s="50">
        <f>VLOOKUP($A73,'Data shares'!$C:$FB,69)*100</f>
        <v>-60.480000000000004</v>
      </c>
      <c r="G73" s="49">
        <f>VLOOKUP($A73,'Data shares'!$C:$FB,42)</f>
        <v>19502100</v>
      </c>
      <c r="H73" s="49">
        <f>VLOOKUP($A73,'Data shares'!$C:$FB,43)</f>
        <v>38641500</v>
      </c>
      <c r="I73" s="50">
        <f>VLOOKUP($A73,'Data shares'!$C:$FB,45)*100</f>
        <v>-49.53</v>
      </c>
      <c r="J73" s="49">
        <f>VLOOKUP($A73,'Data shares'!$C:$FB,58)</f>
        <v>37790550</v>
      </c>
      <c r="K73" s="49">
        <f>VLOOKUP($A73,'Data shares'!$C:$FB,59)</f>
        <v>96778125</v>
      </c>
      <c r="L73" s="50">
        <f>VLOOKUP($A73,'Data shares'!$C:$FB,61)*100</f>
        <v>-60.95</v>
      </c>
      <c r="M73" s="49">
        <f>VLOOKUP($A73,'Data shares'!$C:$FB,62)</f>
        <v>12387600</v>
      </c>
      <c r="N73" s="49">
        <f>VLOOKUP($A73,'Data shares'!$C:$FB,63)</f>
        <v>40901400</v>
      </c>
      <c r="O73" s="140">
        <f>VLOOKUP($A73,'Data shares'!$C:$FB,65)*100</f>
        <v>-69.710000000000008</v>
      </c>
    </row>
    <row r="74" spans="1:15" x14ac:dyDescent="0.25">
      <c r="A74" s="101" t="str">
        <f>'Data shares'!C69</f>
        <v>GODREJCP</v>
      </c>
      <c r="B74" s="50">
        <f>VLOOKUP($A74,'Data shares'!$C:$FB,7)</f>
        <v>1129.8</v>
      </c>
      <c r="C74" s="50">
        <f>VLOOKUP($A74,'Data shares'!$C:$FB,10)*100</f>
        <v>0.09</v>
      </c>
      <c r="D74" s="49">
        <f>VLOOKUP($A74,'Data shares'!$C:$FB,66)</f>
        <v>4091500</v>
      </c>
      <c r="E74" s="49">
        <f>VLOOKUP($A74,'Data shares'!$C:$FB,67)</f>
        <v>4430000</v>
      </c>
      <c r="F74" s="50">
        <f>VLOOKUP($A74,'Data shares'!$C:$FB,69)*100</f>
        <v>-7.64</v>
      </c>
      <c r="G74" s="49">
        <f>VLOOKUP($A74,'Data shares'!$C:$FB,42)</f>
        <v>1342000</v>
      </c>
      <c r="H74" s="49">
        <f>VLOOKUP($A74,'Data shares'!$C:$FB,43)</f>
        <v>1428500</v>
      </c>
      <c r="I74" s="50">
        <f>VLOOKUP($A74,'Data shares'!$C:$FB,45)*100</f>
        <v>-6.0600000000000005</v>
      </c>
      <c r="J74" s="49">
        <f>VLOOKUP($A74,'Data shares'!$C:$FB,58)</f>
        <v>2262000</v>
      </c>
      <c r="K74" s="49">
        <f>VLOOKUP($A74,'Data shares'!$C:$FB,59)</f>
        <v>2281000</v>
      </c>
      <c r="L74" s="50">
        <f>VLOOKUP($A74,'Data shares'!$C:$FB,61)*100</f>
        <v>-0.83</v>
      </c>
      <c r="M74" s="49">
        <f>VLOOKUP($A74,'Data shares'!$C:$FB,62)</f>
        <v>487500</v>
      </c>
      <c r="N74" s="49">
        <f>VLOOKUP($A74,'Data shares'!$C:$FB,63)</f>
        <v>720500</v>
      </c>
      <c r="O74" s="140">
        <f>VLOOKUP($A74,'Data shares'!$C:$FB,65)*100</f>
        <v>-32.340000000000003</v>
      </c>
    </row>
    <row r="75" spans="1:15" x14ac:dyDescent="0.25">
      <c r="A75" s="101" t="str">
        <f>'Data shares'!C70</f>
        <v>GODREJPROP</v>
      </c>
      <c r="B75" s="50">
        <f>VLOOKUP($A75,'Data shares'!$C:$FB,7)</f>
        <v>2091.9</v>
      </c>
      <c r="C75" s="50">
        <f>VLOOKUP($A75,'Data shares'!$C:$FB,10)*100</f>
        <v>2.97</v>
      </c>
      <c r="D75" s="49">
        <f>VLOOKUP($A75,'Data shares'!$C:$FB,66)</f>
        <v>12329075</v>
      </c>
      <c r="E75" s="49">
        <f>VLOOKUP($A75,'Data shares'!$C:$FB,67)</f>
        <v>5659500</v>
      </c>
      <c r="F75" s="50">
        <f>VLOOKUP($A75,'Data shares'!$C:$FB,69)*100</f>
        <v>117.85000000000001</v>
      </c>
      <c r="G75" s="49">
        <f>VLOOKUP($A75,'Data shares'!$C:$FB,42)</f>
        <v>2289375</v>
      </c>
      <c r="H75" s="49">
        <f>VLOOKUP($A75,'Data shares'!$C:$FB,43)</f>
        <v>1404425</v>
      </c>
      <c r="I75" s="50">
        <f>VLOOKUP($A75,'Data shares'!$C:$FB,45)*100</f>
        <v>63.01</v>
      </c>
      <c r="J75" s="49">
        <f>VLOOKUP($A75,'Data shares'!$C:$FB,58)</f>
        <v>7538025</v>
      </c>
      <c r="K75" s="49">
        <f>VLOOKUP($A75,'Data shares'!$C:$FB,59)</f>
        <v>3019775</v>
      </c>
      <c r="L75" s="50">
        <f>VLOOKUP($A75,'Data shares'!$C:$FB,61)*100</f>
        <v>149.62</v>
      </c>
      <c r="M75" s="49">
        <f>VLOOKUP($A75,'Data shares'!$C:$FB,62)</f>
        <v>2501675</v>
      </c>
      <c r="N75" s="49">
        <f>VLOOKUP($A75,'Data shares'!$C:$FB,63)</f>
        <v>1235300</v>
      </c>
      <c r="O75" s="140">
        <f>VLOOKUP($A75,'Data shares'!$C:$FB,65)*100</f>
        <v>102.51999999999998</v>
      </c>
    </row>
    <row r="76" spans="1:15" x14ac:dyDescent="0.25">
      <c r="A76" s="101" t="str">
        <f>'Data shares'!C71</f>
        <v>GRASIM</v>
      </c>
      <c r="B76" s="50">
        <f>VLOOKUP($A76,'Data shares'!$C:$FB,7)</f>
        <v>2811</v>
      </c>
      <c r="C76" s="50">
        <f>VLOOKUP($A76,'Data shares'!$C:$FB,10)*100</f>
        <v>0.01</v>
      </c>
      <c r="D76" s="49">
        <f>VLOOKUP($A76,'Data shares'!$C:$FB,66)</f>
        <v>2864000</v>
      </c>
      <c r="E76" s="49">
        <f>VLOOKUP($A76,'Data shares'!$C:$FB,67)</f>
        <v>2982750</v>
      </c>
      <c r="F76" s="50">
        <f>VLOOKUP($A76,'Data shares'!$C:$FB,69)*100</f>
        <v>-3.9800000000000004</v>
      </c>
      <c r="G76" s="49">
        <f>VLOOKUP($A76,'Data shares'!$C:$FB,42)</f>
        <v>726750</v>
      </c>
      <c r="H76" s="49">
        <f>VLOOKUP($A76,'Data shares'!$C:$FB,43)</f>
        <v>577000</v>
      </c>
      <c r="I76" s="50">
        <f>VLOOKUP($A76,'Data shares'!$C:$FB,45)*100</f>
        <v>25.95</v>
      </c>
      <c r="J76" s="49">
        <f>VLOOKUP($A76,'Data shares'!$C:$FB,58)</f>
        <v>1565750</v>
      </c>
      <c r="K76" s="49">
        <f>VLOOKUP($A76,'Data shares'!$C:$FB,59)</f>
        <v>1737250</v>
      </c>
      <c r="L76" s="50">
        <f>VLOOKUP($A76,'Data shares'!$C:$FB,61)*100</f>
        <v>-9.8699999999999992</v>
      </c>
      <c r="M76" s="49">
        <f>VLOOKUP($A76,'Data shares'!$C:$FB,62)</f>
        <v>571500</v>
      </c>
      <c r="N76" s="49">
        <f>VLOOKUP($A76,'Data shares'!$C:$FB,63)</f>
        <v>668500</v>
      </c>
      <c r="O76" s="140">
        <f>VLOOKUP($A76,'Data shares'!$C:$FB,65)*100</f>
        <v>-14.510000000000002</v>
      </c>
    </row>
    <row r="77" spans="1:15" x14ac:dyDescent="0.25">
      <c r="A77" s="101" t="str">
        <f>'Data shares'!C72</f>
        <v>HAL</v>
      </c>
      <c r="B77" s="50">
        <f>VLOOKUP($A77,'Data shares'!$C:$FB,7)</f>
        <v>4832.8999999999996</v>
      </c>
      <c r="C77" s="50">
        <f>VLOOKUP($A77,'Data shares'!$C:$FB,10)*100</f>
        <v>-0.27999999999999997</v>
      </c>
      <c r="D77" s="49">
        <f>VLOOKUP($A77,'Data shares'!$C:$FB,66)</f>
        <v>9081600</v>
      </c>
      <c r="E77" s="49">
        <f>VLOOKUP($A77,'Data shares'!$C:$FB,67)</f>
        <v>11230650</v>
      </c>
      <c r="F77" s="50">
        <f>VLOOKUP($A77,'Data shares'!$C:$FB,69)*100</f>
        <v>-19.139999999999997</v>
      </c>
      <c r="G77" s="49">
        <f>VLOOKUP($A77,'Data shares'!$C:$FB,42)</f>
        <v>1190550</v>
      </c>
      <c r="H77" s="49">
        <f>VLOOKUP($A77,'Data shares'!$C:$FB,43)</f>
        <v>1838250</v>
      </c>
      <c r="I77" s="50">
        <f>VLOOKUP($A77,'Data shares'!$C:$FB,45)*100</f>
        <v>-35.229999999999997</v>
      </c>
      <c r="J77" s="49">
        <f>VLOOKUP($A77,'Data shares'!$C:$FB,58)</f>
        <v>5709150</v>
      </c>
      <c r="K77" s="49">
        <f>VLOOKUP($A77,'Data shares'!$C:$FB,59)</f>
        <v>6965550</v>
      </c>
      <c r="L77" s="50">
        <f>VLOOKUP($A77,'Data shares'!$C:$FB,61)*100</f>
        <v>-18.04</v>
      </c>
      <c r="M77" s="49">
        <f>VLOOKUP($A77,'Data shares'!$C:$FB,62)</f>
        <v>2181900</v>
      </c>
      <c r="N77" s="49">
        <f>VLOOKUP($A77,'Data shares'!$C:$FB,63)</f>
        <v>2426850</v>
      </c>
      <c r="O77" s="140">
        <f>VLOOKUP($A77,'Data shares'!$C:$FB,65)*100</f>
        <v>-10.09</v>
      </c>
    </row>
    <row r="78" spans="1:15" x14ac:dyDescent="0.25">
      <c r="A78" s="101" t="str">
        <f>'Data shares'!C73</f>
        <v>HAVELLS</v>
      </c>
      <c r="B78" s="50">
        <f>VLOOKUP($A78,'Data shares'!$C:$FB,7)</f>
        <v>1495.9</v>
      </c>
      <c r="C78" s="50">
        <f>VLOOKUP($A78,'Data shares'!$C:$FB,10)*100</f>
        <v>0.67999999999999994</v>
      </c>
      <c r="D78" s="49">
        <f>VLOOKUP($A78,'Data shares'!$C:$FB,66)</f>
        <v>11004500</v>
      </c>
      <c r="E78" s="49">
        <f>VLOOKUP($A78,'Data shares'!$C:$FB,67)</f>
        <v>6373000</v>
      </c>
      <c r="F78" s="50">
        <f>VLOOKUP($A78,'Data shares'!$C:$FB,69)*100</f>
        <v>72.67</v>
      </c>
      <c r="G78" s="49">
        <f>VLOOKUP($A78,'Data shares'!$C:$FB,42)</f>
        <v>2769500</v>
      </c>
      <c r="H78" s="49">
        <f>VLOOKUP($A78,'Data shares'!$C:$FB,43)</f>
        <v>1851000</v>
      </c>
      <c r="I78" s="50">
        <f>VLOOKUP($A78,'Data shares'!$C:$FB,45)*100</f>
        <v>49.62</v>
      </c>
      <c r="J78" s="49">
        <f>VLOOKUP($A78,'Data shares'!$C:$FB,58)</f>
        <v>5956000</v>
      </c>
      <c r="K78" s="49">
        <f>VLOOKUP($A78,'Data shares'!$C:$FB,59)</f>
        <v>2952000</v>
      </c>
      <c r="L78" s="50">
        <f>VLOOKUP($A78,'Data shares'!$C:$FB,61)*100</f>
        <v>101.76</v>
      </c>
      <c r="M78" s="49">
        <f>VLOOKUP($A78,'Data shares'!$C:$FB,62)</f>
        <v>2279000</v>
      </c>
      <c r="N78" s="49">
        <f>VLOOKUP($A78,'Data shares'!$C:$FB,63)</f>
        <v>1570000</v>
      </c>
      <c r="O78" s="140">
        <f>VLOOKUP($A78,'Data shares'!$C:$FB,65)*100</f>
        <v>45.16</v>
      </c>
    </row>
    <row r="79" spans="1:15" x14ac:dyDescent="0.25">
      <c r="A79" s="101" t="str">
        <f>'Data shares'!C74</f>
        <v>HCLTECH</v>
      </c>
      <c r="B79" s="50">
        <f>VLOOKUP($A79,'Data shares'!$C:$FB,7)</f>
        <v>1495.5</v>
      </c>
      <c r="C79" s="50">
        <f>VLOOKUP($A79,'Data shares'!$C:$FB,10)*100</f>
        <v>0.61</v>
      </c>
      <c r="D79" s="49">
        <f>VLOOKUP($A79,'Data shares'!$C:$FB,66)</f>
        <v>27876800</v>
      </c>
      <c r="E79" s="49">
        <f>VLOOKUP($A79,'Data shares'!$C:$FB,67)</f>
        <v>38831100</v>
      </c>
      <c r="F79" s="50">
        <f>VLOOKUP($A79,'Data shares'!$C:$FB,69)*100</f>
        <v>-28.21</v>
      </c>
      <c r="G79" s="49">
        <f>VLOOKUP($A79,'Data shares'!$C:$FB,42)</f>
        <v>5380900</v>
      </c>
      <c r="H79" s="49">
        <f>VLOOKUP($A79,'Data shares'!$C:$FB,43)</f>
        <v>6745200</v>
      </c>
      <c r="I79" s="50">
        <f>VLOOKUP($A79,'Data shares'!$C:$FB,45)*100</f>
        <v>-20.23</v>
      </c>
      <c r="J79" s="49">
        <f>VLOOKUP($A79,'Data shares'!$C:$FB,58)</f>
        <v>13909000</v>
      </c>
      <c r="K79" s="49">
        <f>VLOOKUP($A79,'Data shares'!$C:$FB,59)</f>
        <v>20246800</v>
      </c>
      <c r="L79" s="50">
        <f>VLOOKUP($A79,'Data shares'!$C:$FB,61)*100</f>
        <v>-31.3</v>
      </c>
      <c r="M79" s="49">
        <f>VLOOKUP($A79,'Data shares'!$C:$FB,62)</f>
        <v>8586900</v>
      </c>
      <c r="N79" s="49">
        <f>VLOOKUP($A79,'Data shares'!$C:$FB,63)</f>
        <v>11839100</v>
      </c>
      <c r="O79" s="140">
        <f>VLOOKUP($A79,'Data shares'!$C:$FB,65)*100</f>
        <v>-27.47</v>
      </c>
    </row>
    <row r="80" spans="1:15" x14ac:dyDescent="0.25">
      <c r="A80" s="101" t="str">
        <f>'Data shares'!C75</f>
        <v>HDFCAMC</v>
      </c>
      <c r="B80" s="50">
        <f>VLOOKUP($A80,'Data shares'!$C:$FB,7)</f>
        <v>5520</v>
      </c>
      <c r="C80" s="50">
        <f>VLOOKUP($A80,'Data shares'!$C:$FB,10)*100</f>
        <v>0.75</v>
      </c>
      <c r="D80" s="49">
        <f>VLOOKUP($A80,'Data shares'!$C:$FB,66)</f>
        <v>2056500</v>
      </c>
      <c r="E80" s="49">
        <f>VLOOKUP($A80,'Data shares'!$C:$FB,67)</f>
        <v>1929300</v>
      </c>
      <c r="F80" s="50">
        <f>VLOOKUP($A80,'Data shares'!$C:$FB,69)*100</f>
        <v>6.59</v>
      </c>
      <c r="G80" s="49">
        <f>VLOOKUP($A80,'Data shares'!$C:$FB,42)</f>
        <v>426150</v>
      </c>
      <c r="H80" s="49">
        <f>VLOOKUP($A80,'Data shares'!$C:$FB,43)</f>
        <v>429150</v>
      </c>
      <c r="I80" s="50">
        <f>VLOOKUP($A80,'Data shares'!$C:$FB,45)*100</f>
        <v>-0.70000000000000007</v>
      </c>
      <c r="J80" s="49">
        <f>VLOOKUP($A80,'Data shares'!$C:$FB,58)</f>
        <v>1214550</v>
      </c>
      <c r="K80" s="49">
        <f>VLOOKUP($A80,'Data shares'!$C:$FB,59)</f>
        <v>1022850</v>
      </c>
      <c r="L80" s="50">
        <f>VLOOKUP($A80,'Data shares'!$C:$FB,61)*100</f>
        <v>18.740000000000002</v>
      </c>
      <c r="M80" s="49">
        <f>VLOOKUP($A80,'Data shares'!$C:$FB,62)</f>
        <v>415800</v>
      </c>
      <c r="N80" s="49">
        <f>VLOOKUP($A80,'Data shares'!$C:$FB,63)</f>
        <v>477300</v>
      </c>
      <c r="O80" s="140">
        <f>VLOOKUP($A80,'Data shares'!$C:$FB,65)*100</f>
        <v>-12.879999999999999</v>
      </c>
    </row>
    <row r="81" spans="1:15" x14ac:dyDescent="0.25">
      <c r="A81" s="101" t="str">
        <f>'Data shares'!C76</f>
        <v>HDFCBANK</v>
      </c>
      <c r="B81" s="50">
        <f>VLOOKUP($A81,'Data shares'!$C:$FB,7)</f>
        <v>980.9</v>
      </c>
      <c r="C81" s="50">
        <f>VLOOKUP($A81,'Data shares'!$C:$FB,10)*100</f>
        <v>0.38999999999999996</v>
      </c>
      <c r="D81" s="49">
        <f>VLOOKUP($A81,'Data shares'!$C:$FB,66)</f>
        <v>86367600</v>
      </c>
      <c r="E81" s="49">
        <f>VLOOKUP($A81,'Data shares'!$C:$FB,67)</f>
        <v>74569000</v>
      </c>
      <c r="F81" s="50">
        <f>VLOOKUP($A81,'Data shares'!$C:$FB,69)*100</f>
        <v>15.82</v>
      </c>
      <c r="G81" s="49">
        <f>VLOOKUP($A81,'Data shares'!$C:$FB,42)</f>
        <v>18506400</v>
      </c>
      <c r="H81" s="49">
        <f>VLOOKUP($A81,'Data shares'!$C:$FB,43)</f>
        <v>18332600</v>
      </c>
      <c r="I81" s="50">
        <f>VLOOKUP($A81,'Data shares'!$C:$FB,45)*100</f>
        <v>0.95</v>
      </c>
      <c r="J81" s="49">
        <f>VLOOKUP($A81,'Data shares'!$C:$FB,58)</f>
        <v>44642400</v>
      </c>
      <c r="K81" s="49">
        <f>VLOOKUP($A81,'Data shares'!$C:$FB,59)</f>
        <v>33587400</v>
      </c>
      <c r="L81" s="50">
        <f>VLOOKUP($A81,'Data shares'!$C:$FB,61)*100</f>
        <v>32.910000000000004</v>
      </c>
      <c r="M81" s="49">
        <f>VLOOKUP($A81,'Data shares'!$C:$FB,62)</f>
        <v>23218800</v>
      </c>
      <c r="N81" s="49">
        <f>VLOOKUP($A81,'Data shares'!$C:$FB,63)</f>
        <v>22649000</v>
      </c>
      <c r="O81" s="140">
        <f>VLOOKUP($A81,'Data shares'!$C:$FB,65)*100</f>
        <v>2.52</v>
      </c>
    </row>
    <row r="82" spans="1:15" x14ac:dyDescent="0.25">
      <c r="A82" s="101" t="str">
        <f>'Data shares'!C77</f>
        <v>HDFCLIFE</v>
      </c>
      <c r="B82" s="50">
        <f>VLOOKUP($A82,'Data shares'!$C:$FB,7)</f>
        <v>747.3</v>
      </c>
      <c r="C82" s="50">
        <f>VLOOKUP($A82,'Data shares'!$C:$FB,10)*100</f>
        <v>-0.92999999999999994</v>
      </c>
      <c r="D82" s="49">
        <f>VLOOKUP($A82,'Data shares'!$C:$FB,66)</f>
        <v>14916000</v>
      </c>
      <c r="E82" s="49">
        <f>VLOOKUP($A82,'Data shares'!$C:$FB,67)</f>
        <v>20742700</v>
      </c>
      <c r="F82" s="50">
        <f>VLOOKUP($A82,'Data shares'!$C:$FB,69)*100</f>
        <v>-28.09</v>
      </c>
      <c r="G82" s="49">
        <f>VLOOKUP($A82,'Data shares'!$C:$FB,42)</f>
        <v>3756500</v>
      </c>
      <c r="H82" s="49">
        <f>VLOOKUP($A82,'Data shares'!$C:$FB,43)</f>
        <v>5278900</v>
      </c>
      <c r="I82" s="50">
        <f>VLOOKUP($A82,'Data shares'!$C:$FB,45)*100</f>
        <v>-28.84</v>
      </c>
      <c r="J82" s="49">
        <f>VLOOKUP($A82,'Data shares'!$C:$FB,58)</f>
        <v>7566900</v>
      </c>
      <c r="K82" s="49">
        <f>VLOOKUP($A82,'Data shares'!$C:$FB,59)</f>
        <v>10181600</v>
      </c>
      <c r="L82" s="50">
        <f>VLOOKUP($A82,'Data shares'!$C:$FB,61)*100</f>
        <v>-25.679999999999996</v>
      </c>
      <c r="M82" s="49">
        <f>VLOOKUP($A82,'Data shares'!$C:$FB,62)</f>
        <v>3592600</v>
      </c>
      <c r="N82" s="49">
        <f>VLOOKUP($A82,'Data shares'!$C:$FB,63)</f>
        <v>5282200</v>
      </c>
      <c r="O82" s="140">
        <f>VLOOKUP($A82,'Data shares'!$C:$FB,65)*100</f>
        <v>-31.990000000000002</v>
      </c>
    </row>
    <row r="83" spans="1:15" x14ac:dyDescent="0.25">
      <c r="A83" s="101" t="str">
        <f>'Data shares'!C78</f>
        <v>HEROMOTOCO</v>
      </c>
      <c r="B83" s="50">
        <f>VLOOKUP($A83,'Data shares'!$C:$FB,7)</f>
        <v>5500</v>
      </c>
      <c r="C83" s="50">
        <f>VLOOKUP($A83,'Data shares'!$C:$FB,10)*100</f>
        <v>-0.22</v>
      </c>
      <c r="D83" s="49">
        <f>VLOOKUP($A83,'Data shares'!$C:$FB,66)</f>
        <v>8043600</v>
      </c>
      <c r="E83" s="49">
        <f>VLOOKUP($A83,'Data shares'!$C:$FB,67)</f>
        <v>5572800</v>
      </c>
      <c r="F83" s="50">
        <f>VLOOKUP($A83,'Data shares'!$C:$FB,69)*100</f>
        <v>44.34</v>
      </c>
      <c r="G83" s="49">
        <f>VLOOKUP($A83,'Data shares'!$C:$FB,42)</f>
        <v>1212600</v>
      </c>
      <c r="H83" s="49">
        <f>VLOOKUP($A83,'Data shares'!$C:$FB,43)</f>
        <v>1000800</v>
      </c>
      <c r="I83" s="50">
        <f>VLOOKUP($A83,'Data shares'!$C:$FB,45)*100</f>
        <v>21.16</v>
      </c>
      <c r="J83" s="49">
        <f>VLOOKUP($A83,'Data shares'!$C:$FB,58)</f>
        <v>5203800</v>
      </c>
      <c r="K83" s="49">
        <f>VLOOKUP($A83,'Data shares'!$C:$FB,59)</f>
        <v>3058500</v>
      </c>
      <c r="L83" s="50">
        <f>VLOOKUP($A83,'Data shares'!$C:$FB,61)*100</f>
        <v>70.14</v>
      </c>
      <c r="M83" s="49">
        <f>VLOOKUP($A83,'Data shares'!$C:$FB,62)</f>
        <v>1627200</v>
      </c>
      <c r="N83" s="49">
        <f>VLOOKUP($A83,'Data shares'!$C:$FB,63)</f>
        <v>1513500</v>
      </c>
      <c r="O83" s="140">
        <f>VLOOKUP($A83,'Data shares'!$C:$FB,65)*100</f>
        <v>7.51</v>
      </c>
    </row>
    <row r="84" spans="1:15" x14ac:dyDescent="0.25">
      <c r="A84" s="101" t="str">
        <f>'Data shares'!C79</f>
        <v>HFCL</v>
      </c>
      <c r="B84" s="50">
        <f>VLOOKUP($A84,'Data shares'!$C:$FB,7)</f>
        <v>76.040000000000006</v>
      </c>
      <c r="C84" s="50">
        <f>VLOOKUP($A84,'Data shares'!$C:$FB,10)*100</f>
        <v>2.78</v>
      </c>
      <c r="D84" s="49">
        <f>VLOOKUP($A84,'Data shares'!$C:$FB,66)</f>
        <v>118409100</v>
      </c>
      <c r="E84" s="49">
        <f>VLOOKUP($A84,'Data shares'!$C:$FB,67)</f>
        <v>67479900</v>
      </c>
      <c r="F84" s="50">
        <f>VLOOKUP($A84,'Data shares'!$C:$FB,69)*100</f>
        <v>75.47</v>
      </c>
      <c r="G84" s="49">
        <f>VLOOKUP($A84,'Data shares'!$C:$FB,42)</f>
        <v>31863000</v>
      </c>
      <c r="H84" s="49">
        <f>VLOOKUP($A84,'Data shares'!$C:$FB,43)</f>
        <v>18550200</v>
      </c>
      <c r="I84" s="50">
        <f>VLOOKUP($A84,'Data shares'!$C:$FB,45)*100</f>
        <v>71.77</v>
      </c>
      <c r="J84" s="49">
        <f>VLOOKUP($A84,'Data shares'!$C:$FB,58)</f>
        <v>66041550</v>
      </c>
      <c r="K84" s="49">
        <f>VLOOKUP($A84,'Data shares'!$C:$FB,59)</f>
        <v>35268600</v>
      </c>
      <c r="L84" s="50">
        <f>VLOOKUP($A84,'Data shares'!$C:$FB,61)*100</f>
        <v>87.25</v>
      </c>
      <c r="M84" s="49">
        <f>VLOOKUP($A84,'Data shares'!$C:$FB,62)</f>
        <v>20504550</v>
      </c>
      <c r="N84" s="49">
        <f>VLOOKUP($A84,'Data shares'!$C:$FB,63)</f>
        <v>13661100</v>
      </c>
      <c r="O84" s="140">
        <f>VLOOKUP($A84,'Data shares'!$C:$FB,65)*100</f>
        <v>50.09</v>
      </c>
    </row>
    <row r="85" spans="1:15" x14ac:dyDescent="0.25">
      <c r="A85" s="101" t="str">
        <f>'Data shares'!C80</f>
        <v>HINDALCO</v>
      </c>
      <c r="B85" s="50">
        <f>VLOOKUP($A85,'Data shares'!$C:$FB,7)</f>
        <v>773.95</v>
      </c>
      <c r="C85" s="50">
        <f>VLOOKUP($A85,'Data shares'!$C:$FB,10)*100</f>
        <v>-0.02</v>
      </c>
      <c r="D85" s="49">
        <f>VLOOKUP($A85,'Data shares'!$C:$FB,66)</f>
        <v>47825400</v>
      </c>
      <c r="E85" s="49">
        <f>VLOOKUP($A85,'Data shares'!$C:$FB,67)</f>
        <v>46894400</v>
      </c>
      <c r="F85" s="50">
        <f>VLOOKUP($A85,'Data shares'!$C:$FB,69)*100</f>
        <v>1.9900000000000002</v>
      </c>
      <c r="G85" s="49">
        <f>VLOOKUP($A85,'Data shares'!$C:$FB,42)</f>
        <v>9513000</v>
      </c>
      <c r="H85" s="49">
        <f>VLOOKUP($A85,'Data shares'!$C:$FB,43)</f>
        <v>8822800</v>
      </c>
      <c r="I85" s="50">
        <f>VLOOKUP($A85,'Data shares'!$C:$FB,45)*100</f>
        <v>7.82</v>
      </c>
      <c r="J85" s="49">
        <f>VLOOKUP($A85,'Data shares'!$C:$FB,58)</f>
        <v>25194400</v>
      </c>
      <c r="K85" s="49">
        <f>VLOOKUP($A85,'Data shares'!$C:$FB,59)</f>
        <v>27291600</v>
      </c>
      <c r="L85" s="50">
        <f>VLOOKUP($A85,'Data shares'!$C:$FB,61)*100</f>
        <v>-7.68</v>
      </c>
      <c r="M85" s="49">
        <f>VLOOKUP($A85,'Data shares'!$C:$FB,62)</f>
        <v>13118000</v>
      </c>
      <c r="N85" s="49">
        <f>VLOOKUP($A85,'Data shares'!$C:$FB,63)</f>
        <v>10780000</v>
      </c>
      <c r="O85" s="140">
        <f>VLOOKUP($A85,'Data shares'!$C:$FB,65)*100</f>
        <v>21.69</v>
      </c>
    </row>
    <row r="86" spans="1:15" x14ac:dyDescent="0.25">
      <c r="A86" s="101" t="str">
        <f>'Data shares'!C81</f>
        <v>HINDPETRO</v>
      </c>
      <c r="B86" s="50">
        <f>VLOOKUP($A86,'Data shares'!$C:$FB,7)</f>
        <v>452.5</v>
      </c>
      <c r="C86" s="50">
        <f>VLOOKUP($A86,'Data shares'!$C:$FB,10)*100</f>
        <v>-1.2</v>
      </c>
      <c r="D86" s="49">
        <f>VLOOKUP($A86,'Data shares'!$C:$FB,66)</f>
        <v>28113075</v>
      </c>
      <c r="E86" s="49">
        <f>VLOOKUP($A86,'Data shares'!$C:$FB,67)</f>
        <v>47921625</v>
      </c>
      <c r="F86" s="50">
        <f>VLOOKUP($A86,'Data shares'!$C:$FB,69)*100</f>
        <v>-41.339999999999996</v>
      </c>
      <c r="G86" s="49">
        <f>VLOOKUP($A86,'Data shares'!$C:$FB,42)</f>
        <v>5702400</v>
      </c>
      <c r="H86" s="49">
        <f>VLOOKUP($A86,'Data shares'!$C:$FB,43)</f>
        <v>8021025</v>
      </c>
      <c r="I86" s="50">
        <f>VLOOKUP($A86,'Data shares'!$C:$FB,45)*100</f>
        <v>-28.910000000000004</v>
      </c>
      <c r="J86" s="49">
        <f>VLOOKUP($A86,'Data shares'!$C:$FB,58)</f>
        <v>14189175</v>
      </c>
      <c r="K86" s="49">
        <f>VLOOKUP($A86,'Data shares'!$C:$FB,59)</f>
        <v>27054000</v>
      </c>
      <c r="L86" s="50">
        <f>VLOOKUP($A86,'Data shares'!$C:$FB,61)*100</f>
        <v>-47.55</v>
      </c>
      <c r="M86" s="49">
        <f>VLOOKUP($A86,'Data shares'!$C:$FB,62)</f>
        <v>8221500</v>
      </c>
      <c r="N86" s="49">
        <f>VLOOKUP($A86,'Data shares'!$C:$FB,63)</f>
        <v>12846600</v>
      </c>
      <c r="O86" s="140">
        <f>VLOOKUP($A86,'Data shares'!$C:$FB,65)*100</f>
        <v>-36</v>
      </c>
    </row>
    <row r="87" spans="1:15" x14ac:dyDescent="0.25">
      <c r="A87" s="101" t="str">
        <f>'Data shares'!C82</f>
        <v>HINDUNILVR</v>
      </c>
      <c r="B87" s="50">
        <f>VLOOKUP($A87,'Data shares'!$C:$FB,7)</f>
        <v>2528.9</v>
      </c>
      <c r="C87" s="50">
        <f>VLOOKUP($A87,'Data shares'!$C:$FB,10)*100</f>
        <v>0.44999999999999996</v>
      </c>
      <c r="D87" s="49">
        <f>VLOOKUP($A87,'Data shares'!$C:$FB,66)</f>
        <v>7733700</v>
      </c>
      <c r="E87" s="49">
        <f>VLOOKUP($A87,'Data shares'!$C:$FB,67)</f>
        <v>5808600</v>
      </c>
      <c r="F87" s="50">
        <f>VLOOKUP($A87,'Data shares'!$C:$FB,69)*100</f>
        <v>33.14</v>
      </c>
      <c r="G87" s="49">
        <f>VLOOKUP($A87,'Data shares'!$C:$FB,42)</f>
        <v>1419000</v>
      </c>
      <c r="H87" s="49">
        <f>VLOOKUP($A87,'Data shares'!$C:$FB,43)</f>
        <v>1131000</v>
      </c>
      <c r="I87" s="50">
        <f>VLOOKUP($A87,'Data shares'!$C:$FB,45)*100</f>
        <v>25.46</v>
      </c>
      <c r="J87" s="49">
        <f>VLOOKUP($A87,'Data shares'!$C:$FB,58)</f>
        <v>4088700</v>
      </c>
      <c r="K87" s="49">
        <f>VLOOKUP($A87,'Data shares'!$C:$FB,59)</f>
        <v>3204600</v>
      </c>
      <c r="L87" s="50">
        <f>VLOOKUP($A87,'Data shares'!$C:$FB,61)*100</f>
        <v>27.589999999999996</v>
      </c>
      <c r="M87" s="49">
        <f>VLOOKUP($A87,'Data shares'!$C:$FB,62)</f>
        <v>2226000</v>
      </c>
      <c r="N87" s="49">
        <f>VLOOKUP($A87,'Data shares'!$C:$FB,63)</f>
        <v>1473000</v>
      </c>
      <c r="O87" s="140">
        <f>VLOOKUP($A87,'Data shares'!$C:$FB,65)*100</f>
        <v>51.12</v>
      </c>
    </row>
    <row r="88" spans="1:15" x14ac:dyDescent="0.25">
      <c r="A88" s="101" t="str">
        <f>'Data shares'!C83</f>
        <v>HINDZINC</v>
      </c>
      <c r="B88" s="50">
        <f>VLOOKUP($A88,'Data shares'!$C:$FB,7)</f>
        <v>498.3</v>
      </c>
      <c r="C88" s="50">
        <f>VLOOKUP($A88,'Data shares'!$C:$FB,10)*100</f>
        <v>-2.7199999999999998</v>
      </c>
      <c r="D88" s="49">
        <f>VLOOKUP($A88,'Data shares'!$C:$FB,66)</f>
        <v>109191600</v>
      </c>
      <c r="E88" s="49">
        <f>VLOOKUP($A88,'Data shares'!$C:$FB,67)</f>
        <v>138570775</v>
      </c>
      <c r="F88" s="50">
        <f>VLOOKUP($A88,'Data shares'!$C:$FB,69)*100</f>
        <v>-21.2</v>
      </c>
      <c r="G88" s="49">
        <f>VLOOKUP($A88,'Data shares'!$C:$FB,42)</f>
        <v>19952800</v>
      </c>
      <c r="H88" s="49">
        <f>VLOOKUP($A88,'Data shares'!$C:$FB,43)</f>
        <v>19895225</v>
      </c>
      <c r="I88" s="50">
        <f>VLOOKUP($A88,'Data shares'!$C:$FB,45)*100</f>
        <v>0.28999999999999998</v>
      </c>
      <c r="J88" s="49">
        <f>VLOOKUP($A88,'Data shares'!$C:$FB,58)</f>
        <v>62145475</v>
      </c>
      <c r="K88" s="49">
        <f>VLOOKUP($A88,'Data shares'!$C:$FB,59)</f>
        <v>90330275</v>
      </c>
      <c r="L88" s="50">
        <f>VLOOKUP($A88,'Data shares'!$C:$FB,61)*100</f>
        <v>-31.2</v>
      </c>
      <c r="M88" s="49">
        <f>VLOOKUP($A88,'Data shares'!$C:$FB,62)</f>
        <v>27093325</v>
      </c>
      <c r="N88" s="49">
        <f>VLOOKUP($A88,'Data shares'!$C:$FB,63)</f>
        <v>28345275</v>
      </c>
      <c r="O88" s="140">
        <f>VLOOKUP($A88,'Data shares'!$C:$FB,65)*100</f>
        <v>-4.42</v>
      </c>
    </row>
    <row r="89" spans="1:15" x14ac:dyDescent="0.25">
      <c r="A89" s="101" t="str">
        <f>'Data shares'!C84</f>
        <v>HUDCO</v>
      </c>
      <c r="B89" s="50">
        <f>VLOOKUP($A89,'Data shares'!$C:$FB,7)</f>
        <v>232.92</v>
      </c>
      <c r="C89" s="50">
        <f>VLOOKUP($A89,'Data shares'!$C:$FB,10)*100</f>
        <v>1.5</v>
      </c>
      <c r="D89" s="49">
        <f>VLOOKUP($A89,'Data shares'!$C:$FB,66)</f>
        <v>41316975</v>
      </c>
      <c r="E89" s="49">
        <f>VLOOKUP($A89,'Data shares'!$C:$FB,67)</f>
        <v>22607925</v>
      </c>
      <c r="F89" s="50">
        <f>VLOOKUP($A89,'Data shares'!$C:$FB,69)*100</f>
        <v>82.75</v>
      </c>
      <c r="G89" s="49">
        <f>VLOOKUP($A89,'Data shares'!$C:$FB,42)</f>
        <v>7350975</v>
      </c>
      <c r="H89" s="49">
        <f>VLOOKUP($A89,'Data shares'!$C:$FB,43)</f>
        <v>4265175</v>
      </c>
      <c r="I89" s="50">
        <f>VLOOKUP($A89,'Data shares'!$C:$FB,45)*100</f>
        <v>72.350000000000009</v>
      </c>
      <c r="J89" s="49">
        <f>VLOOKUP($A89,'Data shares'!$C:$FB,58)</f>
        <v>23032500</v>
      </c>
      <c r="K89" s="49">
        <f>VLOOKUP($A89,'Data shares'!$C:$FB,59)</f>
        <v>13397700</v>
      </c>
      <c r="L89" s="50">
        <f>VLOOKUP($A89,'Data shares'!$C:$FB,61)*100</f>
        <v>71.91</v>
      </c>
      <c r="M89" s="49">
        <f>VLOOKUP($A89,'Data shares'!$C:$FB,62)</f>
        <v>10933500</v>
      </c>
      <c r="N89" s="49">
        <f>VLOOKUP($A89,'Data shares'!$C:$FB,63)</f>
        <v>4945050</v>
      </c>
      <c r="O89" s="140">
        <f>VLOOKUP($A89,'Data shares'!$C:$FB,65)*100</f>
        <v>121.10000000000001</v>
      </c>
    </row>
    <row r="90" spans="1:15" x14ac:dyDescent="0.25">
      <c r="A90" s="101" t="str">
        <f>'Data shares'!C85</f>
        <v>ICICIBANK</v>
      </c>
      <c r="B90" s="50">
        <f>VLOOKUP($A90,'Data shares'!$C:$FB,7)</f>
        <v>1380.3</v>
      </c>
      <c r="C90" s="50">
        <f>VLOOKUP($A90,'Data shares'!$C:$FB,10)*100</f>
        <v>0.3</v>
      </c>
      <c r="D90" s="49">
        <f>VLOOKUP($A90,'Data shares'!$C:$FB,66)</f>
        <v>53615800</v>
      </c>
      <c r="E90" s="49">
        <f>VLOOKUP($A90,'Data shares'!$C:$FB,67)</f>
        <v>44970800</v>
      </c>
      <c r="F90" s="50">
        <f>VLOOKUP($A90,'Data shares'!$C:$FB,69)*100</f>
        <v>19.220000000000002</v>
      </c>
      <c r="G90" s="49">
        <f>VLOOKUP($A90,'Data shares'!$C:$FB,42)</f>
        <v>11957400</v>
      </c>
      <c r="H90" s="49">
        <f>VLOOKUP($A90,'Data shares'!$C:$FB,43)</f>
        <v>10201100</v>
      </c>
      <c r="I90" s="50">
        <f>VLOOKUP($A90,'Data shares'!$C:$FB,45)*100</f>
        <v>17.22</v>
      </c>
      <c r="J90" s="49">
        <f>VLOOKUP($A90,'Data shares'!$C:$FB,58)</f>
        <v>27695500</v>
      </c>
      <c r="K90" s="49">
        <f>VLOOKUP($A90,'Data shares'!$C:$FB,59)</f>
        <v>22277500</v>
      </c>
      <c r="L90" s="50">
        <f>VLOOKUP($A90,'Data shares'!$C:$FB,61)*100</f>
        <v>24.32</v>
      </c>
      <c r="M90" s="49">
        <f>VLOOKUP($A90,'Data shares'!$C:$FB,62)</f>
        <v>13962900</v>
      </c>
      <c r="N90" s="49">
        <f>VLOOKUP($A90,'Data shares'!$C:$FB,63)</f>
        <v>12492200</v>
      </c>
      <c r="O90" s="140">
        <f>VLOOKUP($A90,'Data shares'!$C:$FB,65)*100</f>
        <v>11.77</v>
      </c>
    </row>
    <row r="91" spans="1:15" x14ac:dyDescent="0.25">
      <c r="A91" s="101" t="str">
        <f>'Data shares'!C86</f>
        <v>ICICIGI</v>
      </c>
      <c r="B91" s="50">
        <f>VLOOKUP($A91,'Data shares'!$C:$FB,7)</f>
        <v>1862.8</v>
      </c>
      <c r="C91" s="50">
        <f>VLOOKUP($A91,'Data shares'!$C:$FB,10)*100</f>
        <v>-1.06</v>
      </c>
      <c r="D91" s="49">
        <f>VLOOKUP($A91,'Data shares'!$C:$FB,66)</f>
        <v>1794325</v>
      </c>
      <c r="E91" s="49">
        <f>VLOOKUP($A91,'Data shares'!$C:$FB,67)</f>
        <v>2311400</v>
      </c>
      <c r="F91" s="50">
        <f>VLOOKUP($A91,'Data shares'!$C:$FB,69)*100</f>
        <v>-22.37</v>
      </c>
      <c r="G91" s="49">
        <f>VLOOKUP($A91,'Data shares'!$C:$FB,42)</f>
        <v>663650</v>
      </c>
      <c r="H91" s="49">
        <f>VLOOKUP($A91,'Data shares'!$C:$FB,43)</f>
        <v>765700</v>
      </c>
      <c r="I91" s="50">
        <f>VLOOKUP($A91,'Data shares'!$C:$FB,45)*100</f>
        <v>-13.33</v>
      </c>
      <c r="J91" s="49">
        <f>VLOOKUP($A91,'Data shares'!$C:$FB,58)</f>
        <v>721175</v>
      </c>
      <c r="K91" s="49">
        <f>VLOOKUP($A91,'Data shares'!$C:$FB,59)</f>
        <v>1058525</v>
      </c>
      <c r="L91" s="50">
        <f>VLOOKUP($A91,'Data shares'!$C:$FB,61)*100</f>
        <v>-31.869999999999997</v>
      </c>
      <c r="M91" s="49">
        <f>VLOOKUP($A91,'Data shares'!$C:$FB,62)</f>
        <v>409500</v>
      </c>
      <c r="N91" s="49">
        <f>VLOOKUP($A91,'Data shares'!$C:$FB,63)</f>
        <v>487175</v>
      </c>
      <c r="O91" s="140">
        <f>VLOOKUP($A91,'Data shares'!$C:$FB,65)*100</f>
        <v>-15.939999999999998</v>
      </c>
    </row>
    <row r="92" spans="1:15" x14ac:dyDescent="0.25">
      <c r="A92" s="101" t="str">
        <f>'Data shares'!C87</f>
        <v>ICICIPRULI</v>
      </c>
      <c r="B92" s="50">
        <f>VLOOKUP($A92,'Data shares'!$C:$FB,7)</f>
        <v>597.70000000000005</v>
      </c>
      <c r="C92" s="50">
        <f>VLOOKUP($A92,'Data shares'!$C:$FB,10)*100</f>
        <v>0.72</v>
      </c>
      <c r="D92" s="49">
        <f>VLOOKUP($A92,'Data shares'!$C:$FB,66)</f>
        <v>6107775</v>
      </c>
      <c r="E92" s="49">
        <f>VLOOKUP($A92,'Data shares'!$C:$FB,67)</f>
        <v>2960925</v>
      </c>
      <c r="F92" s="50">
        <f>VLOOKUP($A92,'Data shares'!$C:$FB,69)*100</f>
        <v>106.28</v>
      </c>
      <c r="G92" s="49">
        <f>VLOOKUP($A92,'Data shares'!$C:$FB,42)</f>
        <v>1721425</v>
      </c>
      <c r="H92" s="49">
        <f>VLOOKUP($A92,'Data shares'!$C:$FB,43)</f>
        <v>878750</v>
      </c>
      <c r="I92" s="50">
        <f>VLOOKUP($A92,'Data shares'!$C:$FB,45)*100</f>
        <v>95.89</v>
      </c>
      <c r="J92" s="49">
        <f>VLOOKUP($A92,'Data shares'!$C:$FB,58)</f>
        <v>3190325</v>
      </c>
      <c r="K92" s="49">
        <f>VLOOKUP($A92,'Data shares'!$C:$FB,59)</f>
        <v>1567875</v>
      </c>
      <c r="L92" s="50">
        <f>VLOOKUP($A92,'Data shares'!$C:$FB,61)*100</f>
        <v>103.47999999999999</v>
      </c>
      <c r="M92" s="49">
        <f>VLOOKUP($A92,'Data shares'!$C:$FB,62)</f>
        <v>1196025</v>
      </c>
      <c r="N92" s="49">
        <f>VLOOKUP($A92,'Data shares'!$C:$FB,63)</f>
        <v>514300</v>
      </c>
      <c r="O92" s="140">
        <f>VLOOKUP($A92,'Data shares'!$C:$FB,65)*100</f>
        <v>132.54999999999998</v>
      </c>
    </row>
    <row r="93" spans="1:15" x14ac:dyDescent="0.25">
      <c r="A93" s="101" t="str">
        <f>'Data shares'!C88</f>
        <v>IDEA</v>
      </c>
      <c r="B93" s="50">
        <f>VLOOKUP($A93,'Data shares'!$C:$FB,7)</f>
        <v>9.0399999999999991</v>
      </c>
      <c r="C93" s="50">
        <f>VLOOKUP($A93,'Data shares'!$C:$FB,10)*100</f>
        <v>0.11</v>
      </c>
      <c r="D93" s="49">
        <f>VLOOKUP($A93,'Data shares'!$C:$FB,66)</f>
        <v>2572814100</v>
      </c>
      <c r="E93" s="49">
        <f>VLOOKUP($A93,'Data shares'!$C:$FB,67)</f>
        <v>2360890725</v>
      </c>
      <c r="F93" s="50">
        <f>VLOOKUP($A93,'Data shares'!$C:$FB,69)*100</f>
        <v>8.98</v>
      </c>
      <c r="G93" s="49">
        <f>VLOOKUP($A93,'Data shares'!$C:$FB,42)</f>
        <v>724970925</v>
      </c>
      <c r="H93" s="49">
        <f>VLOOKUP($A93,'Data shares'!$C:$FB,43)</f>
        <v>684444600</v>
      </c>
      <c r="I93" s="50">
        <f>VLOOKUP($A93,'Data shares'!$C:$FB,45)*100</f>
        <v>5.92</v>
      </c>
      <c r="J93" s="49">
        <f>VLOOKUP($A93,'Data shares'!$C:$FB,58)</f>
        <v>1397407725</v>
      </c>
      <c r="K93" s="49">
        <f>VLOOKUP($A93,'Data shares'!$C:$FB,59)</f>
        <v>1256816400</v>
      </c>
      <c r="L93" s="50">
        <f>VLOOKUP($A93,'Data shares'!$C:$FB,61)*100</f>
        <v>11.19</v>
      </c>
      <c r="M93" s="49">
        <f>VLOOKUP($A93,'Data shares'!$C:$FB,62)</f>
        <v>450435450</v>
      </c>
      <c r="N93" s="49">
        <f>VLOOKUP($A93,'Data shares'!$C:$FB,63)</f>
        <v>419629725</v>
      </c>
      <c r="O93" s="140">
        <f>VLOOKUP($A93,'Data shares'!$C:$FB,65)*100</f>
        <v>7.3400000000000007</v>
      </c>
    </row>
    <row r="94" spans="1:15" x14ac:dyDescent="0.25">
      <c r="A94" s="101" t="str">
        <f>'Data shares'!C89</f>
        <v>IDFCFIRSTB</v>
      </c>
      <c r="B94" s="50">
        <f>VLOOKUP($A94,'Data shares'!$C:$FB,7)</f>
        <v>74.430000000000007</v>
      </c>
      <c r="C94" s="50">
        <f>VLOOKUP($A94,'Data shares'!$C:$FB,10)*100</f>
        <v>1.3299999999999998</v>
      </c>
      <c r="D94" s="49">
        <f>VLOOKUP($A94,'Data shares'!$C:$FB,66)</f>
        <v>441258125</v>
      </c>
      <c r="E94" s="49">
        <f>VLOOKUP($A94,'Data shares'!$C:$FB,67)</f>
        <v>291596725</v>
      </c>
      <c r="F94" s="50">
        <f>VLOOKUP($A94,'Data shares'!$C:$FB,69)*100</f>
        <v>51.32</v>
      </c>
      <c r="G94" s="49">
        <f>VLOOKUP($A94,'Data shares'!$C:$FB,42)</f>
        <v>73782625</v>
      </c>
      <c r="H94" s="49">
        <f>VLOOKUP($A94,'Data shares'!$C:$FB,43)</f>
        <v>53924850</v>
      </c>
      <c r="I94" s="50">
        <f>VLOOKUP($A94,'Data shares'!$C:$FB,45)*100</f>
        <v>36.82</v>
      </c>
      <c r="J94" s="49">
        <f>VLOOKUP($A94,'Data shares'!$C:$FB,58)</f>
        <v>269002825</v>
      </c>
      <c r="K94" s="49">
        <f>VLOOKUP($A94,'Data shares'!$C:$FB,59)</f>
        <v>136963925</v>
      </c>
      <c r="L94" s="50">
        <f>VLOOKUP($A94,'Data shares'!$C:$FB,61)*100</f>
        <v>96.399999999999991</v>
      </c>
      <c r="M94" s="49">
        <f>VLOOKUP($A94,'Data shares'!$C:$FB,62)</f>
        <v>98472675</v>
      </c>
      <c r="N94" s="49">
        <f>VLOOKUP($A94,'Data shares'!$C:$FB,63)</f>
        <v>100707950</v>
      </c>
      <c r="O94" s="140">
        <f>VLOOKUP($A94,'Data shares'!$C:$FB,65)*100</f>
        <v>-2.2200000000000002</v>
      </c>
    </row>
    <row r="95" spans="1:15" x14ac:dyDescent="0.25">
      <c r="A95" s="101" t="str">
        <f>'Data shares'!C90</f>
        <v>IEX</v>
      </c>
      <c r="B95" s="50">
        <f>VLOOKUP($A95,'Data shares'!$C:$FB,7)</f>
        <v>139.87</v>
      </c>
      <c r="C95" s="50">
        <f>VLOOKUP($A95,'Data shares'!$C:$FB,10)*100</f>
        <v>-0.38999999999999996</v>
      </c>
      <c r="D95" s="49">
        <f>VLOOKUP($A95,'Data shares'!$C:$FB,66)</f>
        <v>24967500</v>
      </c>
      <c r="E95" s="49">
        <f>VLOOKUP($A95,'Data shares'!$C:$FB,67)</f>
        <v>20351250</v>
      </c>
      <c r="F95" s="50">
        <f>VLOOKUP($A95,'Data shares'!$C:$FB,69)*100</f>
        <v>22.68</v>
      </c>
      <c r="G95" s="49">
        <f>VLOOKUP($A95,'Data shares'!$C:$FB,42)</f>
        <v>5606250</v>
      </c>
      <c r="H95" s="49">
        <f>VLOOKUP($A95,'Data shares'!$C:$FB,43)</f>
        <v>3397500</v>
      </c>
      <c r="I95" s="50">
        <f>VLOOKUP($A95,'Data shares'!$C:$FB,45)*100</f>
        <v>65.010000000000005</v>
      </c>
      <c r="J95" s="49">
        <f>VLOOKUP($A95,'Data shares'!$C:$FB,58)</f>
        <v>13582500</v>
      </c>
      <c r="K95" s="49">
        <f>VLOOKUP($A95,'Data shares'!$C:$FB,59)</f>
        <v>11313750</v>
      </c>
      <c r="L95" s="50">
        <f>VLOOKUP($A95,'Data shares'!$C:$FB,61)*100</f>
        <v>20.05</v>
      </c>
      <c r="M95" s="49">
        <f>VLOOKUP($A95,'Data shares'!$C:$FB,62)</f>
        <v>5778750</v>
      </c>
      <c r="N95" s="49">
        <f>VLOOKUP($A95,'Data shares'!$C:$FB,63)</f>
        <v>5640000</v>
      </c>
      <c r="O95" s="140">
        <f>VLOOKUP($A95,'Data shares'!$C:$FB,65)*100</f>
        <v>2.46</v>
      </c>
    </row>
    <row r="96" spans="1:15" x14ac:dyDescent="0.25">
      <c r="A96" s="101" t="str">
        <f>'Data shares'!C91</f>
        <v>IGL</v>
      </c>
      <c r="B96" s="50">
        <f>VLOOKUP($A96,'Data shares'!$C:$FB,7)</f>
        <v>216.18</v>
      </c>
      <c r="C96" s="50">
        <f>VLOOKUP($A96,'Data shares'!$C:$FB,10)*100</f>
        <v>-1.0699999999999998</v>
      </c>
      <c r="D96" s="49">
        <f>VLOOKUP($A96,'Data shares'!$C:$FB,66)</f>
        <v>21521500</v>
      </c>
      <c r="E96" s="49">
        <f>VLOOKUP($A96,'Data shares'!$C:$FB,67)</f>
        <v>37171750</v>
      </c>
      <c r="F96" s="50">
        <f>VLOOKUP($A96,'Data shares'!$C:$FB,69)*100</f>
        <v>-42.1</v>
      </c>
      <c r="G96" s="49">
        <f>VLOOKUP($A96,'Data shares'!$C:$FB,42)</f>
        <v>3863750</v>
      </c>
      <c r="H96" s="49">
        <f>VLOOKUP($A96,'Data shares'!$C:$FB,43)</f>
        <v>6858500</v>
      </c>
      <c r="I96" s="50">
        <f>VLOOKUP($A96,'Data shares'!$C:$FB,45)*100</f>
        <v>-43.66</v>
      </c>
      <c r="J96" s="49">
        <f>VLOOKUP($A96,'Data shares'!$C:$FB,58)</f>
        <v>12309000</v>
      </c>
      <c r="K96" s="49">
        <f>VLOOKUP($A96,'Data shares'!$C:$FB,59)</f>
        <v>21774500</v>
      </c>
      <c r="L96" s="50">
        <f>VLOOKUP($A96,'Data shares'!$C:$FB,61)*100</f>
        <v>-43.47</v>
      </c>
      <c r="M96" s="49">
        <f>VLOOKUP($A96,'Data shares'!$C:$FB,62)</f>
        <v>5348750</v>
      </c>
      <c r="N96" s="49">
        <f>VLOOKUP($A96,'Data shares'!$C:$FB,63)</f>
        <v>8538750</v>
      </c>
      <c r="O96" s="140">
        <f>VLOOKUP($A96,'Data shares'!$C:$FB,65)*100</f>
        <v>-37.36</v>
      </c>
    </row>
    <row r="97" spans="1:15" x14ac:dyDescent="0.25">
      <c r="A97" s="101" t="str">
        <f>'Data shares'!C92</f>
        <v>IIFL</v>
      </c>
      <c r="B97" s="50">
        <f>VLOOKUP($A97,'Data shares'!$C:$FB,7)</f>
        <v>490</v>
      </c>
      <c r="C97" s="50">
        <f>VLOOKUP($A97,'Data shares'!$C:$FB,10)*100</f>
        <v>-1.04</v>
      </c>
      <c r="D97" s="49">
        <f>VLOOKUP($A97,'Data shares'!$C:$FB,66)</f>
        <v>9126150</v>
      </c>
      <c r="E97" s="49">
        <f>VLOOKUP($A97,'Data shares'!$C:$FB,67)</f>
        <v>23632950</v>
      </c>
      <c r="F97" s="50">
        <f>VLOOKUP($A97,'Data shares'!$C:$FB,69)*100</f>
        <v>-61.38</v>
      </c>
      <c r="G97" s="49">
        <f>VLOOKUP($A97,'Data shares'!$C:$FB,42)</f>
        <v>2895750</v>
      </c>
      <c r="H97" s="49">
        <f>VLOOKUP($A97,'Data shares'!$C:$FB,43)</f>
        <v>5743650</v>
      </c>
      <c r="I97" s="50">
        <f>VLOOKUP($A97,'Data shares'!$C:$FB,45)*100</f>
        <v>-49.58</v>
      </c>
      <c r="J97" s="49">
        <f>VLOOKUP($A97,'Data shares'!$C:$FB,58)</f>
        <v>3889050</v>
      </c>
      <c r="K97" s="49">
        <f>VLOOKUP($A97,'Data shares'!$C:$FB,59)</f>
        <v>13402950</v>
      </c>
      <c r="L97" s="50">
        <f>VLOOKUP($A97,'Data shares'!$C:$FB,61)*100</f>
        <v>-70.98</v>
      </c>
      <c r="M97" s="49">
        <f>VLOOKUP($A97,'Data shares'!$C:$FB,62)</f>
        <v>2341350</v>
      </c>
      <c r="N97" s="49">
        <f>VLOOKUP($A97,'Data shares'!$C:$FB,63)</f>
        <v>4486350</v>
      </c>
      <c r="O97" s="140">
        <f>VLOOKUP($A97,'Data shares'!$C:$FB,65)*100</f>
        <v>-47.81</v>
      </c>
    </row>
    <row r="98" spans="1:15" x14ac:dyDescent="0.25">
      <c r="A98" s="101" t="str">
        <f>'Data shares'!C93</f>
        <v>INDHOTEL</v>
      </c>
      <c r="B98" s="50">
        <f>VLOOKUP($A98,'Data shares'!$C:$FB,7)</f>
        <v>735.55</v>
      </c>
      <c r="C98" s="50">
        <f>VLOOKUP($A98,'Data shares'!$C:$FB,10)*100</f>
        <v>0.45999999999999996</v>
      </c>
      <c r="D98" s="49">
        <f>VLOOKUP($A98,'Data shares'!$C:$FB,66)</f>
        <v>20862000</v>
      </c>
      <c r="E98" s="49">
        <f>VLOOKUP($A98,'Data shares'!$C:$FB,67)</f>
        <v>12573000</v>
      </c>
      <c r="F98" s="50">
        <f>VLOOKUP($A98,'Data shares'!$C:$FB,69)*100</f>
        <v>65.930000000000007</v>
      </c>
      <c r="G98" s="49">
        <f>VLOOKUP($A98,'Data shares'!$C:$FB,42)</f>
        <v>3056000</v>
      </c>
      <c r="H98" s="49">
        <f>VLOOKUP($A98,'Data shares'!$C:$FB,43)</f>
        <v>2118000</v>
      </c>
      <c r="I98" s="50">
        <f>VLOOKUP($A98,'Data shares'!$C:$FB,45)*100</f>
        <v>44.29</v>
      </c>
      <c r="J98" s="49">
        <f>VLOOKUP($A98,'Data shares'!$C:$FB,58)</f>
        <v>13809000</v>
      </c>
      <c r="K98" s="49">
        <f>VLOOKUP($A98,'Data shares'!$C:$FB,59)</f>
        <v>8828000</v>
      </c>
      <c r="L98" s="50">
        <f>VLOOKUP($A98,'Data shares'!$C:$FB,61)*100</f>
        <v>56.42</v>
      </c>
      <c r="M98" s="49">
        <f>VLOOKUP($A98,'Data shares'!$C:$FB,62)</f>
        <v>3997000</v>
      </c>
      <c r="N98" s="49">
        <f>VLOOKUP($A98,'Data shares'!$C:$FB,63)</f>
        <v>1627000</v>
      </c>
      <c r="O98" s="140">
        <f>VLOOKUP($A98,'Data shares'!$C:$FB,65)*100</f>
        <v>145.67000000000002</v>
      </c>
    </row>
    <row r="99" spans="1:15" x14ac:dyDescent="0.25">
      <c r="A99" s="101" t="str">
        <f>'Data shares'!C94</f>
        <v>INDIANB</v>
      </c>
      <c r="B99" s="50">
        <f>VLOOKUP($A99,'Data shares'!$C:$FB,7)</f>
        <v>776.25</v>
      </c>
      <c r="C99" s="50">
        <f>VLOOKUP($A99,'Data shares'!$C:$FB,10)*100</f>
        <v>1.31</v>
      </c>
      <c r="D99" s="49">
        <f>VLOOKUP($A99,'Data shares'!$C:$FB,66)</f>
        <v>9774000</v>
      </c>
      <c r="E99" s="49">
        <f>VLOOKUP($A99,'Data shares'!$C:$FB,67)</f>
        <v>4582000</v>
      </c>
      <c r="F99" s="50">
        <f>VLOOKUP($A99,'Data shares'!$C:$FB,69)*100</f>
        <v>113.31</v>
      </c>
      <c r="G99" s="49">
        <f>VLOOKUP($A99,'Data shares'!$C:$FB,42)</f>
        <v>2381000</v>
      </c>
      <c r="H99" s="49">
        <f>VLOOKUP($A99,'Data shares'!$C:$FB,43)</f>
        <v>1451000</v>
      </c>
      <c r="I99" s="50">
        <f>VLOOKUP($A99,'Data shares'!$C:$FB,45)*100</f>
        <v>64.09</v>
      </c>
      <c r="J99" s="49">
        <f>VLOOKUP($A99,'Data shares'!$C:$FB,58)</f>
        <v>4820000</v>
      </c>
      <c r="K99" s="49">
        <f>VLOOKUP($A99,'Data shares'!$C:$FB,59)</f>
        <v>1755000</v>
      </c>
      <c r="L99" s="50">
        <f>VLOOKUP($A99,'Data shares'!$C:$FB,61)*100</f>
        <v>174.64</v>
      </c>
      <c r="M99" s="49">
        <f>VLOOKUP($A99,'Data shares'!$C:$FB,62)</f>
        <v>2573000</v>
      </c>
      <c r="N99" s="49">
        <f>VLOOKUP($A99,'Data shares'!$C:$FB,63)</f>
        <v>1376000</v>
      </c>
      <c r="O99" s="140">
        <f>VLOOKUP($A99,'Data shares'!$C:$FB,65)*100</f>
        <v>86.99</v>
      </c>
    </row>
    <row r="100" spans="1:15" x14ac:dyDescent="0.25">
      <c r="A100" s="101" t="str">
        <f>'Data shares'!C95</f>
        <v>INDIAVIX</v>
      </c>
      <c r="B100" s="50">
        <f>VLOOKUP($A100,'Data shares'!$C:$FB,7)</f>
        <v>10.1</v>
      </c>
      <c r="C100" s="50">
        <f>VLOOKUP($A100,'Data shares'!$C:$FB,10)*100</f>
        <v>-0.16999999999999998</v>
      </c>
      <c r="D100" s="49">
        <f>VLOOKUP($A100,'Data shares'!$C:$FB,66)</f>
        <v>0</v>
      </c>
      <c r="E100" s="49">
        <f>VLOOKUP($A100,'Data shares'!$C:$FB,67)</f>
        <v>0</v>
      </c>
      <c r="F100" s="50">
        <f>VLOOKUP($A100,'Data shares'!$C:$FB,69)*100</f>
        <v>0</v>
      </c>
      <c r="G100" s="49">
        <f>VLOOKUP($A100,'Data shares'!$C:$FB,42)</f>
        <v>0</v>
      </c>
      <c r="H100" s="49">
        <f>VLOOKUP($A100,'Data shares'!$C:$FB,43)</f>
        <v>0</v>
      </c>
      <c r="I100" s="50">
        <f>VLOOKUP($A100,'Data shares'!$C:$FB,45)*100</f>
        <v>0</v>
      </c>
      <c r="J100" s="49">
        <f>VLOOKUP($A100,'Data shares'!$C:$FB,58)</f>
        <v>0</v>
      </c>
      <c r="K100" s="49">
        <f>VLOOKUP($A100,'Data shares'!$C:$FB,59)</f>
        <v>0</v>
      </c>
      <c r="L100" s="50">
        <f>VLOOKUP($A100,'Data shares'!$C:$FB,61)*100</f>
        <v>0</v>
      </c>
      <c r="M100" s="49">
        <f>VLOOKUP($A100,'Data shares'!$C:$FB,62)</f>
        <v>0</v>
      </c>
      <c r="N100" s="49">
        <f>VLOOKUP($A100,'Data shares'!$C:$FB,63)</f>
        <v>0</v>
      </c>
      <c r="O100" s="140">
        <f>VLOOKUP($A100,'Data shares'!$C:$FB,65)*100</f>
        <v>0</v>
      </c>
    </row>
    <row r="101" spans="1:15" x14ac:dyDescent="0.25">
      <c r="A101" s="101" t="str">
        <f>'Data shares'!C96</f>
        <v>INDIGO</v>
      </c>
      <c r="B101" s="50">
        <f>VLOOKUP($A101,'Data shares'!$C:$FB,7)</f>
        <v>5735</v>
      </c>
      <c r="C101" s="50">
        <f>VLOOKUP($A101,'Data shares'!$C:$FB,10)*100</f>
        <v>0.18</v>
      </c>
      <c r="D101" s="49">
        <f>VLOOKUP($A101,'Data shares'!$C:$FB,66)</f>
        <v>4403250</v>
      </c>
      <c r="E101" s="49">
        <f>VLOOKUP($A101,'Data shares'!$C:$FB,67)</f>
        <v>6133050</v>
      </c>
      <c r="F101" s="50">
        <f>VLOOKUP($A101,'Data shares'!$C:$FB,69)*100</f>
        <v>-28.199999999999996</v>
      </c>
      <c r="G101" s="49">
        <f>VLOOKUP($A101,'Data shares'!$C:$FB,42)</f>
        <v>760050</v>
      </c>
      <c r="H101" s="49">
        <f>VLOOKUP($A101,'Data shares'!$C:$FB,43)</f>
        <v>1165950</v>
      </c>
      <c r="I101" s="50">
        <f>VLOOKUP($A101,'Data shares'!$C:$FB,45)*100</f>
        <v>-34.81</v>
      </c>
      <c r="J101" s="49">
        <f>VLOOKUP($A101,'Data shares'!$C:$FB,58)</f>
        <v>2628450</v>
      </c>
      <c r="K101" s="49">
        <f>VLOOKUP($A101,'Data shares'!$C:$FB,59)</f>
        <v>3460350</v>
      </c>
      <c r="L101" s="50">
        <f>VLOOKUP($A101,'Data shares'!$C:$FB,61)*100</f>
        <v>-24.04</v>
      </c>
      <c r="M101" s="49">
        <f>VLOOKUP($A101,'Data shares'!$C:$FB,62)</f>
        <v>1014750</v>
      </c>
      <c r="N101" s="49">
        <f>VLOOKUP($A101,'Data shares'!$C:$FB,63)</f>
        <v>1506750</v>
      </c>
      <c r="O101" s="140">
        <f>VLOOKUP($A101,'Data shares'!$C:$FB,65)*100</f>
        <v>-32.65</v>
      </c>
    </row>
    <row r="102" spans="1:15" x14ac:dyDescent="0.25">
      <c r="A102" s="101" t="str">
        <f>'Data shares'!C97</f>
        <v>INDUSINDBK</v>
      </c>
      <c r="B102" s="50">
        <f>VLOOKUP($A102,'Data shares'!$C:$FB,7)</f>
        <v>763.35</v>
      </c>
      <c r="C102" s="50">
        <f>VLOOKUP($A102,'Data shares'!$C:$FB,10)*100</f>
        <v>1.9</v>
      </c>
      <c r="D102" s="49">
        <f>VLOOKUP($A102,'Data shares'!$C:$FB,66)</f>
        <v>45196200</v>
      </c>
      <c r="E102" s="49">
        <f>VLOOKUP($A102,'Data shares'!$C:$FB,67)</f>
        <v>24572100</v>
      </c>
      <c r="F102" s="50">
        <f>VLOOKUP($A102,'Data shares'!$C:$FB,69)*100</f>
        <v>83.93</v>
      </c>
      <c r="G102" s="49">
        <f>VLOOKUP($A102,'Data shares'!$C:$FB,42)</f>
        <v>10026100</v>
      </c>
      <c r="H102" s="49">
        <f>VLOOKUP($A102,'Data shares'!$C:$FB,43)</f>
        <v>6742400</v>
      </c>
      <c r="I102" s="50">
        <f>VLOOKUP($A102,'Data shares'!$C:$FB,45)*100</f>
        <v>48.699999999999996</v>
      </c>
      <c r="J102" s="49">
        <f>VLOOKUP($A102,'Data shares'!$C:$FB,58)</f>
        <v>24532900</v>
      </c>
      <c r="K102" s="49">
        <f>VLOOKUP($A102,'Data shares'!$C:$FB,59)</f>
        <v>11258800</v>
      </c>
      <c r="L102" s="50">
        <f>VLOOKUP($A102,'Data shares'!$C:$FB,61)*100</f>
        <v>117.9</v>
      </c>
      <c r="M102" s="49">
        <f>VLOOKUP($A102,'Data shares'!$C:$FB,62)</f>
        <v>10637200</v>
      </c>
      <c r="N102" s="49">
        <f>VLOOKUP($A102,'Data shares'!$C:$FB,63)</f>
        <v>6570900</v>
      </c>
      <c r="O102" s="140">
        <f>VLOOKUP($A102,'Data shares'!$C:$FB,65)*100</f>
        <v>61.88</v>
      </c>
    </row>
    <row r="103" spans="1:15" x14ac:dyDescent="0.25">
      <c r="A103" s="101" t="str">
        <f>'Data shares'!C98</f>
        <v>INDUSTOWER</v>
      </c>
      <c r="B103" s="50">
        <f>VLOOKUP($A103,'Data shares'!$C:$FB,7)</f>
        <v>353.7</v>
      </c>
      <c r="C103" s="50">
        <f>VLOOKUP($A103,'Data shares'!$C:$FB,10)*100</f>
        <v>-0.32</v>
      </c>
      <c r="D103" s="49">
        <f>VLOOKUP($A103,'Data shares'!$C:$FB,66)</f>
        <v>39035400</v>
      </c>
      <c r="E103" s="49">
        <f>VLOOKUP($A103,'Data shares'!$C:$FB,67)</f>
        <v>28294800</v>
      </c>
      <c r="F103" s="50">
        <f>VLOOKUP($A103,'Data shares'!$C:$FB,69)*100</f>
        <v>37.96</v>
      </c>
      <c r="G103" s="49">
        <f>VLOOKUP($A103,'Data shares'!$C:$FB,42)</f>
        <v>8896100</v>
      </c>
      <c r="H103" s="49">
        <f>VLOOKUP($A103,'Data shares'!$C:$FB,43)</f>
        <v>7886300</v>
      </c>
      <c r="I103" s="50">
        <f>VLOOKUP($A103,'Data shares'!$C:$FB,45)*100</f>
        <v>12.8</v>
      </c>
      <c r="J103" s="49">
        <f>VLOOKUP($A103,'Data shares'!$C:$FB,58)</f>
        <v>22025200</v>
      </c>
      <c r="K103" s="49">
        <f>VLOOKUP($A103,'Data shares'!$C:$FB,59)</f>
        <v>12556200</v>
      </c>
      <c r="L103" s="50">
        <f>VLOOKUP($A103,'Data shares'!$C:$FB,61)*100</f>
        <v>75.41</v>
      </c>
      <c r="M103" s="49">
        <f>VLOOKUP($A103,'Data shares'!$C:$FB,62)</f>
        <v>8114100</v>
      </c>
      <c r="N103" s="49">
        <f>VLOOKUP($A103,'Data shares'!$C:$FB,63)</f>
        <v>7852300</v>
      </c>
      <c r="O103" s="140">
        <f>VLOOKUP($A103,'Data shares'!$C:$FB,65)*100</f>
        <v>3.3300000000000005</v>
      </c>
    </row>
    <row r="104" spans="1:15" x14ac:dyDescent="0.25">
      <c r="A104" s="101" t="str">
        <f>'Data shares'!C99</f>
        <v>INFY</v>
      </c>
      <c r="B104" s="50">
        <f>VLOOKUP($A104,'Data shares'!$C:$FB,7)</f>
        <v>1514.9</v>
      </c>
      <c r="C104" s="50">
        <f>VLOOKUP($A104,'Data shares'!$C:$FB,10)*100</f>
        <v>0.37</v>
      </c>
      <c r="D104" s="49">
        <f>VLOOKUP($A104,'Data shares'!$C:$FB,66)</f>
        <v>55404000</v>
      </c>
      <c r="E104" s="49">
        <f>VLOOKUP($A104,'Data shares'!$C:$FB,67)</f>
        <v>77975200</v>
      </c>
      <c r="F104" s="50">
        <f>VLOOKUP($A104,'Data shares'!$C:$FB,69)*100</f>
        <v>-28.95</v>
      </c>
      <c r="G104" s="49">
        <f>VLOOKUP($A104,'Data shares'!$C:$FB,42)</f>
        <v>10703200</v>
      </c>
      <c r="H104" s="49">
        <f>VLOOKUP($A104,'Data shares'!$C:$FB,43)</f>
        <v>13160400</v>
      </c>
      <c r="I104" s="50">
        <f>VLOOKUP($A104,'Data shares'!$C:$FB,45)*100</f>
        <v>-18.670000000000002</v>
      </c>
      <c r="J104" s="49">
        <f>VLOOKUP($A104,'Data shares'!$C:$FB,58)</f>
        <v>27002400</v>
      </c>
      <c r="K104" s="49">
        <f>VLOOKUP($A104,'Data shares'!$C:$FB,59)</f>
        <v>40500800</v>
      </c>
      <c r="L104" s="50">
        <f>VLOOKUP($A104,'Data shares'!$C:$FB,61)*100</f>
        <v>-33.33</v>
      </c>
      <c r="M104" s="49">
        <f>VLOOKUP($A104,'Data shares'!$C:$FB,62)</f>
        <v>17698400</v>
      </c>
      <c r="N104" s="49">
        <f>VLOOKUP($A104,'Data shares'!$C:$FB,63)</f>
        <v>24314000</v>
      </c>
      <c r="O104" s="140">
        <f>VLOOKUP($A104,'Data shares'!$C:$FB,65)*100</f>
        <v>-27.21</v>
      </c>
    </row>
    <row r="105" spans="1:15" x14ac:dyDescent="0.25">
      <c r="A105" s="101" t="str">
        <f>'Data shares'!C100</f>
        <v>INOXWIND</v>
      </c>
      <c r="B105" s="50">
        <f>VLOOKUP($A105,'Data shares'!$C:$FB,7)</f>
        <v>150.08000000000001</v>
      </c>
      <c r="C105" s="50">
        <f>VLOOKUP($A105,'Data shares'!$C:$FB,10)*100</f>
        <v>2.1</v>
      </c>
      <c r="D105" s="49">
        <f>VLOOKUP($A105,'Data shares'!$C:$FB,66)</f>
        <v>81017992</v>
      </c>
      <c r="E105" s="49">
        <f>VLOOKUP($A105,'Data shares'!$C:$FB,67)</f>
        <v>64366784</v>
      </c>
      <c r="F105" s="50">
        <f>VLOOKUP($A105,'Data shares'!$C:$FB,69)*100</f>
        <v>25.869999999999997</v>
      </c>
      <c r="G105" s="49">
        <f>VLOOKUP($A105,'Data shares'!$C:$FB,42)</f>
        <v>13447920</v>
      </c>
      <c r="H105" s="49">
        <f>VLOOKUP($A105,'Data shares'!$C:$FB,43)</f>
        <v>15414392</v>
      </c>
      <c r="I105" s="50">
        <f>VLOOKUP($A105,'Data shares'!$C:$FB,45)*100</f>
        <v>-12.76</v>
      </c>
      <c r="J105" s="49">
        <f>VLOOKUP($A105,'Data shares'!$C:$FB,58)</f>
        <v>51216616</v>
      </c>
      <c r="K105" s="49">
        <f>VLOOKUP($A105,'Data shares'!$C:$FB,59)</f>
        <v>36145784</v>
      </c>
      <c r="L105" s="50">
        <f>VLOOKUP($A105,'Data shares'!$C:$FB,61)*100</f>
        <v>41.69</v>
      </c>
      <c r="M105" s="49">
        <f>VLOOKUP($A105,'Data shares'!$C:$FB,62)</f>
        <v>16353456</v>
      </c>
      <c r="N105" s="49">
        <f>VLOOKUP($A105,'Data shares'!$C:$FB,63)</f>
        <v>12806608</v>
      </c>
      <c r="O105" s="140">
        <f>VLOOKUP($A105,'Data shares'!$C:$FB,65)*100</f>
        <v>27.700000000000003</v>
      </c>
    </row>
    <row r="106" spans="1:15" x14ac:dyDescent="0.25">
      <c r="A106" s="101" t="str">
        <f>'Data shares'!C101</f>
        <v>IOC</v>
      </c>
      <c r="B106" s="50">
        <f>VLOOKUP($A106,'Data shares'!$C:$FB,7)</f>
        <v>154.11000000000001</v>
      </c>
      <c r="C106" s="50">
        <f>VLOOKUP($A106,'Data shares'!$C:$FB,10)*100</f>
        <v>-0.73</v>
      </c>
      <c r="D106" s="49">
        <f>VLOOKUP($A106,'Data shares'!$C:$FB,66)</f>
        <v>103720500</v>
      </c>
      <c r="E106" s="49">
        <f>VLOOKUP($A106,'Data shares'!$C:$FB,67)</f>
        <v>160104750</v>
      </c>
      <c r="F106" s="50">
        <f>VLOOKUP($A106,'Data shares'!$C:$FB,69)*100</f>
        <v>-35.22</v>
      </c>
      <c r="G106" s="49">
        <f>VLOOKUP($A106,'Data shares'!$C:$FB,42)</f>
        <v>16794375</v>
      </c>
      <c r="H106" s="49">
        <f>VLOOKUP($A106,'Data shares'!$C:$FB,43)</f>
        <v>24360375</v>
      </c>
      <c r="I106" s="50">
        <f>VLOOKUP($A106,'Data shares'!$C:$FB,45)*100</f>
        <v>-31.06</v>
      </c>
      <c r="J106" s="49">
        <f>VLOOKUP($A106,'Data shares'!$C:$FB,58)</f>
        <v>55331250</v>
      </c>
      <c r="K106" s="49">
        <f>VLOOKUP($A106,'Data shares'!$C:$FB,59)</f>
        <v>87286875</v>
      </c>
      <c r="L106" s="50">
        <f>VLOOKUP($A106,'Data shares'!$C:$FB,61)*100</f>
        <v>-36.61</v>
      </c>
      <c r="M106" s="49">
        <f>VLOOKUP($A106,'Data shares'!$C:$FB,62)</f>
        <v>31594875</v>
      </c>
      <c r="N106" s="49">
        <f>VLOOKUP($A106,'Data shares'!$C:$FB,63)</f>
        <v>48457500</v>
      </c>
      <c r="O106" s="140">
        <f>VLOOKUP($A106,'Data shares'!$C:$FB,65)*100</f>
        <v>-34.799999999999997</v>
      </c>
    </row>
    <row r="107" spans="1:15" x14ac:dyDescent="0.25">
      <c r="A107" s="101" t="str">
        <f>'Data shares'!C102</f>
        <v>IRCTC</v>
      </c>
      <c r="B107" s="50">
        <f>VLOOKUP($A107,'Data shares'!$C:$FB,7)</f>
        <v>715.7</v>
      </c>
      <c r="C107" s="50">
        <f>VLOOKUP($A107,'Data shares'!$C:$FB,10)*100</f>
        <v>0.83</v>
      </c>
      <c r="D107" s="49">
        <f>VLOOKUP($A107,'Data shares'!$C:$FB,66)</f>
        <v>7917875</v>
      </c>
      <c r="E107" s="49">
        <f>VLOOKUP($A107,'Data shares'!$C:$FB,67)</f>
        <v>8110375</v>
      </c>
      <c r="F107" s="50">
        <f>VLOOKUP($A107,'Data shares'!$C:$FB,69)*100</f>
        <v>-2.37</v>
      </c>
      <c r="G107" s="49">
        <f>VLOOKUP($A107,'Data shares'!$C:$FB,42)</f>
        <v>1607375</v>
      </c>
      <c r="H107" s="49">
        <f>VLOOKUP($A107,'Data shares'!$C:$FB,43)</f>
        <v>1905750</v>
      </c>
      <c r="I107" s="50">
        <f>VLOOKUP($A107,'Data shares'!$C:$FB,45)*100</f>
        <v>-15.659999999999998</v>
      </c>
      <c r="J107" s="49">
        <f>VLOOKUP($A107,'Data shares'!$C:$FB,58)</f>
        <v>4612125</v>
      </c>
      <c r="K107" s="49">
        <f>VLOOKUP($A107,'Data shares'!$C:$FB,59)</f>
        <v>4737250</v>
      </c>
      <c r="L107" s="50">
        <f>VLOOKUP($A107,'Data shares'!$C:$FB,61)*100</f>
        <v>-2.64</v>
      </c>
      <c r="M107" s="49">
        <f>VLOOKUP($A107,'Data shares'!$C:$FB,62)</f>
        <v>1698375</v>
      </c>
      <c r="N107" s="49">
        <f>VLOOKUP($A107,'Data shares'!$C:$FB,63)</f>
        <v>1467375</v>
      </c>
      <c r="O107" s="140">
        <f>VLOOKUP($A107,'Data shares'!$C:$FB,65)*100</f>
        <v>15.740000000000002</v>
      </c>
    </row>
    <row r="108" spans="1:15" x14ac:dyDescent="0.25">
      <c r="A108" s="101" t="str">
        <f>'Data shares'!C103</f>
        <v>IREDA</v>
      </c>
      <c r="B108" s="50">
        <f>VLOOKUP($A108,'Data shares'!$C:$FB,7)</f>
        <v>150.96</v>
      </c>
      <c r="C108" s="50">
        <f>VLOOKUP($A108,'Data shares'!$C:$FB,10)*100</f>
        <v>1.4200000000000002</v>
      </c>
      <c r="D108" s="49">
        <f>VLOOKUP($A108,'Data shares'!$C:$FB,66)</f>
        <v>36708000</v>
      </c>
      <c r="E108" s="49">
        <f>VLOOKUP($A108,'Data shares'!$C:$FB,67)</f>
        <v>37760250</v>
      </c>
      <c r="F108" s="50">
        <f>VLOOKUP($A108,'Data shares'!$C:$FB,69)*100</f>
        <v>-2.79</v>
      </c>
      <c r="G108" s="49">
        <f>VLOOKUP($A108,'Data shares'!$C:$FB,42)</f>
        <v>7489950</v>
      </c>
      <c r="H108" s="49">
        <f>VLOOKUP($A108,'Data shares'!$C:$FB,43)</f>
        <v>9025200</v>
      </c>
      <c r="I108" s="50">
        <f>VLOOKUP($A108,'Data shares'!$C:$FB,45)*100</f>
        <v>-17.010000000000002</v>
      </c>
      <c r="J108" s="49">
        <f>VLOOKUP($A108,'Data shares'!$C:$FB,58)</f>
        <v>19813350</v>
      </c>
      <c r="K108" s="49">
        <f>VLOOKUP($A108,'Data shares'!$C:$FB,59)</f>
        <v>20651700</v>
      </c>
      <c r="L108" s="50">
        <f>VLOOKUP($A108,'Data shares'!$C:$FB,61)*100</f>
        <v>-4.0599999999999996</v>
      </c>
      <c r="M108" s="49">
        <f>VLOOKUP($A108,'Data shares'!$C:$FB,62)</f>
        <v>9404700</v>
      </c>
      <c r="N108" s="49">
        <f>VLOOKUP($A108,'Data shares'!$C:$FB,63)</f>
        <v>8083350</v>
      </c>
      <c r="O108" s="140">
        <f>VLOOKUP($A108,'Data shares'!$C:$FB,65)*100</f>
        <v>16.350000000000001</v>
      </c>
    </row>
    <row r="109" spans="1:15" x14ac:dyDescent="0.25">
      <c r="A109" s="101" t="str">
        <f>'Data shares'!C104</f>
        <v>IRFC</v>
      </c>
      <c r="B109" s="50">
        <f>VLOOKUP($A109,'Data shares'!$C:$FB,7)</f>
        <v>126.5</v>
      </c>
      <c r="C109" s="50">
        <f>VLOOKUP($A109,'Data shares'!$C:$FB,10)*100</f>
        <v>1.1400000000000001</v>
      </c>
      <c r="D109" s="49">
        <f>VLOOKUP($A109,'Data shares'!$C:$FB,66)</f>
        <v>38088500</v>
      </c>
      <c r="E109" s="49">
        <f>VLOOKUP($A109,'Data shares'!$C:$FB,67)</f>
        <v>19626500</v>
      </c>
      <c r="F109" s="50">
        <f>VLOOKUP($A109,'Data shares'!$C:$FB,69)*100</f>
        <v>94.07</v>
      </c>
      <c r="G109" s="49">
        <f>VLOOKUP($A109,'Data shares'!$C:$FB,42)</f>
        <v>8912250</v>
      </c>
      <c r="H109" s="49">
        <f>VLOOKUP($A109,'Data shares'!$C:$FB,43)</f>
        <v>5380500</v>
      </c>
      <c r="I109" s="50">
        <f>VLOOKUP($A109,'Data shares'!$C:$FB,45)*100</f>
        <v>65.64</v>
      </c>
      <c r="J109" s="49">
        <f>VLOOKUP($A109,'Data shares'!$C:$FB,58)</f>
        <v>21029000</v>
      </c>
      <c r="K109" s="49">
        <f>VLOOKUP($A109,'Data shares'!$C:$FB,59)</f>
        <v>10110750</v>
      </c>
      <c r="L109" s="50">
        <f>VLOOKUP($A109,'Data shares'!$C:$FB,61)*100</f>
        <v>107.99000000000001</v>
      </c>
      <c r="M109" s="49">
        <f>VLOOKUP($A109,'Data shares'!$C:$FB,62)</f>
        <v>8147250</v>
      </c>
      <c r="N109" s="49">
        <f>VLOOKUP($A109,'Data shares'!$C:$FB,63)</f>
        <v>4135250</v>
      </c>
      <c r="O109" s="140">
        <f>VLOOKUP($A109,'Data shares'!$C:$FB,65)*100</f>
        <v>97.02</v>
      </c>
    </row>
    <row r="110" spans="1:15" x14ac:dyDescent="0.25">
      <c r="A110" s="101" t="str">
        <f>'Data shares'!C105</f>
        <v>ITC</v>
      </c>
      <c r="B110" s="50">
        <f>VLOOKUP($A110,'Data shares'!$C:$FB,7)</f>
        <v>402.8</v>
      </c>
      <c r="C110" s="50">
        <f>VLOOKUP($A110,'Data shares'!$C:$FB,10)*100</f>
        <v>0.73</v>
      </c>
      <c r="D110" s="49">
        <f>VLOOKUP($A110,'Data shares'!$C:$FB,66)</f>
        <v>102460800</v>
      </c>
      <c r="E110" s="49">
        <f>VLOOKUP($A110,'Data shares'!$C:$FB,67)</f>
        <v>61750400</v>
      </c>
      <c r="F110" s="50">
        <f>VLOOKUP($A110,'Data shares'!$C:$FB,69)*100</f>
        <v>65.930000000000007</v>
      </c>
      <c r="G110" s="49">
        <f>VLOOKUP($A110,'Data shares'!$C:$FB,42)</f>
        <v>20579200</v>
      </c>
      <c r="H110" s="49">
        <f>VLOOKUP($A110,'Data shares'!$C:$FB,43)</f>
        <v>13056000</v>
      </c>
      <c r="I110" s="50">
        <f>VLOOKUP($A110,'Data shares'!$C:$FB,45)*100</f>
        <v>57.620000000000005</v>
      </c>
      <c r="J110" s="49">
        <f>VLOOKUP($A110,'Data shares'!$C:$FB,58)</f>
        <v>51910400</v>
      </c>
      <c r="K110" s="49">
        <f>VLOOKUP($A110,'Data shares'!$C:$FB,59)</f>
        <v>30782400</v>
      </c>
      <c r="L110" s="50">
        <f>VLOOKUP($A110,'Data shares'!$C:$FB,61)*100</f>
        <v>68.64</v>
      </c>
      <c r="M110" s="49">
        <f>VLOOKUP($A110,'Data shares'!$C:$FB,62)</f>
        <v>29971200</v>
      </c>
      <c r="N110" s="49">
        <f>VLOOKUP($A110,'Data shares'!$C:$FB,63)</f>
        <v>17912000</v>
      </c>
      <c r="O110" s="140">
        <f>VLOOKUP($A110,'Data shares'!$C:$FB,65)*100</f>
        <v>67.320000000000007</v>
      </c>
    </row>
    <row r="111" spans="1:15" x14ac:dyDescent="0.25">
      <c r="A111" s="101" t="str">
        <f>'Data shares'!C106</f>
        <v>JINDALSTEL</v>
      </c>
      <c r="B111" s="50">
        <f>VLOOKUP($A111,'Data shares'!$C:$FB,7)</f>
        <v>1015.2</v>
      </c>
      <c r="C111" s="50">
        <f>VLOOKUP($A111,'Data shares'!$C:$FB,10)*100</f>
        <v>-2.41</v>
      </c>
      <c r="D111" s="49">
        <f>VLOOKUP($A111,'Data shares'!$C:$FB,66)</f>
        <v>15403125</v>
      </c>
      <c r="E111" s="49">
        <f>VLOOKUP($A111,'Data shares'!$C:$FB,67)</f>
        <v>15681250</v>
      </c>
      <c r="F111" s="50">
        <f>VLOOKUP($A111,'Data shares'!$C:$FB,69)*100</f>
        <v>-1.77</v>
      </c>
      <c r="G111" s="49">
        <f>VLOOKUP($A111,'Data shares'!$C:$FB,42)</f>
        <v>3002500</v>
      </c>
      <c r="H111" s="49">
        <f>VLOOKUP($A111,'Data shares'!$C:$FB,43)</f>
        <v>3222500</v>
      </c>
      <c r="I111" s="50">
        <f>VLOOKUP($A111,'Data shares'!$C:$FB,45)*100</f>
        <v>-6.83</v>
      </c>
      <c r="J111" s="49">
        <f>VLOOKUP($A111,'Data shares'!$C:$FB,58)</f>
        <v>9174375</v>
      </c>
      <c r="K111" s="49">
        <f>VLOOKUP($A111,'Data shares'!$C:$FB,59)</f>
        <v>9214375</v>
      </c>
      <c r="L111" s="50">
        <f>VLOOKUP($A111,'Data shares'!$C:$FB,61)*100</f>
        <v>-0.43</v>
      </c>
      <c r="M111" s="49">
        <f>VLOOKUP($A111,'Data shares'!$C:$FB,62)</f>
        <v>3226250</v>
      </c>
      <c r="N111" s="49">
        <f>VLOOKUP($A111,'Data shares'!$C:$FB,63)</f>
        <v>3244375</v>
      </c>
      <c r="O111" s="140">
        <f>VLOOKUP($A111,'Data shares'!$C:$FB,65)*100</f>
        <v>-0.55999999999999994</v>
      </c>
    </row>
    <row r="112" spans="1:15" x14ac:dyDescent="0.25">
      <c r="A112" s="101" t="str">
        <f>'Data shares'!C107</f>
        <v>JIOFIN</v>
      </c>
      <c r="B112" s="50">
        <f>VLOOKUP($A112,'Data shares'!$C:$FB,7)</f>
        <v>308.14999999999998</v>
      </c>
      <c r="C112" s="50">
        <f>VLOOKUP($A112,'Data shares'!$C:$FB,10)*100</f>
        <v>0.26</v>
      </c>
      <c r="D112" s="49">
        <f>VLOOKUP($A112,'Data shares'!$C:$FB,66)</f>
        <v>66401600</v>
      </c>
      <c r="E112" s="49">
        <f>VLOOKUP($A112,'Data shares'!$C:$FB,67)</f>
        <v>72807700</v>
      </c>
      <c r="F112" s="50">
        <f>VLOOKUP($A112,'Data shares'!$C:$FB,69)*100</f>
        <v>-8.7999999999999989</v>
      </c>
      <c r="G112" s="49">
        <f>VLOOKUP($A112,'Data shares'!$C:$FB,42)</f>
        <v>13829750</v>
      </c>
      <c r="H112" s="49">
        <f>VLOOKUP($A112,'Data shares'!$C:$FB,43)</f>
        <v>11757050</v>
      </c>
      <c r="I112" s="50">
        <f>VLOOKUP($A112,'Data shares'!$C:$FB,45)*100</f>
        <v>17.630000000000003</v>
      </c>
      <c r="J112" s="49">
        <f>VLOOKUP($A112,'Data shares'!$C:$FB,58)</f>
        <v>34761200</v>
      </c>
      <c r="K112" s="49">
        <f>VLOOKUP($A112,'Data shares'!$C:$FB,59)</f>
        <v>40417650</v>
      </c>
      <c r="L112" s="50">
        <f>VLOOKUP($A112,'Data shares'!$C:$FB,61)*100</f>
        <v>-13.99</v>
      </c>
      <c r="M112" s="49">
        <f>VLOOKUP($A112,'Data shares'!$C:$FB,62)</f>
        <v>17810650</v>
      </c>
      <c r="N112" s="49">
        <f>VLOOKUP($A112,'Data shares'!$C:$FB,63)</f>
        <v>20633000</v>
      </c>
      <c r="O112" s="140">
        <f>VLOOKUP($A112,'Data shares'!$C:$FB,65)*100</f>
        <v>-13.68</v>
      </c>
    </row>
    <row r="113" spans="1:15" x14ac:dyDescent="0.25">
      <c r="A113" s="101" t="str">
        <f>'Data shares'!C108</f>
        <v>JSWENERGY</v>
      </c>
      <c r="B113" s="50">
        <f>VLOOKUP($A113,'Data shares'!$C:$FB,7)</f>
        <v>546</v>
      </c>
      <c r="C113" s="50">
        <f>VLOOKUP($A113,'Data shares'!$C:$FB,10)*100</f>
        <v>0.59</v>
      </c>
      <c r="D113" s="49">
        <f>VLOOKUP($A113,'Data shares'!$C:$FB,66)</f>
        <v>9626000</v>
      </c>
      <c r="E113" s="49">
        <f>VLOOKUP($A113,'Data shares'!$C:$FB,67)</f>
        <v>16788000</v>
      </c>
      <c r="F113" s="50">
        <f>VLOOKUP($A113,'Data shares'!$C:$FB,69)*100</f>
        <v>-42.66</v>
      </c>
      <c r="G113" s="49">
        <f>VLOOKUP($A113,'Data shares'!$C:$FB,42)</f>
        <v>1979000</v>
      </c>
      <c r="H113" s="49">
        <f>VLOOKUP($A113,'Data shares'!$C:$FB,43)</f>
        <v>3359000</v>
      </c>
      <c r="I113" s="50">
        <f>VLOOKUP($A113,'Data shares'!$C:$FB,45)*100</f>
        <v>-41.08</v>
      </c>
      <c r="J113" s="49">
        <f>VLOOKUP($A113,'Data shares'!$C:$FB,58)</f>
        <v>6111000</v>
      </c>
      <c r="K113" s="49">
        <f>VLOOKUP($A113,'Data shares'!$C:$FB,59)</f>
        <v>10332000</v>
      </c>
      <c r="L113" s="50">
        <f>VLOOKUP($A113,'Data shares'!$C:$FB,61)*100</f>
        <v>-40.849999999999994</v>
      </c>
      <c r="M113" s="49">
        <f>VLOOKUP($A113,'Data shares'!$C:$FB,62)</f>
        <v>1536000</v>
      </c>
      <c r="N113" s="49">
        <f>VLOOKUP($A113,'Data shares'!$C:$FB,63)</f>
        <v>3097000</v>
      </c>
      <c r="O113" s="140">
        <f>VLOOKUP($A113,'Data shares'!$C:$FB,65)*100</f>
        <v>-50.4</v>
      </c>
    </row>
    <row r="114" spans="1:15" x14ac:dyDescent="0.25">
      <c r="A114" s="101" t="str">
        <f>'Data shares'!C109</f>
        <v>JSWSTEEL</v>
      </c>
      <c r="B114" s="50">
        <f>VLOOKUP($A114,'Data shares'!$C:$FB,7)</f>
        <v>1167.8</v>
      </c>
      <c r="C114" s="50">
        <f>VLOOKUP($A114,'Data shares'!$C:$FB,10)*100</f>
        <v>-0.63</v>
      </c>
      <c r="D114" s="49">
        <f>VLOOKUP($A114,'Data shares'!$C:$FB,66)</f>
        <v>14715675</v>
      </c>
      <c r="E114" s="49">
        <f>VLOOKUP($A114,'Data shares'!$C:$FB,67)</f>
        <v>25668900</v>
      </c>
      <c r="F114" s="50">
        <f>VLOOKUP($A114,'Data shares'!$C:$FB,69)*100</f>
        <v>-42.67</v>
      </c>
      <c r="G114" s="49">
        <f>VLOOKUP($A114,'Data shares'!$C:$FB,42)</f>
        <v>3174525</v>
      </c>
      <c r="H114" s="49">
        <f>VLOOKUP($A114,'Data shares'!$C:$FB,43)</f>
        <v>3984525</v>
      </c>
      <c r="I114" s="50">
        <f>VLOOKUP($A114,'Data shares'!$C:$FB,45)*100</f>
        <v>-20.330000000000002</v>
      </c>
      <c r="J114" s="49">
        <f>VLOOKUP($A114,'Data shares'!$C:$FB,58)</f>
        <v>7113150</v>
      </c>
      <c r="K114" s="49">
        <f>VLOOKUP($A114,'Data shares'!$C:$FB,59)</f>
        <v>15197625</v>
      </c>
      <c r="L114" s="50">
        <f>VLOOKUP($A114,'Data shares'!$C:$FB,61)*100</f>
        <v>-53.2</v>
      </c>
      <c r="M114" s="49">
        <f>VLOOKUP($A114,'Data shares'!$C:$FB,62)</f>
        <v>4428000</v>
      </c>
      <c r="N114" s="49">
        <f>VLOOKUP($A114,'Data shares'!$C:$FB,63)</f>
        <v>6486750</v>
      </c>
      <c r="O114" s="140">
        <f>VLOOKUP($A114,'Data shares'!$C:$FB,65)*100</f>
        <v>-31.740000000000002</v>
      </c>
    </row>
    <row r="115" spans="1:15" x14ac:dyDescent="0.25">
      <c r="A115" s="101" t="str">
        <f>'Data shares'!C110</f>
        <v>JUBLFOOD</v>
      </c>
      <c r="B115" s="50">
        <f>VLOOKUP($A115,'Data shares'!$C:$FB,7)</f>
        <v>602.29999999999995</v>
      </c>
      <c r="C115" s="50">
        <f>VLOOKUP($A115,'Data shares'!$C:$FB,10)*100</f>
        <v>0.53</v>
      </c>
      <c r="D115" s="49">
        <f>VLOOKUP($A115,'Data shares'!$C:$FB,66)</f>
        <v>10333750</v>
      </c>
      <c r="E115" s="49">
        <f>VLOOKUP($A115,'Data shares'!$C:$FB,67)</f>
        <v>12723750</v>
      </c>
      <c r="F115" s="50">
        <f>VLOOKUP($A115,'Data shares'!$C:$FB,69)*100</f>
        <v>-18.78</v>
      </c>
      <c r="G115" s="49">
        <f>VLOOKUP($A115,'Data shares'!$C:$FB,42)</f>
        <v>2175000</v>
      </c>
      <c r="H115" s="49">
        <f>VLOOKUP($A115,'Data shares'!$C:$FB,43)</f>
        <v>2996250</v>
      </c>
      <c r="I115" s="50">
        <f>VLOOKUP($A115,'Data shares'!$C:$FB,45)*100</f>
        <v>-27.41</v>
      </c>
      <c r="J115" s="49">
        <f>VLOOKUP($A115,'Data shares'!$C:$FB,58)</f>
        <v>6438750</v>
      </c>
      <c r="K115" s="49">
        <f>VLOOKUP($A115,'Data shares'!$C:$FB,59)</f>
        <v>7432500</v>
      </c>
      <c r="L115" s="50">
        <f>VLOOKUP($A115,'Data shares'!$C:$FB,61)*100</f>
        <v>-13.370000000000001</v>
      </c>
      <c r="M115" s="49">
        <f>VLOOKUP($A115,'Data shares'!$C:$FB,62)</f>
        <v>1720000</v>
      </c>
      <c r="N115" s="49">
        <f>VLOOKUP($A115,'Data shares'!$C:$FB,63)</f>
        <v>2295000</v>
      </c>
      <c r="O115" s="140">
        <f>VLOOKUP($A115,'Data shares'!$C:$FB,65)*100</f>
        <v>-25.05</v>
      </c>
    </row>
    <row r="116" spans="1:15" x14ac:dyDescent="0.25">
      <c r="A116" s="101" t="str">
        <f>'Data shares'!C111</f>
        <v>KALYANKJIL</v>
      </c>
      <c r="B116" s="50">
        <f>VLOOKUP($A116,'Data shares'!$C:$FB,7)</f>
        <v>484.85</v>
      </c>
      <c r="C116" s="50">
        <f>VLOOKUP($A116,'Data shares'!$C:$FB,10)*100</f>
        <v>0.38999999999999996</v>
      </c>
      <c r="D116" s="49">
        <f>VLOOKUP($A116,'Data shares'!$C:$FB,66)</f>
        <v>12520800</v>
      </c>
      <c r="E116" s="49">
        <f>VLOOKUP($A116,'Data shares'!$C:$FB,67)</f>
        <v>13859125</v>
      </c>
      <c r="F116" s="50">
        <f>VLOOKUP($A116,'Data shares'!$C:$FB,69)*100</f>
        <v>-9.66</v>
      </c>
      <c r="G116" s="49">
        <f>VLOOKUP($A116,'Data shares'!$C:$FB,42)</f>
        <v>2125575</v>
      </c>
      <c r="H116" s="49">
        <f>VLOOKUP($A116,'Data shares'!$C:$FB,43)</f>
        <v>2367625</v>
      </c>
      <c r="I116" s="50">
        <f>VLOOKUP($A116,'Data shares'!$C:$FB,45)*100</f>
        <v>-10.220000000000001</v>
      </c>
      <c r="J116" s="49">
        <f>VLOOKUP($A116,'Data shares'!$C:$FB,58)</f>
        <v>7503550</v>
      </c>
      <c r="K116" s="49">
        <f>VLOOKUP($A116,'Data shares'!$C:$FB,59)</f>
        <v>8519925</v>
      </c>
      <c r="L116" s="50">
        <f>VLOOKUP($A116,'Data shares'!$C:$FB,61)*100</f>
        <v>-11.93</v>
      </c>
      <c r="M116" s="49">
        <f>VLOOKUP($A116,'Data shares'!$C:$FB,62)</f>
        <v>2891675</v>
      </c>
      <c r="N116" s="49">
        <f>VLOOKUP($A116,'Data shares'!$C:$FB,63)</f>
        <v>2971575</v>
      </c>
      <c r="O116" s="140">
        <f>VLOOKUP($A116,'Data shares'!$C:$FB,65)*100</f>
        <v>-2.69</v>
      </c>
    </row>
    <row r="117" spans="1:15" x14ac:dyDescent="0.25">
      <c r="A117" s="101" t="str">
        <f>'Data shares'!C112</f>
        <v>KAYNES</v>
      </c>
      <c r="B117" s="50">
        <f>VLOOKUP($A117,'Data shares'!$C:$FB,7)</f>
        <v>7102</v>
      </c>
      <c r="C117" s="50">
        <f>VLOOKUP($A117,'Data shares'!$C:$FB,10)*100</f>
        <v>-0.01</v>
      </c>
      <c r="D117" s="49">
        <f>VLOOKUP($A117,'Data shares'!$C:$FB,66)</f>
        <v>2921800</v>
      </c>
      <c r="E117" s="49">
        <f>VLOOKUP($A117,'Data shares'!$C:$FB,67)</f>
        <v>6016500</v>
      </c>
      <c r="F117" s="50">
        <f>VLOOKUP($A117,'Data shares'!$C:$FB,69)*100</f>
        <v>-51.44</v>
      </c>
      <c r="G117" s="49">
        <f>VLOOKUP($A117,'Data shares'!$C:$FB,42)</f>
        <v>394200</v>
      </c>
      <c r="H117" s="49">
        <f>VLOOKUP($A117,'Data shares'!$C:$FB,43)</f>
        <v>682300</v>
      </c>
      <c r="I117" s="50">
        <f>VLOOKUP($A117,'Data shares'!$C:$FB,45)*100</f>
        <v>-42.22</v>
      </c>
      <c r="J117" s="49">
        <f>VLOOKUP($A117,'Data shares'!$C:$FB,58)</f>
        <v>1894800</v>
      </c>
      <c r="K117" s="49">
        <f>VLOOKUP($A117,'Data shares'!$C:$FB,59)</f>
        <v>3668700</v>
      </c>
      <c r="L117" s="50">
        <f>VLOOKUP($A117,'Data shares'!$C:$FB,61)*100</f>
        <v>-48.35</v>
      </c>
      <c r="M117" s="49">
        <f>VLOOKUP($A117,'Data shares'!$C:$FB,62)</f>
        <v>632800</v>
      </c>
      <c r="N117" s="49">
        <f>VLOOKUP($A117,'Data shares'!$C:$FB,63)</f>
        <v>1665500</v>
      </c>
      <c r="O117" s="140">
        <f>VLOOKUP($A117,'Data shares'!$C:$FB,65)*100</f>
        <v>-62.01</v>
      </c>
    </row>
    <row r="118" spans="1:15" x14ac:dyDescent="0.25">
      <c r="A118" s="101" t="str">
        <f>'Data shares'!C113</f>
        <v>KEI</v>
      </c>
      <c r="B118" s="50">
        <f>VLOOKUP($A118,'Data shares'!$C:$FB,7)</f>
        <v>4278.2</v>
      </c>
      <c r="C118" s="50">
        <f>VLOOKUP($A118,'Data shares'!$C:$FB,10)*100</f>
        <v>0.64</v>
      </c>
      <c r="D118" s="49">
        <f>VLOOKUP($A118,'Data shares'!$C:$FB,66)</f>
        <v>1536325</v>
      </c>
      <c r="E118" s="49">
        <f>VLOOKUP($A118,'Data shares'!$C:$FB,67)</f>
        <v>1566775</v>
      </c>
      <c r="F118" s="50">
        <f>VLOOKUP($A118,'Data shares'!$C:$FB,69)*100</f>
        <v>-1.94</v>
      </c>
      <c r="G118" s="49">
        <f>VLOOKUP($A118,'Data shares'!$C:$FB,42)</f>
        <v>341250</v>
      </c>
      <c r="H118" s="49">
        <f>VLOOKUP($A118,'Data shares'!$C:$FB,43)</f>
        <v>231525</v>
      </c>
      <c r="I118" s="50">
        <f>VLOOKUP($A118,'Data shares'!$C:$FB,45)*100</f>
        <v>47.39</v>
      </c>
      <c r="J118" s="49">
        <f>VLOOKUP($A118,'Data shares'!$C:$FB,58)</f>
        <v>709275</v>
      </c>
      <c r="K118" s="49">
        <f>VLOOKUP($A118,'Data shares'!$C:$FB,59)</f>
        <v>903000</v>
      </c>
      <c r="L118" s="50">
        <f>VLOOKUP($A118,'Data shares'!$C:$FB,61)*100</f>
        <v>-21.45</v>
      </c>
      <c r="M118" s="49">
        <f>VLOOKUP($A118,'Data shares'!$C:$FB,62)</f>
        <v>485800</v>
      </c>
      <c r="N118" s="49">
        <f>VLOOKUP($A118,'Data shares'!$C:$FB,63)</f>
        <v>432250</v>
      </c>
      <c r="O118" s="140">
        <f>VLOOKUP($A118,'Data shares'!$C:$FB,65)*100</f>
        <v>12.389999999999999</v>
      </c>
    </row>
    <row r="119" spans="1:15" x14ac:dyDescent="0.25">
      <c r="A119" s="101" t="str">
        <f>'Data shares'!C114</f>
        <v>KFINTECH</v>
      </c>
      <c r="B119" s="50">
        <f>VLOOKUP($A119,'Data shares'!$C:$FB,7)</f>
        <v>1072.5</v>
      </c>
      <c r="C119" s="50">
        <f>VLOOKUP($A119,'Data shares'!$C:$FB,10)*100</f>
        <v>2.0699999999999998</v>
      </c>
      <c r="D119" s="49">
        <f>VLOOKUP($A119,'Data shares'!$C:$FB,66)</f>
        <v>4754700</v>
      </c>
      <c r="E119" s="49">
        <f>VLOOKUP($A119,'Data shares'!$C:$FB,67)</f>
        <v>1723500</v>
      </c>
      <c r="F119" s="50">
        <f>VLOOKUP($A119,'Data shares'!$C:$FB,69)*100</f>
        <v>175.87</v>
      </c>
      <c r="G119" s="49">
        <f>VLOOKUP($A119,'Data shares'!$C:$FB,42)</f>
        <v>1313550</v>
      </c>
      <c r="H119" s="49">
        <f>VLOOKUP($A119,'Data shares'!$C:$FB,43)</f>
        <v>678600</v>
      </c>
      <c r="I119" s="50">
        <f>VLOOKUP($A119,'Data shares'!$C:$FB,45)*100</f>
        <v>93.57</v>
      </c>
      <c r="J119" s="49">
        <f>VLOOKUP($A119,'Data shares'!$C:$FB,58)</f>
        <v>2358450</v>
      </c>
      <c r="K119" s="49">
        <f>VLOOKUP($A119,'Data shares'!$C:$FB,59)</f>
        <v>768600</v>
      </c>
      <c r="L119" s="50">
        <f>VLOOKUP($A119,'Data shares'!$C:$FB,61)*100</f>
        <v>206.84999999999997</v>
      </c>
      <c r="M119" s="49">
        <f>VLOOKUP($A119,'Data shares'!$C:$FB,62)</f>
        <v>1082700</v>
      </c>
      <c r="N119" s="49">
        <f>VLOOKUP($A119,'Data shares'!$C:$FB,63)</f>
        <v>276300</v>
      </c>
      <c r="O119" s="140">
        <f>VLOOKUP($A119,'Data shares'!$C:$FB,65)*100</f>
        <v>291.86</v>
      </c>
    </row>
    <row r="120" spans="1:15" x14ac:dyDescent="0.25">
      <c r="A120" s="101" t="str">
        <f>'Data shares'!C115</f>
        <v>KOTAKBANK</v>
      </c>
      <c r="B120" s="50">
        <f>VLOOKUP($A120,'Data shares'!$C:$FB,7)</f>
        <v>2150.1</v>
      </c>
      <c r="C120" s="50">
        <f>VLOOKUP($A120,'Data shares'!$C:$FB,10)*100</f>
        <v>0.26</v>
      </c>
      <c r="D120" s="49">
        <f>VLOOKUP($A120,'Data shares'!$C:$FB,66)</f>
        <v>18118400</v>
      </c>
      <c r="E120" s="49">
        <f>VLOOKUP($A120,'Data shares'!$C:$FB,67)</f>
        <v>26789200</v>
      </c>
      <c r="F120" s="50">
        <f>VLOOKUP($A120,'Data shares'!$C:$FB,69)*100</f>
        <v>-32.369999999999997</v>
      </c>
      <c r="G120" s="49">
        <f>VLOOKUP($A120,'Data shares'!$C:$FB,42)</f>
        <v>3098800</v>
      </c>
      <c r="H120" s="49">
        <f>VLOOKUP($A120,'Data shares'!$C:$FB,43)</f>
        <v>4294800</v>
      </c>
      <c r="I120" s="50">
        <f>VLOOKUP($A120,'Data shares'!$C:$FB,45)*100</f>
        <v>-27.85</v>
      </c>
      <c r="J120" s="49">
        <f>VLOOKUP($A120,'Data shares'!$C:$FB,58)</f>
        <v>9226400</v>
      </c>
      <c r="K120" s="49">
        <f>VLOOKUP($A120,'Data shares'!$C:$FB,59)</f>
        <v>14372000</v>
      </c>
      <c r="L120" s="50">
        <f>VLOOKUP($A120,'Data shares'!$C:$FB,61)*100</f>
        <v>-35.799999999999997</v>
      </c>
      <c r="M120" s="49">
        <f>VLOOKUP($A120,'Data shares'!$C:$FB,62)</f>
        <v>5793200</v>
      </c>
      <c r="N120" s="49">
        <f>VLOOKUP($A120,'Data shares'!$C:$FB,63)</f>
        <v>8122400</v>
      </c>
      <c r="O120" s="140">
        <f>VLOOKUP($A120,'Data shares'!$C:$FB,65)*100</f>
        <v>-28.68</v>
      </c>
    </row>
    <row r="121" spans="1:15" x14ac:dyDescent="0.25">
      <c r="A121" s="101" t="str">
        <f>'Data shares'!C116</f>
        <v>KPITTECH</v>
      </c>
      <c r="B121" s="50">
        <f>VLOOKUP($A121,'Data shares'!$C:$FB,7)</f>
        <v>1154.0999999999999</v>
      </c>
      <c r="C121" s="50">
        <f>VLOOKUP($A121,'Data shares'!$C:$FB,10)*100</f>
        <v>-0.71000000000000008</v>
      </c>
      <c r="D121" s="49">
        <f>VLOOKUP($A121,'Data shares'!$C:$FB,66)</f>
        <v>5262800</v>
      </c>
      <c r="E121" s="49">
        <f>VLOOKUP($A121,'Data shares'!$C:$FB,67)</f>
        <v>3068000</v>
      </c>
      <c r="F121" s="50">
        <f>VLOOKUP($A121,'Data shares'!$C:$FB,69)*100</f>
        <v>71.540000000000006</v>
      </c>
      <c r="G121" s="49">
        <f>VLOOKUP($A121,'Data shares'!$C:$FB,42)</f>
        <v>864800</v>
      </c>
      <c r="H121" s="49">
        <f>VLOOKUP($A121,'Data shares'!$C:$FB,43)</f>
        <v>682400</v>
      </c>
      <c r="I121" s="50">
        <f>VLOOKUP($A121,'Data shares'!$C:$FB,45)*100</f>
        <v>26.729999999999997</v>
      </c>
      <c r="J121" s="49">
        <f>VLOOKUP($A121,'Data shares'!$C:$FB,58)</f>
        <v>2687200</v>
      </c>
      <c r="K121" s="49">
        <f>VLOOKUP($A121,'Data shares'!$C:$FB,59)</f>
        <v>1796800</v>
      </c>
      <c r="L121" s="50">
        <f>VLOOKUP($A121,'Data shares'!$C:$FB,61)*100</f>
        <v>49.55</v>
      </c>
      <c r="M121" s="49">
        <f>VLOOKUP($A121,'Data shares'!$C:$FB,62)</f>
        <v>1710800</v>
      </c>
      <c r="N121" s="49">
        <f>VLOOKUP($A121,'Data shares'!$C:$FB,63)</f>
        <v>588800</v>
      </c>
      <c r="O121" s="140">
        <f>VLOOKUP($A121,'Data shares'!$C:$FB,65)*100</f>
        <v>190.56</v>
      </c>
    </row>
    <row r="122" spans="1:15" x14ac:dyDescent="0.25">
      <c r="A122" s="101" t="str">
        <f>'Data shares'!C117</f>
        <v>LAURUSLABS</v>
      </c>
      <c r="B122" s="50">
        <f>VLOOKUP($A122,'Data shares'!$C:$FB,7)</f>
        <v>876.75</v>
      </c>
      <c r="C122" s="50">
        <f>VLOOKUP($A122,'Data shares'!$C:$FB,10)*100</f>
        <v>1.35</v>
      </c>
      <c r="D122" s="49">
        <f>VLOOKUP($A122,'Data shares'!$C:$FB,66)</f>
        <v>69208700</v>
      </c>
      <c r="E122" s="49">
        <f>VLOOKUP($A122,'Data shares'!$C:$FB,67)</f>
        <v>35054000</v>
      </c>
      <c r="F122" s="50">
        <f>VLOOKUP($A122,'Data shares'!$C:$FB,69)*100</f>
        <v>97.43</v>
      </c>
      <c r="G122" s="49">
        <f>VLOOKUP($A122,'Data shares'!$C:$FB,42)</f>
        <v>16575000</v>
      </c>
      <c r="H122" s="49">
        <f>VLOOKUP($A122,'Data shares'!$C:$FB,43)</f>
        <v>8755000</v>
      </c>
      <c r="I122" s="50">
        <f>VLOOKUP($A122,'Data shares'!$C:$FB,45)*100</f>
        <v>89.32</v>
      </c>
      <c r="J122" s="49">
        <f>VLOOKUP($A122,'Data shares'!$C:$FB,58)</f>
        <v>37918500</v>
      </c>
      <c r="K122" s="49">
        <f>VLOOKUP($A122,'Data shares'!$C:$FB,59)</f>
        <v>19204900</v>
      </c>
      <c r="L122" s="50">
        <f>VLOOKUP($A122,'Data shares'!$C:$FB,61)*100</f>
        <v>97.44</v>
      </c>
      <c r="M122" s="49">
        <f>VLOOKUP($A122,'Data shares'!$C:$FB,62)</f>
        <v>14715200</v>
      </c>
      <c r="N122" s="49">
        <f>VLOOKUP($A122,'Data shares'!$C:$FB,63)</f>
        <v>7094100</v>
      </c>
      <c r="O122" s="140">
        <f>VLOOKUP($A122,'Data shares'!$C:$FB,65)*100</f>
        <v>107.43</v>
      </c>
    </row>
    <row r="123" spans="1:15" x14ac:dyDescent="0.25">
      <c r="A123" s="101" t="str">
        <f>'Data shares'!C118</f>
        <v>LICHSGFIN</v>
      </c>
      <c r="B123" s="50">
        <f>VLOOKUP($A123,'Data shares'!$C:$FB,7)</f>
        <v>568.45000000000005</v>
      </c>
      <c r="C123" s="50">
        <f>VLOOKUP($A123,'Data shares'!$C:$FB,10)*100</f>
        <v>1.4200000000000002</v>
      </c>
      <c r="D123" s="49">
        <f>VLOOKUP($A123,'Data shares'!$C:$FB,66)</f>
        <v>11033000</v>
      </c>
      <c r="E123" s="49">
        <f>VLOOKUP($A123,'Data shares'!$C:$FB,67)</f>
        <v>7968000</v>
      </c>
      <c r="F123" s="50">
        <f>VLOOKUP($A123,'Data shares'!$C:$FB,69)*100</f>
        <v>38.47</v>
      </c>
      <c r="G123" s="49">
        <f>VLOOKUP($A123,'Data shares'!$C:$FB,42)</f>
        <v>3601000</v>
      </c>
      <c r="H123" s="49">
        <f>VLOOKUP($A123,'Data shares'!$C:$FB,43)</f>
        <v>3039000</v>
      </c>
      <c r="I123" s="50">
        <f>VLOOKUP($A123,'Data shares'!$C:$FB,45)*100</f>
        <v>18.490000000000002</v>
      </c>
      <c r="J123" s="49">
        <f>VLOOKUP($A123,'Data shares'!$C:$FB,58)</f>
        <v>5422000</v>
      </c>
      <c r="K123" s="49">
        <f>VLOOKUP($A123,'Data shares'!$C:$FB,59)</f>
        <v>3677000</v>
      </c>
      <c r="L123" s="50">
        <f>VLOOKUP($A123,'Data shares'!$C:$FB,61)*100</f>
        <v>47.46</v>
      </c>
      <c r="M123" s="49">
        <f>VLOOKUP($A123,'Data shares'!$C:$FB,62)</f>
        <v>2010000</v>
      </c>
      <c r="N123" s="49">
        <f>VLOOKUP($A123,'Data shares'!$C:$FB,63)</f>
        <v>1252000</v>
      </c>
      <c r="O123" s="140">
        <f>VLOOKUP($A123,'Data shares'!$C:$FB,65)*100</f>
        <v>60.540000000000006</v>
      </c>
    </row>
    <row r="124" spans="1:15" x14ac:dyDescent="0.25">
      <c r="A124" s="101" t="str">
        <f>'Data shares'!C119</f>
        <v>LICI</v>
      </c>
      <c r="B124" s="50">
        <f>VLOOKUP($A124,'Data shares'!$C:$FB,7)</f>
        <v>897.8</v>
      </c>
      <c r="C124" s="50">
        <f>VLOOKUP($A124,'Data shares'!$C:$FB,10)*100</f>
        <v>0.28999999999999998</v>
      </c>
      <c r="D124" s="49">
        <f>VLOOKUP($A124,'Data shares'!$C:$FB,66)</f>
        <v>5658100</v>
      </c>
      <c r="E124" s="49">
        <f>VLOOKUP($A124,'Data shares'!$C:$FB,67)</f>
        <v>4306400</v>
      </c>
      <c r="F124" s="50">
        <f>VLOOKUP($A124,'Data shares'!$C:$FB,69)*100</f>
        <v>31.39</v>
      </c>
      <c r="G124" s="49">
        <f>VLOOKUP($A124,'Data shares'!$C:$FB,42)</f>
        <v>1389500</v>
      </c>
      <c r="H124" s="49">
        <f>VLOOKUP($A124,'Data shares'!$C:$FB,43)</f>
        <v>959000</v>
      </c>
      <c r="I124" s="50">
        <f>VLOOKUP($A124,'Data shares'!$C:$FB,45)*100</f>
        <v>44.89</v>
      </c>
      <c r="J124" s="49">
        <f>VLOOKUP($A124,'Data shares'!$C:$FB,58)</f>
        <v>3268300</v>
      </c>
      <c r="K124" s="49">
        <f>VLOOKUP($A124,'Data shares'!$C:$FB,59)</f>
        <v>2639000</v>
      </c>
      <c r="L124" s="50">
        <f>VLOOKUP($A124,'Data shares'!$C:$FB,61)*100</f>
        <v>23.849999999999998</v>
      </c>
      <c r="M124" s="49">
        <f>VLOOKUP($A124,'Data shares'!$C:$FB,62)</f>
        <v>1000300</v>
      </c>
      <c r="N124" s="49">
        <f>VLOOKUP($A124,'Data shares'!$C:$FB,63)</f>
        <v>708400</v>
      </c>
      <c r="O124" s="140">
        <f>VLOOKUP($A124,'Data shares'!$C:$FB,65)*100</f>
        <v>41.21</v>
      </c>
    </row>
    <row r="125" spans="1:15" x14ac:dyDescent="0.25">
      <c r="A125" s="101" t="str">
        <f>'Data shares'!C120</f>
        <v>LODHA</v>
      </c>
      <c r="B125" s="50">
        <f>VLOOKUP($A125,'Data shares'!$C:$FB,7)</f>
        <v>1155.9000000000001</v>
      </c>
      <c r="C125" s="50">
        <f>VLOOKUP($A125,'Data shares'!$C:$FB,10)*100</f>
        <v>2.41</v>
      </c>
      <c r="D125" s="49">
        <f>VLOOKUP($A125,'Data shares'!$C:$FB,66)</f>
        <v>9408150</v>
      </c>
      <c r="E125" s="49">
        <f>VLOOKUP($A125,'Data shares'!$C:$FB,67)</f>
        <v>6088050</v>
      </c>
      <c r="F125" s="50">
        <f>VLOOKUP($A125,'Data shares'!$C:$FB,69)*100</f>
        <v>54.53</v>
      </c>
      <c r="G125" s="49">
        <f>VLOOKUP($A125,'Data shares'!$C:$FB,42)</f>
        <v>2036250</v>
      </c>
      <c r="H125" s="49">
        <f>VLOOKUP($A125,'Data shares'!$C:$FB,43)</f>
        <v>1885050</v>
      </c>
      <c r="I125" s="50">
        <f>VLOOKUP($A125,'Data shares'!$C:$FB,45)*100</f>
        <v>8.02</v>
      </c>
      <c r="J125" s="49">
        <f>VLOOKUP($A125,'Data shares'!$C:$FB,58)</f>
        <v>6021900</v>
      </c>
      <c r="K125" s="49">
        <f>VLOOKUP($A125,'Data shares'!$C:$FB,59)</f>
        <v>3130650</v>
      </c>
      <c r="L125" s="50">
        <f>VLOOKUP($A125,'Data shares'!$C:$FB,61)*100</f>
        <v>92.35</v>
      </c>
      <c r="M125" s="49">
        <f>VLOOKUP($A125,'Data shares'!$C:$FB,62)</f>
        <v>1350000</v>
      </c>
      <c r="N125" s="49">
        <f>VLOOKUP($A125,'Data shares'!$C:$FB,63)</f>
        <v>1072350</v>
      </c>
      <c r="O125" s="140">
        <f>VLOOKUP($A125,'Data shares'!$C:$FB,65)*100</f>
        <v>25.89</v>
      </c>
    </row>
    <row r="126" spans="1:15" x14ac:dyDescent="0.25">
      <c r="A126" s="101" t="str">
        <f>'Data shares'!C121</f>
        <v>LT</v>
      </c>
      <c r="B126" s="50">
        <f>VLOOKUP($A126,'Data shares'!$C:$FB,7)</f>
        <v>3784</v>
      </c>
      <c r="C126" s="50">
        <f>VLOOKUP($A126,'Data shares'!$C:$FB,10)*100</f>
        <v>0.38999999999999996</v>
      </c>
      <c r="D126" s="49">
        <f>VLOOKUP($A126,'Data shares'!$C:$FB,66)</f>
        <v>13773725</v>
      </c>
      <c r="E126" s="49">
        <f>VLOOKUP($A126,'Data shares'!$C:$FB,67)</f>
        <v>17532550</v>
      </c>
      <c r="F126" s="50">
        <f>VLOOKUP($A126,'Data shares'!$C:$FB,69)*100</f>
        <v>-21.44</v>
      </c>
      <c r="G126" s="49">
        <f>VLOOKUP($A126,'Data shares'!$C:$FB,42)</f>
        <v>1982050</v>
      </c>
      <c r="H126" s="49">
        <f>VLOOKUP($A126,'Data shares'!$C:$FB,43)</f>
        <v>2197125</v>
      </c>
      <c r="I126" s="50">
        <f>VLOOKUP($A126,'Data shares'!$C:$FB,45)*100</f>
        <v>-9.7900000000000009</v>
      </c>
      <c r="J126" s="49">
        <f>VLOOKUP($A126,'Data shares'!$C:$FB,58)</f>
        <v>8432550</v>
      </c>
      <c r="K126" s="49">
        <f>VLOOKUP($A126,'Data shares'!$C:$FB,59)</f>
        <v>10790675</v>
      </c>
      <c r="L126" s="50">
        <f>VLOOKUP($A126,'Data shares'!$C:$FB,61)*100</f>
        <v>-21.85</v>
      </c>
      <c r="M126" s="49">
        <f>VLOOKUP($A126,'Data shares'!$C:$FB,62)</f>
        <v>3359125</v>
      </c>
      <c r="N126" s="49">
        <f>VLOOKUP($A126,'Data shares'!$C:$FB,63)</f>
        <v>4544750</v>
      </c>
      <c r="O126" s="140">
        <f>VLOOKUP($A126,'Data shares'!$C:$FB,65)*100</f>
        <v>-26.090000000000003</v>
      </c>
    </row>
    <row r="127" spans="1:15" x14ac:dyDescent="0.25">
      <c r="A127" s="101" t="str">
        <f>'Data shares'!C122</f>
        <v>LTF</v>
      </c>
      <c r="B127" s="50">
        <f>VLOOKUP($A127,'Data shares'!$C:$FB,7)</f>
        <v>256.04000000000002</v>
      </c>
      <c r="C127" s="50">
        <f>VLOOKUP($A127,'Data shares'!$C:$FB,10)*100</f>
        <v>-1.6099999999999999</v>
      </c>
      <c r="D127" s="49">
        <f>VLOOKUP($A127,'Data shares'!$C:$FB,66)</f>
        <v>68112430</v>
      </c>
      <c r="E127" s="49">
        <f>VLOOKUP($A127,'Data shares'!$C:$FB,67)</f>
        <v>41175336</v>
      </c>
      <c r="F127" s="50">
        <f>VLOOKUP($A127,'Data shares'!$C:$FB,69)*100</f>
        <v>65.42</v>
      </c>
      <c r="G127" s="49">
        <f>VLOOKUP($A127,'Data shares'!$C:$FB,42)</f>
        <v>17580280</v>
      </c>
      <c r="H127" s="49">
        <f>VLOOKUP($A127,'Data shares'!$C:$FB,43)</f>
        <v>10418770</v>
      </c>
      <c r="I127" s="50">
        <f>VLOOKUP($A127,'Data shares'!$C:$FB,45)*100</f>
        <v>68.739999999999995</v>
      </c>
      <c r="J127" s="49">
        <f>VLOOKUP($A127,'Data shares'!$C:$FB,58)</f>
        <v>28949456</v>
      </c>
      <c r="K127" s="49">
        <f>VLOOKUP($A127,'Data shares'!$C:$FB,59)</f>
        <v>17120694</v>
      </c>
      <c r="L127" s="50">
        <f>VLOOKUP($A127,'Data shares'!$C:$FB,61)*100</f>
        <v>69.089999999999989</v>
      </c>
      <c r="M127" s="49">
        <f>VLOOKUP($A127,'Data shares'!$C:$FB,62)</f>
        <v>21582694</v>
      </c>
      <c r="N127" s="49">
        <f>VLOOKUP($A127,'Data shares'!$C:$FB,63)</f>
        <v>13635872</v>
      </c>
      <c r="O127" s="140">
        <f>VLOOKUP($A127,'Data shares'!$C:$FB,65)*100</f>
        <v>58.28</v>
      </c>
    </row>
    <row r="128" spans="1:15" x14ac:dyDescent="0.25">
      <c r="A128" s="101" t="str">
        <f>'Data shares'!C123</f>
        <v>LTIM</v>
      </c>
      <c r="B128" s="50">
        <f>VLOOKUP($A128,'Data shares'!$C:$FB,7)</f>
        <v>5471.5</v>
      </c>
      <c r="C128" s="50">
        <f>VLOOKUP($A128,'Data shares'!$C:$FB,10)*100</f>
        <v>0.69</v>
      </c>
      <c r="D128" s="49">
        <f>VLOOKUP($A128,'Data shares'!$C:$FB,66)</f>
        <v>3911250</v>
      </c>
      <c r="E128" s="49">
        <f>VLOOKUP($A128,'Data shares'!$C:$FB,67)</f>
        <v>3083250</v>
      </c>
      <c r="F128" s="50">
        <f>VLOOKUP($A128,'Data shares'!$C:$FB,69)*100</f>
        <v>26.85</v>
      </c>
      <c r="G128" s="49">
        <f>VLOOKUP($A128,'Data shares'!$C:$FB,42)</f>
        <v>872100</v>
      </c>
      <c r="H128" s="49">
        <f>VLOOKUP($A128,'Data shares'!$C:$FB,43)</f>
        <v>638400</v>
      </c>
      <c r="I128" s="50">
        <f>VLOOKUP($A128,'Data shares'!$C:$FB,45)*100</f>
        <v>36.61</v>
      </c>
      <c r="J128" s="49">
        <f>VLOOKUP($A128,'Data shares'!$C:$FB,58)</f>
        <v>1971450</v>
      </c>
      <c r="K128" s="49">
        <f>VLOOKUP($A128,'Data shares'!$C:$FB,59)</f>
        <v>1694850</v>
      </c>
      <c r="L128" s="50">
        <f>VLOOKUP($A128,'Data shares'!$C:$FB,61)*100</f>
        <v>16.32</v>
      </c>
      <c r="M128" s="49">
        <f>VLOOKUP($A128,'Data shares'!$C:$FB,62)</f>
        <v>1067700</v>
      </c>
      <c r="N128" s="49">
        <f>VLOOKUP($A128,'Data shares'!$C:$FB,63)</f>
        <v>750000</v>
      </c>
      <c r="O128" s="140">
        <f>VLOOKUP($A128,'Data shares'!$C:$FB,65)*100</f>
        <v>42.36</v>
      </c>
    </row>
    <row r="129" spans="1:15" x14ac:dyDescent="0.25">
      <c r="A129" s="101" t="str">
        <f>'Data shares'!C124</f>
        <v>LUPIN</v>
      </c>
      <c r="B129" s="50">
        <f>VLOOKUP($A129,'Data shares'!$C:$FB,7)</f>
        <v>1959.3</v>
      </c>
      <c r="C129" s="50">
        <f>VLOOKUP($A129,'Data shares'!$C:$FB,10)*100</f>
        <v>0.09</v>
      </c>
      <c r="D129" s="49">
        <f>VLOOKUP($A129,'Data shares'!$C:$FB,66)</f>
        <v>12055125</v>
      </c>
      <c r="E129" s="49">
        <f>VLOOKUP($A129,'Data shares'!$C:$FB,67)</f>
        <v>30789550</v>
      </c>
      <c r="F129" s="50">
        <f>VLOOKUP($A129,'Data shares'!$C:$FB,69)*100</f>
        <v>-60.85</v>
      </c>
      <c r="G129" s="49">
        <f>VLOOKUP($A129,'Data shares'!$C:$FB,42)</f>
        <v>1800725</v>
      </c>
      <c r="H129" s="49">
        <f>VLOOKUP($A129,'Data shares'!$C:$FB,43)</f>
        <v>3459500</v>
      </c>
      <c r="I129" s="50">
        <f>VLOOKUP($A129,'Data shares'!$C:$FB,45)*100</f>
        <v>-47.949999999999996</v>
      </c>
      <c r="J129" s="49">
        <f>VLOOKUP($A129,'Data shares'!$C:$FB,58)</f>
        <v>7276000</v>
      </c>
      <c r="K129" s="49">
        <f>VLOOKUP($A129,'Data shares'!$C:$FB,59)</f>
        <v>20253375</v>
      </c>
      <c r="L129" s="50">
        <f>VLOOKUP($A129,'Data shares'!$C:$FB,61)*100</f>
        <v>-64.08</v>
      </c>
      <c r="M129" s="49">
        <f>VLOOKUP($A129,'Data shares'!$C:$FB,62)</f>
        <v>2978400</v>
      </c>
      <c r="N129" s="49">
        <f>VLOOKUP($A129,'Data shares'!$C:$FB,63)</f>
        <v>7076675</v>
      </c>
      <c r="O129" s="140">
        <f>VLOOKUP($A129,'Data shares'!$C:$FB,65)*100</f>
        <v>-57.91</v>
      </c>
    </row>
    <row r="130" spans="1:15" x14ac:dyDescent="0.25">
      <c r="A130" s="101" t="str">
        <f>'Data shares'!C125</f>
        <v>M&amp;M</v>
      </c>
      <c r="B130" s="50">
        <f>VLOOKUP($A130,'Data shares'!$C:$FB,7)</f>
        <v>3454.9</v>
      </c>
      <c r="C130" s="50">
        <f>VLOOKUP($A130,'Data shares'!$C:$FB,10)*100</f>
        <v>0.35000000000000003</v>
      </c>
      <c r="D130" s="49">
        <f>VLOOKUP($A130,'Data shares'!$C:$FB,66)</f>
        <v>11479800</v>
      </c>
      <c r="E130" s="49">
        <f>VLOOKUP($A130,'Data shares'!$C:$FB,67)</f>
        <v>11759600</v>
      </c>
      <c r="F130" s="50">
        <f>VLOOKUP($A130,'Data shares'!$C:$FB,69)*100</f>
        <v>-2.3800000000000003</v>
      </c>
      <c r="G130" s="49">
        <f>VLOOKUP($A130,'Data shares'!$C:$FB,42)</f>
        <v>1896000</v>
      </c>
      <c r="H130" s="49">
        <f>VLOOKUP($A130,'Data shares'!$C:$FB,43)</f>
        <v>2200200</v>
      </c>
      <c r="I130" s="50">
        <f>VLOOKUP($A130,'Data shares'!$C:$FB,45)*100</f>
        <v>-13.83</v>
      </c>
      <c r="J130" s="49">
        <f>VLOOKUP($A130,'Data shares'!$C:$FB,58)</f>
        <v>7048400</v>
      </c>
      <c r="K130" s="49">
        <f>VLOOKUP($A130,'Data shares'!$C:$FB,59)</f>
        <v>6585800</v>
      </c>
      <c r="L130" s="50">
        <f>VLOOKUP($A130,'Data shares'!$C:$FB,61)*100</f>
        <v>7.02</v>
      </c>
      <c r="M130" s="49">
        <f>VLOOKUP($A130,'Data shares'!$C:$FB,62)</f>
        <v>2535400</v>
      </c>
      <c r="N130" s="49">
        <f>VLOOKUP($A130,'Data shares'!$C:$FB,63)</f>
        <v>2973600</v>
      </c>
      <c r="O130" s="140">
        <f>VLOOKUP($A130,'Data shares'!$C:$FB,65)*100</f>
        <v>-14.74</v>
      </c>
    </row>
    <row r="131" spans="1:15" x14ac:dyDescent="0.25">
      <c r="A131" s="101" t="str">
        <f>'Data shares'!C126</f>
        <v>MANAPPURAM</v>
      </c>
      <c r="B131" s="50">
        <f>VLOOKUP($A131,'Data shares'!$C:$FB,7)</f>
        <v>284.75</v>
      </c>
      <c r="C131" s="50">
        <f>VLOOKUP($A131,'Data shares'!$C:$FB,10)*100</f>
        <v>-3.2300000000000004</v>
      </c>
      <c r="D131" s="49">
        <f>VLOOKUP($A131,'Data shares'!$C:$FB,66)</f>
        <v>50283000</v>
      </c>
      <c r="E131" s="49">
        <f>VLOOKUP($A131,'Data shares'!$C:$FB,67)</f>
        <v>18456000</v>
      </c>
      <c r="F131" s="50">
        <f>VLOOKUP($A131,'Data shares'!$C:$FB,69)*100</f>
        <v>172.45</v>
      </c>
      <c r="G131" s="49">
        <f>VLOOKUP($A131,'Data shares'!$C:$FB,42)</f>
        <v>12132000</v>
      </c>
      <c r="H131" s="49">
        <f>VLOOKUP($A131,'Data shares'!$C:$FB,43)</f>
        <v>3681000</v>
      </c>
      <c r="I131" s="50">
        <f>VLOOKUP($A131,'Data shares'!$C:$FB,45)*100</f>
        <v>229.57999999999998</v>
      </c>
      <c r="J131" s="49">
        <f>VLOOKUP($A131,'Data shares'!$C:$FB,58)</f>
        <v>25467000</v>
      </c>
      <c r="K131" s="49">
        <f>VLOOKUP($A131,'Data shares'!$C:$FB,59)</f>
        <v>9666000</v>
      </c>
      <c r="L131" s="50">
        <f>VLOOKUP($A131,'Data shares'!$C:$FB,61)*100</f>
        <v>163.47</v>
      </c>
      <c r="M131" s="49">
        <f>VLOOKUP($A131,'Data shares'!$C:$FB,62)</f>
        <v>12684000</v>
      </c>
      <c r="N131" s="49">
        <f>VLOOKUP($A131,'Data shares'!$C:$FB,63)</f>
        <v>5109000</v>
      </c>
      <c r="O131" s="140">
        <f>VLOOKUP($A131,'Data shares'!$C:$FB,65)*100</f>
        <v>148.26999999999998</v>
      </c>
    </row>
    <row r="132" spans="1:15" x14ac:dyDescent="0.25">
      <c r="A132" s="101" t="str">
        <f>'Data shares'!C127</f>
        <v>MANKIND</v>
      </c>
      <c r="B132" s="50">
        <f>VLOOKUP($A132,'Data shares'!$C:$FB,7)</f>
        <v>2459.9</v>
      </c>
      <c r="C132" s="50">
        <f>VLOOKUP($A132,'Data shares'!$C:$FB,10)*100</f>
        <v>-0.79</v>
      </c>
      <c r="D132" s="49">
        <f>VLOOKUP($A132,'Data shares'!$C:$FB,66)</f>
        <v>1429650</v>
      </c>
      <c r="E132" s="49">
        <f>VLOOKUP($A132,'Data shares'!$C:$FB,67)</f>
        <v>949950</v>
      </c>
      <c r="F132" s="50">
        <f>VLOOKUP($A132,'Data shares'!$C:$FB,69)*100</f>
        <v>50.5</v>
      </c>
      <c r="G132" s="49">
        <f>VLOOKUP($A132,'Data shares'!$C:$FB,42)</f>
        <v>335025</v>
      </c>
      <c r="H132" s="49">
        <f>VLOOKUP($A132,'Data shares'!$C:$FB,43)</f>
        <v>296550</v>
      </c>
      <c r="I132" s="50">
        <f>VLOOKUP($A132,'Data shares'!$C:$FB,45)*100</f>
        <v>12.97</v>
      </c>
      <c r="J132" s="49">
        <f>VLOOKUP($A132,'Data shares'!$C:$FB,58)</f>
        <v>914625</v>
      </c>
      <c r="K132" s="49">
        <f>VLOOKUP($A132,'Data shares'!$C:$FB,59)</f>
        <v>512550</v>
      </c>
      <c r="L132" s="50">
        <f>VLOOKUP($A132,'Data shares'!$C:$FB,61)*100</f>
        <v>78.45</v>
      </c>
      <c r="M132" s="49">
        <f>VLOOKUP($A132,'Data shares'!$C:$FB,62)</f>
        <v>180000</v>
      </c>
      <c r="N132" s="49">
        <f>VLOOKUP($A132,'Data shares'!$C:$FB,63)</f>
        <v>140850</v>
      </c>
      <c r="O132" s="140">
        <f>VLOOKUP($A132,'Data shares'!$C:$FB,65)*100</f>
        <v>27.800000000000004</v>
      </c>
    </row>
    <row r="133" spans="1:15" x14ac:dyDescent="0.25">
      <c r="A133" s="101" t="str">
        <f>'Data shares'!C128</f>
        <v>MARICO</v>
      </c>
      <c r="B133" s="50">
        <f>VLOOKUP($A133,'Data shares'!$C:$FB,7)</f>
        <v>714.3</v>
      </c>
      <c r="C133" s="50">
        <f>VLOOKUP($A133,'Data shares'!$C:$FB,10)*100</f>
        <v>-0.22</v>
      </c>
      <c r="D133" s="49">
        <f>VLOOKUP($A133,'Data shares'!$C:$FB,66)</f>
        <v>5310000</v>
      </c>
      <c r="E133" s="49">
        <f>VLOOKUP($A133,'Data shares'!$C:$FB,67)</f>
        <v>7302000</v>
      </c>
      <c r="F133" s="50">
        <f>VLOOKUP($A133,'Data shares'!$C:$FB,69)*100</f>
        <v>-27.279999999999998</v>
      </c>
      <c r="G133" s="49">
        <f>VLOOKUP($A133,'Data shares'!$C:$FB,42)</f>
        <v>1693200</v>
      </c>
      <c r="H133" s="49">
        <f>VLOOKUP($A133,'Data shares'!$C:$FB,43)</f>
        <v>2168400</v>
      </c>
      <c r="I133" s="50">
        <f>VLOOKUP($A133,'Data shares'!$C:$FB,45)*100</f>
        <v>-21.91</v>
      </c>
      <c r="J133" s="49">
        <f>VLOOKUP($A133,'Data shares'!$C:$FB,58)</f>
        <v>2472000</v>
      </c>
      <c r="K133" s="49">
        <f>VLOOKUP($A133,'Data shares'!$C:$FB,59)</f>
        <v>3574800</v>
      </c>
      <c r="L133" s="50">
        <f>VLOOKUP($A133,'Data shares'!$C:$FB,61)*100</f>
        <v>-30.85</v>
      </c>
      <c r="M133" s="49">
        <f>VLOOKUP($A133,'Data shares'!$C:$FB,62)</f>
        <v>1144800</v>
      </c>
      <c r="N133" s="49">
        <f>VLOOKUP($A133,'Data shares'!$C:$FB,63)</f>
        <v>1558800</v>
      </c>
      <c r="O133" s="140">
        <f>VLOOKUP($A133,'Data shares'!$C:$FB,65)*100</f>
        <v>-26.56</v>
      </c>
    </row>
    <row r="134" spans="1:15" x14ac:dyDescent="0.25">
      <c r="A134" s="101" t="str">
        <f>'Data shares'!C129</f>
        <v>MARUTI</v>
      </c>
      <c r="B134" s="50">
        <f>VLOOKUP($A134,'Data shares'!$C:$FB,7)</f>
        <v>16265</v>
      </c>
      <c r="C134" s="50">
        <f>VLOOKUP($A134,'Data shares'!$C:$FB,10)*100</f>
        <v>1.7500000000000002</v>
      </c>
      <c r="D134" s="49">
        <f>VLOOKUP($A134,'Data shares'!$C:$FB,66)</f>
        <v>11902000</v>
      </c>
      <c r="E134" s="49">
        <f>VLOOKUP($A134,'Data shares'!$C:$FB,67)</f>
        <v>5420550</v>
      </c>
      <c r="F134" s="50">
        <f>VLOOKUP($A134,'Data shares'!$C:$FB,69)*100</f>
        <v>119.57</v>
      </c>
      <c r="G134" s="49">
        <f>VLOOKUP($A134,'Data shares'!$C:$FB,42)</f>
        <v>979800</v>
      </c>
      <c r="H134" s="49">
        <f>VLOOKUP($A134,'Data shares'!$C:$FB,43)</f>
        <v>434650</v>
      </c>
      <c r="I134" s="50">
        <f>VLOOKUP($A134,'Data shares'!$C:$FB,45)*100</f>
        <v>125.42</v>
      </c>
      <c r="J134" s="49">
        <f>VLOOKUP($A134,'Data shares'!$C:$FB,58)</f>
        <v>7959300</v>
      </c>
      <c r="K134" s="49">
        <f>VLOOKUP($A134,'Data shares'!$C:$FB,59)</f>
        <v>3166600</v>
      </c>
      <c r="L134" s="50">
        <f>VLOOKUP($A134,'Data shares'!$C:$FB,61)*100</f>
        <v>151.35</v>
      </c>
      <c r="M134" s="49">
        <f>VLOOKUP($A134,'Data shares'!$C:$FB,62)</f>
        <v>2962900</v>
      </c>
      <c r="N134" s="49">
        <f>VLOOKUP($A134,'Data shares'!$C:$FB,63)</f>
        <v>1819300</v>
      </c>
      <c r="O134" s="140">
        <f>VLOOKUP($A134,'Data shares'!$C:$FB,65)*100</f>
        <v>62.860000000000007</v>
      </c>
    </row>
    <row r="135" spans="1:15" x14ac:dyDescent="0.25">
      <c r="A135" s="101" t="str">
        <f>'Data shares'!C130</f>
        <v>MAXHEALTH</v>
      </c>
      <c r="B135" s="50">
        <f>VLOOKUP($A135,'Data shares'!$C:$FB,7)</f>
        <v>1156.4000000000001</v>
      </c>
      <c r="C135" s="50">
        <f>VLOOKUP($A135,'Data shares'!$C:$FB,10)*100</f>
        <v>0.05</v>
      </c>
      <c r="D135" s="49">
        <f>VLOOKUP($A135,'Data shares'!$C:$FB,66)</f>
        <v>6660150</v>
      </c>
      <c r="E135" s="49">
        <f>VLOOKUP($A135,'Data shares'!$C:$FB,67)</f>
        <v>10567725</v>
      </c>
      <c r="F135" s="50">
        <f>VLOOKUP($A135,'Data shares'!$C:$FB,69)*100</f>
        <v>-36.980000000000004</v>
      </c>
      <c r="G135" s="49">
        <f>VLOOKUP($A135,'Data shares'!$C:$FB,42)</f>
        <v>1883175</v>
      </c>
      <c r="H135" s="49">
        <f>VLOOKUP($A135,'Data shares'!$C:$FB,43)</f>
        <v>1788675</v>
      </c>
      <c r="I135" s="50">
        <f>VLOOKUP($A135,'Data shares'!$C:$FB,45)*100</f>
        <v>5.28</v>
      </c>
      <c r="J135" s="49">
        <f>VLOOKUP($A135,'Data shares'!$C:$FB,58)</f>
        <v>2768325</v>
      </c>
      <c r="K135" s="49">
        <f>VLOOKUP($A135,'Data shares'!$C:$FB,59)</f>
        <v>5779200</v>
      </c>
      <c r="L135" s="50">
        <f>VLOOKUP($A135,'Data shares'!$C:$FB,61)*100</f>
        <v>-52.1</v>
      </c>
      <c r="M135" s="49">
        <f>VLOOKUP($A135,'Data shares'!$C:$FB,62)</f>
        <v>2008650</v>
      </c>
      <c r="N135" s="49">
        <f>VLOOKUP($A135,'Data shares'!$C:$FB,63)</f>
        <v>2999850</v>
      </c>
      <c r="O135" s="140">
        <f>VLOOKUP($A135,'Data shares'!$C:$FB,65)*100</f>
        <v>-33.040000000000006</v>
      </c>
    </row>
    <row r="136" spans="1:15" x14ac:dyDescent="0.25">
      <c r="A136" s="101" t="str">
        <f>'Data shares'!C131</f>
        <v>MAZDOCK</v>
      </c>
      <c r="B136" s="50">
        <f>VLOOKUP($A136,'Data shares'!$C:$FB,7)</f>
        <v>2870.1</v>
      </c>
      <c r="C136" s="50">
        <f>VLOOKUP($A136,'Data shares'!$C:$FB,10)*100</f>
        <v>-0.64</v>
      </c>
      <c r="D136" s="49">
        <f>VLOOKUP($A136,'Data shares'!$C:$FB,66)</f>
        <v>5048750</v>
      </c>
      <c r="E136" s="49">
        <f>VLOOKUP($A136,'Data shares'!$C:$FB,67)</f>
        <v>4709600</v>
      </c>
      <c r="F136" s="50">
        <f>VLOOKUP($A136,'Data shares'!$C:$FB,69)*100</f>
        <v>7.1999999999999993</v>
      </c>
      <c r="G136" s="49">
        <f>VLOOKUP($A136,'Data shares'!$C:$FB,42)</f>
        <v>762825</v>
      </c>
      <c r="H136" s="49">
        <f>VLOOKUP($A136,'Data shares'!$C:$FB,43)</f>
        <v>876750</v>
      </c>
      <c r="I136" s="50">
        <f>VLOOKUP($A136,'Data shares'!$C:$FB,45)*100</f>
        <v>-12.989999999999998</v>
      </c>
      <c r="J136" s="49">
        <f>VLOOKUP($A136,'Data shares'!$C:$FB,58)</f>
        <v>3238200</v>
      </c>
      <c r="K136" s="49">
        <f>VLOOKUP($A136,'Data shares'!$C:$FB,59)</f>
        <v>2867550</v>
      </c>
      <c r="L136" s="50">
        <f>VLOOKUP($A136,'Data shares'!$C:$FB,61)*100</f>
        <v>12.93</v>
      </c>
      <c r="M136" s="49">
        <f>VLOOKUP($A136,'Data shares'!$C:$FB,62)</f>
        <v>1047725</v>
      </c>
      <c r="N136" s="49">
        <f>VLOOKUP($A136,'Data shares'!$C:$FB,63)</f>
        <v>965300</v>
      </c>
      <c r="O136" s="140">
        <f>VLOOKUP($A136,'Data shares'!$C:$FB,65)*100</f>
        <v>8.5400000000000009</v>
      </c>
    </row>
    <row r="137" spans="1:15" x14ac:dyDescent="0.25">
      <c r="A137" s="101" t="str">
        <f>'Data shares'!C132</f>
        <v>MCX</v>
      </c>
      <c r="B137" s="50">
        <f>VLOOKUP($A137,'Data shares'!$C:$FB,7)</f>
        <v>8688.5</v>
      </c>
      <c r="C137" s="50">
        <f>VLOOKUP($A137,'Data shares'!$C:$FB,10)*100</f>
        <v>-0.2</v>
      </c>
      <c r="D137" s="49">
        <f>VLOOKUP($A137,'Data shares'!$C:$FB,66)</f>
        <v>14573250</v>
      </c>
      <c r="E137" s="49">
        <f>VLOOKUP($A137,'Data shares'!$C:$FB,67)</f>
        <v>23832500</v>
      </c>
      <c r="F137" s="50">
        <f>VLOOKUP($A137,'Data shares'!$C:$FB,69)*100</f>
        <v>-38.85</v>
      </c>
      <c r="G137" s="49">
        <f>VLOOKUP($A137,'Data shares'!$C:$FB,42)</f>
        <v>1180250</v>
      </c>
      <c r="H137" s="49">
        <f>VLOOKUP($A137,'Data shares'!$C:$FB,43)</f>
        <v>2286375</v>
      </c>
      <c r="I137" s="50">
        <f>VLOOKUP($A137,'Data shares'!$C:$FB,45)*100</f>
        <v>-48.38</v>
      </c>
      <c r="J137" s="49">
        <f>VLOOKUP($A137,'Data shares'!$C:$FB,58)</f>
        <v>9297500</v>
      </c>
      <c r="K137" s="49">
        <f>VLOOKUP($A137,'Data shares'!$C:$FB,59)</f>
        <v>14735375</v>
      </c>
      <c r="L137" s="50">
        <f>VLOOKUP($A137,'Data shares'!$C:$FB,61)*100</f>
        <v>-36.9</v>
      </c>
      <c r="M137" s="49">
        <f>VLOOKUP($A137,'Data shares'!$C:$FB,62)</f>
        <v>4095500</v>
      </c>
      <c r="N137" s="49">
        <f>VLOOKUP($A137,'Data shares'!$C:$FB,63)</f>
        <v>6810750</v>
      </c>
      <c r="O137" s="140">
        <f>VLOOKUP($A137,'Data shares'!$C:$FB,65)*100</f>
        <v>-39.869999999999997</v>
      </c>
    </row>
    <row r="138" spans="1:15" x14ac:dyDescent="0.25">
      <c r="A138" s="101" t="str">
        <f>'Data shares'!C133</f>
        <v>MFSL</v>
      </c>
      <c r="B138" s="50">
        <f>VLOOKUP($A138,'Data shares'!$C:$FB,7)</f>
        <v>1581.7</v>
      </c>
      <c r="C138" s="50">
        <f>VLOOKUP($A138,'Data shares'!$C:$FB,10)*100</f>
        <v>-0.91</v>
      </c>
      <c r="D138" s="49">
        <f>VLOOKUP($A138,'Data shares'!$C:$FB,66)</f>
        <v>2268000</v>
      </c>
      <c r="E138" s="49">
        <f>VLOOKUP($A138,'Data shares'!$C:$FB,67)</f>
        <v>2904000</v>
      </c>
      <c r="F138" s="50">
        <f>VLOOKUP($A138,'Data shares'!$C:$FB,69)*100</f>
        <v>-21.9</v>
      </c>
      <c r="G138" s="49">
        <f>VLOOKUP($A138,'Data shares'!$C:$FB,42)</f>
        <v>953600</v>
      </c>
      <c r="H138" s="49">
        <f>VLOOKUP($A138,'Data shares'!$C:$FB,43)</f>
        <v>933600</v>
      </c>
      <c r="I138" s="50">
        <f>VLOOKUP($A138,'Data shares'!$C:$FB,45)*100</f>
        <v>2.1399999999999997</v>
      </c>
      <c r="J138" s="49">
        <f>VLOOKUP($A138,'Data shares'!$C:$FB,58)</f>
        <v>972000</v>
      </c>
      <c r="K138" s="49">
        <f>VLOOKUP($A138,'Data shares'!$C:$FB,59)</f>
        <v>1363200</v>
      </c>
      <c r="L138" s="50">
        <f>VLOOKUP($A138,'Data shares'!$C:$FB,61)*100</f>
        <v>-28.7</v>
      </c>
      <c r="M138" s="49">
        <f>VLOOKUP($A138,'Data shares'!$C:$FB,62)</f>
        <v>342400</v>
      </c>
      <c r="N138" s="49">
        <f>VLOOKUP($A138,'Data shares'!$C:$FB,63)</f>
        <v>607200</v>
      </c>
      <c r="O138" s="140">
        <f>VLOOKUP($A138,'Data shares'!$C:$FB,65)*100</f>
        <v>-43.61</v>
      </c>
    </row>
    <row r="139" spans="1:15" x14ac:dyDescent="0.25">
      <c r="A139" s="101" t="str">
        <f>'Data shares'!C134</f>
        <v>MIDCPNIFTY</v>
      </c>
      <c r="B139" s="50">
        <f>VLOOKUP($A139,'Data shares'!$C:$FB,7)</f>
        <v>13149.55</v>
      </c>
      <c r="C139" s="50">
        <f>VLOOKUP($A139,'Data shares'!$C:$FB,10)*100</f>
        <v>0.88</v>
      </c>
      <c r="D139" s="49">
        <f>VLOOKUP($A139,'Data shares'!$C:$FB,66)</f>
        <v>35642740</v>
      </c>
      <c r="E139" s="49">
        <f>VLOOKUP($A139,'Data shares'!$C:$FB,67)</f>
        <v>27569780</v>
      </c>
      <c r="F139" s="50">
        <f>VLOOKUP($A139,'Data shares'!$C:$FB,69)*100</f>
        <v>29.28</v>
      </c>
      <c r="G139" s="49">
        <f>VLOOKUP($A139,'Data shares'!$C:$FB,42)</f>
        <v>513240</v>
      </c>
      <c r="H139" s="49">
        <f>VLOOKUP($A139,'Data shares'!$C:$FB,43)</f>
        <v>508900</v>
      </c>
      <c r="I139" s="50">
        <f>VLOOKUP($A139,'Data shares'!$C:$FB,45)*100</f>
        <v>0.85000000000000009</v>
      </c>
      <c r="J139" s="49">
        <f>VLOOKUP($A139,'Data shares'!$C:$FB,58)</f>
        <v>17254860</v>
      </c>
      <c r="K139" s="49">
        <f>VLOOKUP($A139,'Data shares'!$C:$FB,59)</f>
        <v>12897360</v>
      </c>
      <c r="L139" s="50">
        <f>VLOOKUP($A139,'Data shares'!$C:$FB,61)*100</f>
        <v>33.79</v>
      </c>
      <c r="M139" s="49">
        <f>VLOOKUP($A139,'Data shares'!$C:$FB,62)</f>
        <v>17874640</v>
      </c>
      <c r="N139" s="49">
        <f>VLOOKUP($A139,'Data shares'!$C:$FB,63)</f>
        <v>14163520</v>
      </c>
      <c r="O139" s="140">
        <f>VLOOKUP($A139,'Data shares'!$C:$FB,65)*100</f>
        <v>26.200000000000003</v>
      </c>
    </row>
    <row r="140" spans="1:15" x14ac:dyDescent="0.25">
      <c r="A140" s="101" t="str">
        <f>'Data shares'!C135</f>
        <v>MOTHERSON</v>
      </c>
      <c r="B140" s="50">
        <f>VLOOKUP($A140,'Data shares'!$C:$FB,7)</f>
        <v>104.1</v>
      </c>
      <c r="C140" s="50">
        <f>VLOOKUP($A140,'Data shares'!$C:$FB,10)*100</f>
        <v>0.64</v>
      </c>
      <c r="D140" s="49">
        <f>VLOOKUP($A140,'Data shares'!$C:$FB,66)</f>
        <v>84187350</v>
      </c>
      <c r="E140" s="49">
        <f>VLOOKUP($A140,'Data shares'!$C:$FB,67)</f>
        <v>100626300</v>
      </c>
      <c r="F140" s="50">
        <f>VLOOKUP($A140,'Data shares'!$C:$FB,69)*100</f>
        <v>-16.34</v>
      </c>
      <c r="G140" s="49">
        <f>VLOOKUP($A140,'Data shares'!$C:$FB,42)</f>
        <v>21481950</v>
      </c>
      <c r="H140" s="49">
        <f>VLOOKUP($A140,'Data shares'!$C:$FB,43)</f>
        <v>25725450</v>
      </c>
      <c r="I140" s="50">
        <f>VLOOKUP($A140,'Data shares'!$C:$FB,45)*100</f>
        <v>-16.5</v>
      </c>
      <c r="J140" s="49">
        <f>VLOOKUP($A140,'Data shares'!$C:$FB,58)</f>
        <v>48621900</v>
      </c>
      <c r="K140" s="49">
        <f>VLOOKUP($A140,'Data shares'!$C:$FB,59)</f>
        <v>50540700</v>
      </c>
      <c r="L140" s="50">
        <f>VLOOKUP($A140,'Data shares'!$C:$FB,61)*100</f>
        <v>-3.8</v>
      </c>
      <c r="M140" s="49">
        <f>VLOOKUP($A140,'Data shares'!$C:$FB,62)</f>
        <v>14083500</v>
      </c>
      <c r="N140" s="49">
        <f>VLOOKUP($A140,'Data shares'!$C:$FB,63)</f>
        <v>24360150</v>
      </c>
      <c r="O140" s="140">
        <f>VLOOKUP($A140,'Data shares'!$C:$FB,65)*100</f>
        <v>-42.19</v>
      </c>
    </row>
    <row r="141" spans="1:15" x14ac:dyDescent="0.25">
      <c r="A141" s="101" t="str">
        <f>'Data shares'!C136</f>
        <v>MPHASIS</v>
      </c>
      <c r="B141" s="50">
        <f>VLOOKUP($A141,'Data shares'!$C:$FB,7)</f>
        <v>2783.2</v>
      </c>
      <c r="C141" s="50">
        <f>VLOOKUP($A141,'Data shares'!$C:$FB,10)*100</f>
        <v>-0.85000000000000009</v>
      </c>
      <c r="D141" s="49">
        <f>VLOOKUP($A141,'Data shares'!$C:$FB,66)</f>
        <v>2715900</v>
      </c>
      <c r="E141" s="49">
        <f>VLOOKUP($A141,'Data shares'!$C:$FB,67)</f>
        <v>2485175</v>
      </c>
      <c r="F141" s="50">
        <f>VLOOKUP($A141,'Data shares'!$C:$FB,69)*100</f>
        <v>9.2799999999999994</v>
      </c>
      <c r="G141" s="49">
        <f>VLOOKUP($A141,'Data shares'!$C:$FB,42)</f>
        <v>707850</v>
      </c>
      <c r="H141" s="49">
        <f>VLOOKUP($A141,'Data shares'!$C:$FB,43)</f>
        <v>814000</v>
      </c>
      <c r="I141" s="50">
        <f>VLOOKUP($A141,'Data shares'!$C:$FB,45)*100</f>
        <v>-13.04</v>
      </c>
      <c r="J141" s="49">
        <f>VLOOKUP($A141,'Data shares'!$C:$FB,58)</f>
        <v>1359600</v>
      </c>
      <c r="K141" s="49">
        <f>VLOOKUP($A141,'Data shares'!$C:$FB,59)</f>
        <v>1245750</v>
      </c>
      <c r="L141" s="50">
        <f>VLOOKUP($A141,'Data shares'!$C:$FB,61)*100</f>
        <v>9.1399999999999988</v>
      </c>
      <c r="M141" s="49">
        <f>VLOOKUP($A141,'Data shares'!$C:$FB,62)</f>
        <v>648450</v>
      </c>
      <c r="N141" s="49">
        <f>VLOOKUP($A141,'Data shares'!$C:$FB,63)</f>
        <v>425425</v>
      </c>
      <c r="O141" s="140">
        <f>VLOOKUP($A141,'Data shares'!$C:$FB,65)*100</f>
        <v>52.42</v>
      </c>
    </row>
    <row r="142" spans="1:15" x14ac:dyDescent="0.25">
      <c r="A142" s="101" t="str">
        <f>'Data shares'!C137</f>
        <v>MUTHOOTFIN</v>
      </c>
      <c r="B142" s="50">
        <f>VLOOKUP($A142,'Data shares'!$C:$FB,7)</f>
        <v>3156.9</v>
      </c>
      <c r="C142" s="50">
        <f>VLOOKUP($A142,'Data shares'!$C:$FB,10)*100</f>
        <v>-2.85</v>
      </c>
      <c r="D142" s="49">
        <f>VLOOKUP($A142,'Data shares'!$C:$FB,66)</f>
        <v>8173000</v>
      </c>
      <c r="E142" s="49">
        <f>VLOOKUP($A142,'Data shares'!$C:$FB,67)</f>
        <v>3454550</v>
      </c>
      <c r="F142" s="50">
        <f>VLOOKUP($A142,'Data shares'!$C:$FB,69)*100</f>
        <v>136.58999999999997</v>
      </c>
      <c r="G142" s="49">
        <f>VLOOKUP($A142,'Data shares'!$C:$FB,42)</f>
        <v>1269125</v>
      </c>
      <c r="H142" s="49">
        <f>VLOOKUP($A142,'Data shares'!$C:$FB,43)</f>
        <v>559075</v>
      </c>
      <c r="I142" s="50">
        <f>VLOOKUP($A142,'Data shares'!$C:$FB,45)*100</f>
        <v>127</v>
      </c>
      <c r="J142" s="49">
        <f>VLOOKUP($A142,'Data shares'!$C:$FB,58)</f>
        <v>4230875</v>
      </c>
      <c r="K142" s="49">
        <f>VLOOKUP($A142,'Data shares'!$C:$FB,59)</f>
        <v>1737725</v>
      </c>
      <c r="L142" s="50">
        <f>VLOOKUP($A142,'Data shares'!$C:$FB,61)*100</f>
        <v>143.47</v>
      </c>
      <c r="M142" s="49">
        <f>VLOOKUP($A142,'Data shares'!$C:$FB,62)</f>
        <v>2673000</v>
      </c>
      <c r="N142" s="49">
        <f>VLOOKUP($A142,'Data shares'!$C:$FB,63)</f>
        <v>1157750</v>
      </c>
      <c r="O142" s="140">
        <f>VLOOKUP($A142,'Data shares'!$C:$FB,65)*100</f>
        <v>130.88</v>
      </c>
    </row>
    <row r="143" spans="1:15" x14ac:dyDescent="0.25">
      <c r="A143" s="101" t="str">
        <f>'Data shares'!C138</f>
        <v>NATIONALUM</v>
      </c>
      <c r="B143" s="50">
        <f>VLOOKUP($A143,'Data shares'!$C:$FB,7)</f>
        <v>224.3</v>
      </c>
      <c r="C143" s="50">
        <f>VLOOKUP($A143,'Data shares'!$C:$FB,10)*100</f>
        <v>-2.29</v>
      </c>
      <c r="D143" s="49">
        <f>VLOOKUP($A143,'Data shares'!$C:$FB,66)</f>
        <v>111423750</v>
      </c>
      <c r="E143" s="49">
        <f>VLOOKUP($A143,'Data shares'!$C:$FB,67)</f>
        <v>235893750</v>
      </c>
      <c r="F143" s="50">
        <f>VLOOKUP($A143,'Data shares'!$C:$FB,69)*100</f>
        <v>-52.769999999999996</v>
      </c>
      <c r="G143" s="49">
        <f>VLOOKUP($A143,'Data shares'!$C:$FB,42)</f>
        <v>22661250</v>
      </c>
      <c r="H143" s="49">
        <f>VLOOKUP($A143,'Data shares'!$C:$FB,43)</f>
        <v>34166250</v>
      </c>
      <c r="I143" s="50">
        <f>VLOOKUP($A143,'Data shares'!$C:$FB,45)*100</f>
        <v>-33.67</v>
      </c>
      <c r="J143" s="49">
        <f>VLOOKUP($A143,'Data shares'!$C:$FB,58)</f>
        <v>57558750</v>
      </c>
      <c r="K143" s="49">
        <f>VLOOKUP($A143,'Data shares'!$C:$FB,59)</f>
        <v>129896250</v>
      </c>
      <c r="L143" s="50">
        <f>VLOOKUP($A143,'Data shares'!$C:$FB,61)*100</f>
        <v>-55.69</v>
      </c>
      <c r="M143" s="49">
        <f>VLOOKUP($A143,'Data shares'!$C:$FB,62)</f>
        <v>31203750</v>
      </c>
      <c r="N143" s="49">
        <f>VLOOKUP($A143,'Data shares'!$C:$FB,63)</f>
        <v>71831250</v>
      </c>
      <c r="O143" s="140">
        <f>VLOOKUP($A143,'Data shares'!$C:$FB,65)*100</f>
        <v>-56.56</v>
      </c>
    </row>
    <row r="144" spans="1:15" x14ac:dyDescent="0.25">
      <c r="A144" s="101" t="str">
        <f>'Data shares'!C139</f>
        <v>NAUKRI</v>
      </c>
      <c r="B144" s="50">
        <f>VLOOKUP($A144,'Data shares'!$C:$FB,7)</f>
        <v>1333.1</v>
      </c>
      <c r="C144" s="50">
        <f>VLOOKUP($A144,'Data shares'!$C:$FB,10)*100</f>
        <v>-1</v>
      </c>
      <c r="D144" s="49">
        <f>VLOOKUP($A144,'Data shares'!$C:$FB,66)</f>
        <v>3132750</v>
      </c>
      <c r="E144" s="49">
        <f>VLOOKUP($A144,'Data shares'!$C:$FB,67)</f>
        <v>10916625</v>
      </c>
      <c r="F144" s="50">
        <f>VLOOKUP($A144,'Data shares'!$C:$FB,69)*100</f>
        <v>-71.3</v>
      </c>
      <c r="G144" s="49">
        <f>VLOOKUP($A144,'Data shares'!$C:$FB,42)</f>
        <v>956250</v>
      </c>
      <c r="H144" s="49">
        <f>VLOOKUP($A144,'Data shares'!$C:$FB,43)</f>
        <v>2695875</v>
      </c>
      <c r="I144" s="50">
        <f>VLOOKUP($A144,'Data shares'!$C:$FB,45)*100</f>
        <v>-64.53</v>
      </c>
      <c r="J144" s="49">
        <f>VLOOKUP($A144,'Data shares'!$C:$FB,58)</f>
        <v>1656375</v>
      </c>
      <c r="K144" s="49">
        <f>VLOOKUP($A144,'Data shares'!$C:$FB,59)</f>
        <v>5682000</v>
      </c>
      <c r="L144" s="50">
        <f>VLOOKUP($A144,'Data shares'!$C:$FB,61)*100</f>
        <v>-70.850000000000009</v>
      </c>
      <c r="M144" s="49">
        <f>VLOOKUP($A144,'Data shares'!$C:$FB,62)</f>
        <v>520125</v>
      </c>
      <c r="N144" s="49">
        <f>VLOOKUP($A144,'Data shares'!$C:$FB,63)</f>
        <v>2538750</v>
      </c>
      <c r="O144" s="140">
        <f>VLOOKUP($A144,'Data shares'!$C:$FB,65)*100</f>
        <v>-79.510000000000005</v>
      </c>
    </row>
    <row r="145" spans="1:15" x14ac:dyDescent="0.25">
      <c r="A145" s="101" t="str">
        <f>'Data shares'!C140</f>
        <v>NBCC</v>
      </c>
      <c r="B145" s="50">
        <f>VLOOKUP($A145,'Data shares'!$C:$FB,7)</f>
        <v>112.66</v>
      </c>
      <c r="C145" s="50">
        <f>VLOOKUP($A145,'Data shares'!$C:$FB,10)*100</f>
        <v>-0.86999999999999988</v>
      </c>
      <c r="D145" s="49">
        <f>VLOOKUP($A145,'Data shares'!$C:$FB,66)</f>
        <v>53755000</v>
      </c>
      <c r="E145" s="49">
        <f>VLOOKUP($A145,'Data shares'!$C:$FB,67)</f>
        <v>64564500</v>
      </c>
      <c r="F145" s="50">
        <f>VLOOKUP($A145,'Data shares'!$C:$FB,69)*100</f>
        <v>-16.739999999999998</v>
      </c>
      <c r="G145" s="49">
        <f>VLOOKUP($A145,'Data shares'!$C:$FB,42)</f>
        <v>12597000</v>
      </c>
      <c r="H145" s="49">
        <f>VLOOKUP($A145,'Data shares'!$C:$FB,43)</f>
        <v>12421500</v>
      </c>
      <c r="I145" s="50">
        <f>VLOOKUP($A145,'Data shares'!$C:$FB,45)*100</f>
        <v>1.41</v>
      </c>
      <c r="J145" s="49">
        <f>VLOOKUP($A145,'Data shares'!$C:$FB,58)</f>
        <v>32019000</v>
      </c>
      <c r="K145" s="49">
        <f>VLOOKUP($A145,'Data shares'!$C:$FB,59)</f>
        <v>44473000</v>
      </c>
      <c r="L145" s="50">
        <f>VLOOKUP($A145,'Data shares'!$C:$FB,61)*100</f>
        <v>-28.000000000000004</v>
      </c>
      <c r="M145" s="49">
        <f>VLOOKUP($A145,'Data shares'!$C:$FB,62)</f>
        <v>9139000</v>
      </c>
      <c r="N145" s="49">
        <f>VLOOKUP($A145,'Data shares'!$C:$FB,63)</f>
        <v>7670000</v>
      </c>
      <c r="O145" s="140">
        <f>VLOOKUP($A145,'Data shares'!$C:$FB,65)*100</f>
        <v>19.149999999999999</v>
      </c>
    </row>
    <row r="146" spans="1:15" x14ac:dyDescent="0.25">
      <c r="A146" s="101" t="str">
        <f>'Data shares'!C141</f>
        <v>NCC</v>
      </c>
      <c r="B146" s="50">
        <f>VLOOKUP($A146,'Data shares'!$C:$FB,7)</f>
        <v>210.78</v>
      </c>
      <c r="C146" s="50">
        <f>VLOOKUP($A146,'Data shares'!$C:$FB,10)*100</f>
        <v>0.55999999999999994</v>
      </c>
      <c r="D146" s="49">
        <f>VLOOKUP($A146,'Data shares'!$C:$FB,66)</f>
        <v>9158400</v>
      </c>
      <c r="E146" s="49">
        <f>VLOOKUP($A146,'Data shares'!$C:$FB,67)</f>
        <v>8205300</v>
      </c>
      <c r="F146" s="50">
        <f>VLOOKUP($A146,'Data shares'!$C:$FB,69)*100</f>
        <v>11.62</v>
      </c>
      <c r="G146" s="49">
        <f>VLOOKUP($A146,'Data shares'!$C:$FB,42)</f>
        <v>2438100</v>
      </c>
      <c r="H146" s="49">
        <f>VLOOKUP($A146,'Data shares'!$C:$FB,43)</f>
        <v>2700000</v>
      </c>
      <c r="I146" s="50">
        <f>VLOOKUP($A146,'Data shares'!$C:$FB,45)*100</f>
        <v>-9.7000000000000011</v>
      </c>
      <c r="J146" s="49">
        <f>VLOOKUP($A146,'Data shares'!$C:$FB,58)</f>
        <v>5302800</v>
      </c>
      <c r="K146" s="49">
        <f>VLOOKUP($A146,'Data shares'!$C:$FB,59)</f>
        <v>3474900</v>
      </c>
      <c r="L146" s="50">
        <f>VLOOKUP($A146,'Data shares'!$C:$FB,61)*100</f>
        <v>52.6</v>
      </c>
      <c r="M146" s="49">
        <f>VLOOKUP($A146,'Data shares'!$C:$FB,62)</f>
        <v>1417500</v>
      </c>
      <c r="N146" s="49">
        <f>VLOOKUP($A146,'Data shares'!$C:$FB,63)</f>
        <v>2030400</v>
      </c>
      <c r="O146" s="140">
        <f>VLOOKUP($A146,'Data shares'!$C:$FB,65)*100</f>
        <v>-30.19</v>
      </c>
    </row>
    <row r="147" spans="1:15" x14ac:dyDescent="0.25">
      <c r="A147" s="101" t="str">
        <f>'Data shares'!C142</f>
        <v>NESTLEIND</v>
      </c>
      <c r="B147" s="50">
        <f>VLOOKUP($A147,'Data shares'!$C:$FB,7)</f>
        <v>1199.5</v>
      </c>
      <c r="C147" s="50">
        <f>VLOOKUP($A147,'Data shares'!$C:$FB,10)*100</f>
        <v>0.9900000000000001</v>
      </c>
      <c r="D147" s="49">
        <f>VLOOKUP($A147,'Data shares'!$C:$FB,66)</f>
        <v>8600500</v>
      </c>
      <c r="E147" s="49">
        <f>VLOOKUP($A147,'Data shares'!$C:$FB,67)</f>
        <v>5108000</v>
      </c>
      <c r="F147" s="50">
        <f>VLOOKUP($A147,'Data shares'!$C:$FB,69)*100</f>
        <v>68.37</v>
      </c>
      <c r="G147" s="49">
        <f>VLOOKUP($A147,'Data shares'!$C:$FB,42)</f>
        <v>2147500</v>
      </c>
      <c r="H147" s="49">
        <f>VLOOKUP($A147,'Data shares'!$C:$FB,43)</f>
        <v>1574000</v>
      </c>
      <c r="I147" s="50">
        <f>VLOOKUP($A147,'Data shares'!$C:$FB,45)*100</f>
        <v>36.44</v>
      </c>
      <c r="J147" s="49">
        <f>VLOOKUP($A147,'Data shares'!$C:$FB,58)</f>
        <v>4217500</v>
      </c>
      <c r="K147" s="49">
        <f>VLOOKUP($A147,'Data shares'!$C:$FB,59)</f>
        <v>2372000</v>
      </c>
      <c r="L147" s="50">
        <f>VLOOKUP($A147,'Data shares'!$C:$FB,61)*100</f>
        <v>77.8</v>
      </c>
      <c r="M147" s="49">
        <f>VLOOKUP($A147,'Data shares'!$C:$FB,62)</f>
        <v>2235500</v>
      </c>
      <c r="N147" s="49">
        <f>VLOOKUP($A147,'Data shares'!$C:$FB,63)</f>
        <v>1162000</v>
      </c>
      <c r="O147" s="140">
        <f>VLOOKUP($A147,'Data shares'!$C:$FB,65)*100</f>
        <v>92.38</v>
      </c>
    </row>
    <row r="148" spans="1:15" x14ac:dyDescent="0.25">
      <c r="A148" s="101" t="str">
        <f>'Data shares'!C143</f>
        <v>NHPC</v>
      </c>
      <c r="B148" s="50">
        <f>VLOOKUP($A148,'Data shares'!$C:$FB,7)</f>
        <v>86.94</v>
      </c>
      <c r="C148" s="50">
        <f>VLOOKUP($A148,'Data shares'!$C:$FB,10)*100</f>
        <v>0.31</v>
      </c>
      <c r="D148" s="49">
        <f>VLOOKUP($A148,'Data shares'!$C:$FB,66)</f>
        <v>18880000</v>
      </c>
      <c r="E148" s="49">
        <f>VLOOKUP($A148,'Data shares'!$C:$FB,67)</f>
        <v>37446400</v>
      </c>
      <c r="F148" s="50">
        <f>VLOOKUP($A148,'Data shares'!$C:$FB,69)*100</f>
        <v>-49.58</v>
      </c>
      <c r="G148" s="49">
        <f>VLOOKUP($A148,'Data shares'!$C:$FB,42)</f>
        <v>5184000</v>
      </c>
      <c r="H148" s="49">
        <f>VLOOKUP($A148,'Data shares'!$C:$FB,43)</f>
        <v>11443200</v>
      </c>
      <c r="I148" s="50">
        <f>VLOOKUP($A148,'Data shares'!$C:$FB,45)*100</f>
        <v>-54.7</v>
      </c>
      <c r="J148" s="49">
        <f>VLOOKUP($A148,'Data shares'!$C:$FB,58)</f>
        <v>8774400</v>
      </c>
      <c r="K148" s="49">
        <f>VLOOKUP($A148,'Data shares'!$C:$FB,59)</f>
        <v>16460800</v>
      </c>
      <c r="L148" s="50">
        <f>VLOOKUP($A148,'Data shares'!$C:$FB,61)*100</f>
        <v>-46.7</v>
      </c>
      <c r="M148" s="49">
        <f>VLOOKUP($A148,'Data shares'!$C:$FB,62)</f>
        <v>4921600</v>
      </c>
      <c r="N148" s="49">
        <f>VLOOKUP($A148,'Data shares'!$C:$FB,63)</f>
        <v>9542400</v>
      </c>
      <c r="O148" s="140">
        <f>VLOOKUP($A148,'Data shares'!$C:$FB,65)*100</f>
        <v>-48.42</v>
      </c>
    </row>
    <row r="149" spans="1:15" x14ac:dyDescent="0.25">
      <c r="A149" s="101" t="str">
        <f>'Data shares'!C144</f>
        <v>NIFTY</v>
      </c>
      <c r="B149" s="50">
        <f>VLOOKUP($A149,'Data shares'!$C:$FB,7)</f>
        <v>25285.35</v>
      </c>
      <c r="C149" s="50">
        <f>VLOOKUP($A149,'Data shares'!$C:$FB,10)*100</f>
        <v>0.41000000000000003</v>
      </c>
      <c r="D149" s="49">
        <f>VLOOKUP($A149,'Data shares'!$C:$FB,66)</f>
        <v>7373675550</v>
      </c>
      <c r="E149" s="49">
        <f>VLOOKUP($A149,'Data shares'!$C:$FB,67)</f>
        <v>5067031725</v>
      </c>
      <c r="F149" s="50">
        <f>VLOOKUP($A149,'Data shares'!$C:$FB,69)*100</f>
        <v>45.519999999999996</v>
      </c>
      <c r="G149" s="49">
        <f>VLOOKUP($A149,'Data shares'!$C:$FB,42)</f>
        <v>4960800</v>
      </c>
      <c r="H149" s="49">
        <f>VLOOKUP($A149,'Data shares'!$C:$FB,43)</f>
        <v>5404050</v>
      </c>
      <c r="I149" s="50">
        <f>VLOOKUP($A149,'Data shares'!$C:$FB,45)*100</f>
        <v>-8.2000000000000011</v>
      </c>
      <c r="J149" s="49">
        <f>VLOOKUP($A149,'Data shares'!$C:$FB,58)</f>
        <v>3809176350</v>
      </c>
      <c r="K149" s="49">
        <f>VLOOKUP($A149,'Data shares'!$C:$FB,59)</f>
        <v>2671865925</v>
      </c>
      <c r="L149" s="50">
        <f>VLOOKUP($A149,'Data shares'!$C:$FB,61)*100</f>
        <v>42.57</v>
      </c>
      <c r="M149" s="49">
        <f>VLOOKUP($A149,'Data shares'!$C:$FB,62)</f>
        <v>3559538400</v>
      </c>
      <c r="N149" s="49">
        <f>VLOOKUP($A149,'Data shares'!$C:$FB,63)</f>
        <v>2389761750</v>
      </c>
      <c r="O149" s="140">
        <f>VLOOKUP($A149,'Data shares'!$C:$FB,65)*100</f>
        <v>48.949999999999996</v>
      </c>
    </row>
    <row r="150" spans="1:15" x14ac:dyDescent="0.25">
      <c r="A150" s="101" t="str">
        <f>'Data shares'!C145</f>
        <v>NIFTYNXT50</v>
      </c>
      <c r="B150" s="50">
        <f>VLOOKUP($A150,'Data shares'!$C:$FB,7)</f>
        <v>68687.25</v>
      </c>
      <c r="C150" s="50">
        <f>VLOOKUP($A150,'Data shares'!$C:$FB,10)*100</f>
        <v>0.24</v>
      </c>
      <c r="D150" s="49">
        <f>VLOOKUP($A150,'Data shares'!$C:$FB,66)</f>
        <v>16700</v>
      </c>
      <c r="E150" s="49">
        <f>VLOOKUP($A150,'Data shares'!$C:$FB,67)</f>
        <v>10900</v>
      </c>
      <c r="F150" s="50">
        <f>VLOOKUP($A150,'Data shares'!$C:$FB,69)*100</f>
        <v>53.21</v>
      </c>
      <c r="G150" s="49">
        <f>VLOOKUP($A150,'Data shares'!$C:$FB,42)</f>
        <v>8125</v>
      </c>
      <c r="H150" s="49">
        <f>VLOOKUP($A150,'Data shares'!$C:$FB,43)</f>
        <v>4225</v>
      </c>
      <c r="I150" s="50">
        <f>VLOOKUP($A150,'Data shares'!$C:$FB,45)*100</f>
        <v>92.31</v>
      </c>
      <c r="J150" s="49">
        <f>VLOOKUP($A150,'Data shares'!$C:$FB,58)</f>
        <v>6700</v>
      </c>
      <c r="K150" s="49">
        <f>VLOOKUP($A150,'Data shares'!$C:$FB,59)</f>
        <v>4100</v>
      </c>
      <c r="L150" s="50">
        <f>VLOOKUP($A150,'Data shares'!$C:$FB,61)*100</f>
        <v>63.41</v>
      </c>
      <c r="M150" s="49">
        <f>VLOOKUP($A150,'Data shares'!$C:$FB,62)</f>
        <v>1875</v>
      </c>
      <c r="N150" s="49">
        <f>VLOOKUP($A150,'Data shares'!$C:$FB,63)</f>
        <v>2575</v>
      </c>
      <c r="O150" s="140">
        <f>VLOOKUP($A150,'Data shares'!$C:$FB,65)*100</f>
        <v>-27.18</v>
      </c>
    </row>
    <row r="151" spans="1:15" x14ac:dyDescent="0.25">
      <c r="A151" s="101" t="str">
        <f>'Data shares'!C146</f>
        <v>NMDC</v>
      </c>
      <c r="B151" s="50">
        <f>VLOOKUP($A151,'Data shares'!$C:$FB,7)</f>
        <v>77.13</v>
      </c>
      <c r="C151" s="50">
        <f>VLOOKUP($A151,'Data shares'!$C:$FB,10)*100</f>
        <v>-2.12</v>
      </c>
      <c r="D151" s="49">
        <f>VLOOKUP($A151,'Data shares'!$C:$FB,66)</f>
        <v>329076000</v>
      </c>
      <c r="E151" s="49">
        <f>VLOOKUP($A151,'Data shares'!$C:$FB,67)</f>
        <v>431757000</v>
      </c>
      <c r="F151" s="50">
        <f>VLOOKUP($A151,'Data shares'!$C:$FB,69)*100</f>
        <v>-23.78</v>
      </c>
      <c r="G151" s="49">
        <f>VLOOKUP($A151,'Data shares'!$C:$FB,42)</f>
        <v>57402000</v>
      </c>
      <c r="H151" s="49">
        <f>VLOOKUP($A151,'Data shares'!$C:$FB,43)</f>
        <v>67783500</v>
      </c>
      <c r="I151" s="50">
        <f>VLOOKUP($A151,'Data shares'!$C:$FB,45)*100</f>
        <v>-15.32</v>
      </c>
      <c r="J151" s="49">
        <f>VLOOKUP($A151,'Data shares'!$C:$FB,58)</f>
        <v>186907500</v>
      </c>
      <c r="K151" s="49">
        <f>VLOOKUP($A151,'Data shares'!$C:$FB,59)</f>
        <v>248940000</v>
      </c>
      <c r="L151" s="50">
        <f>VLOOKUP($A151,'Data shares'!$C:$FB,61)*100</f>
        <v>-24.92</v>
      </c>
      <c r="M151" s="49">
        <f>VLOOKUP($A151,'Data shares'!$C:$FB,62)</f>
        <v>84766500</v>
      </c>
      <c r="N151" s="49">
        <f>VLOOKUP($A151,'Data shares'!$C:$FB,63)</f>
        <v>115033500</v>
      </c>
      <c r="O151" s="140">
        <f>VLOOKUP($A151,'Data shares'!$C:$FB,65)*100</f>
        <v>-26.31</v>
      </c>
    </row>
    <row r="152" spans="1:15" x14ac:dyDescent="0.25">
      <c r="A152" s="101" t="str">
        <f>'Data shares'!C147</f>
        <v>NTPC</v>
      </c>
      <c r="B152" s="50">
        <f>VLOOKUP($A152,'Data shares'!$C:$FB,7)</f>
        <v>339.7</v>
      </c>
      <c r="C152" s="50">
        <f>VLOOKUP($A152,'Data shares'!$C:$FB,10)*100</f>
        <v>1.1499999999999999</v>
      </c>
      <c r="D152" s="49">
        <f>VLOOKUP($A152,'Data shares'!$C:$FB,66)</f>
        <v>96417000</v>
      </c>
      <c r="E152" s="49">
        <f>VLOOKUP($A152,'Data shares'!$C:$FB,67)</f>
        <v>60909000</v>
      </c>
      <c r="F152" s="50">
        <f>VLOOKUP($A152,'Data shares'!$C:$FB,69)*100</f>
        <v>58.3</v>
      </c>
      <c r="G152" s="49">
        <f>VLOOKUP($A152,'Data shares'!$C:$FB,42)</f>
        <v>12750000</v>
      </c>
      <c r="H152" s="49">
        <f>VLOOKUP($A152,'Data shares'!$C:$FB,43)</f>
        <v>8175000</v>
      </c>
      <c r="I152" s="50">
        <f>VLOOKUP($A152,'Data shares'!$C:$FB,45)*100</f>
        <v>55.96</v>
      </c>
      <c r="J152" s="49">
        <f>VLOOKUP($A152,'Data shares'!$C:$FB,58)</f>
        <v>55360500</v>
      </c>
      <c r="K152" s="49">
        <f>VLOOKUP($A152,'Data shares'!$C:$FB,59)</f>
        <v>36193500</v>
      </c>
      <c r="L152" s="50">
        <f>VLOOKUP($A152,'Data shares'!$C:$FB,61)*100</f>
        <v>52.959999999999994</v>
      </c>
      <c r="M152" s="49">
        <f>VLOOKUP($A152,'Data shares'!$C:$FB,62)</f>
        <v>28306500</v>
      </c>
      <c r="N152" s="49">
        <f>VLOOKUP($A152,'Data shares'!$C:$FB,63)</f>
        <v>16540500</v>
      </c>
      <c r="O152" s="140">
        <f>VLOOKUP($A152,'Data shares'!$C:$FB,65)*100</f>
        <v>71.13000000000001</v>
      </c>
    </row>
    <row r="153" spans="1:15" x14ac:dyDescent="0.25">
      <c r="A153" s="101" t="str">
        <f>'Data shares'!C148</f>
        <v>NUVAMA</v>
      </c>
      <c r="B153" s="50">
        <f>VLOOKUP($A153,'Data shares'!$C:$FB,7)</f>
        <v>7235.5</v>
      </c>
      <c r="C153" s="50">
        <f>VLOOKUP($A153,'Data shares'!$C:$FB,10)*100</f>
        <v>1.52</v>
      </c>
      <c r="D153" s="49">
        <f>VLOOKUP($A153,'Data shares'!$C:$FB,66)</f>
        <v>909900</v>
      </c>
      <c r="E153" s="49">
        <f>VLOOKUP($A153,'Data shares'!$C:$FB,67)</f>
        <v>638325</v>
      </c>
      <c r="F153" s="50">
        <f>VLOOKUP($A153,'Data shares'!$C:$FB,69)*100</f>
        <v>42.54</v>
      </c>
      <c r="G153" s="49">
        <f>VLOOKUP($A153,'Data shares'!$C:$FB,42)</f>
        <v>114150</v>
      </c>
      <c r="H153" s="49">
        <f>VLOOKUP($A153,'Data shares'!$C:$FB,43)</f>
        <v>117075</v>
      </c>
      <c r="I153" s="50">
        <f>VLOOKUP($A153,'Data shares'!$C:$FB,45)*100</f>
        <v>-2.5</v>
      </c>
      <c r="J153" s="49">
        <f>VLOOKUP($A153,'Data shares'!$C:$FB,58)</f>
        <v>517350</v>
      </c>
      <c r="K153" s="49">
        <f>VLOOKUP($A153,'Data shares'!$C:$FB,59)</f>
        <v>331650</v>
      </c>
      <c r="L153" s="50">
        <f>VLOOKUP($A153,'Data shares'!$C:$FB,61)*100</f>
        <v>55.989999999999995</v>
      </c>
      <c r="M153" s="49">
        <f>VLOOKUP($A153,'Data shares'!$C:$FB,62)</f>
        <v>278400</v>
      </c>
      <c r="N153" s="49">
        <f>VLOOKUP($A153,'Data shares'!$C:$FB,63)</f>
        <v>189600</v>
      </c>
      <c r="O153" s="140">
        <f>VLOOKUP($A153,'Data shares'!$C:$FB,65)*100</f>
        <v>46.839999999999996</v>
      </c>
    </row>
    <row r="154" spans="1:15" x14ac:dyDescent="0.25">
      <c r="A154" s="101" t="str">
        <f>'Data shares'!C149</f>
        <v>NYKAA</v>
      </c>
      <c r="B154" s="50">
        <f>VLOOKUP($A154,'Data shares'!$C:$FB,7)</f>
        <v>265.19</v>
      </c>
      <c r="C154" s="50">
        <f>VLOOKUP($A154,'Data shares'!$C:$FB,10)*100</f>
        <v>0.41000000000000003</v>
      </c>
      <c r="D154" s="49">
        <f>VLOOKUP($A154,'Data shares'!$C:$FB,66)</f>
        <v>51250000</v>
      </c>
      <c r="E154" s="49">
        <f>VLOOKUP($A154,'Data shares'!$C:$FB,67)</f>
        <v>80809375</v>
      </c>
      <c r="F154" s="50">
        <f>VLOOKUP($A154,'Data shares'!$C:$FB,69)*100</f>
        <v>-36.58</v>
      </c>
      <c r="G154" s="49">
        <f>VLOOKUP($A154,'Data shares'!$C:$FB,42)</f>
        <v>8137500</v>
      </c>
      <c r="H154" s="49">
        <f>VLOOKUP($A154,'Data shares'!$C:$FB,43)</f>
        <v>10328125</v>
      </c>
      <c r="I154" s="50">
        <f>VLOOKUP($A154,'Data shares'!$C:$FB,45)*100</f>
        <v>-21.21</v>
      </c>
      <c r="J154" s="49">
        <f>VLOOKUP($A154,'Data shares'!$C:$FB,58)</f>
        <v>29028125</v>
      </c>
      <c r="K154" s="49">
        <f>VLOOKUP($A154,'Data shares'!$C:$FB,59)</f>
        <v>49421875</v>
      </c>
      <c r="L154" s="50">
        <f>VLOOKUP($A154,'Data shares'!$C:$FB,61)*100</f>
        <v>-41.260000000000005</v>
      </c>
      <c r="M154" s="49">
        <f>VLOOKUP($A154,'Data shares'!$C:$FB,62)</f>
        <v>14084375</v>
      </c>
      <c r="N154" s="49">
        <f>VLOOKUP($A154,'Data shares'!$C:$FB,63)</f>
        <v>21059375</v>
      </c>
      <c r="O154" s="140">
        <f>VLOOKUP($A154,'Data shares'!$C:$FB,65)*100</f>
        <v>-33.119999999999997</v>
      </c>
    </row>
    <row r="155" spans="1:15" x14ac:dyDescent="0.25">
      <c r="A155" s="101" t="str">
        <f>'Data shares'!C150</f>
        <v>OBEROIRLTY</v>
      </c>
      <c r="B155" s="50">
        <f>VLOOKUP($A155,'Data shares'!$C:$FB,7)</f>
        <v>1599.6</v>
      </c>
      <c r="C155" s="50">
        <f>VLOOKUP($A155,'Data shares'!$C:$FB,10)*100</f>
        <v>0.52</v>
      </c>
      <c r="D155" s="49">
        <f>VLOOKUP($A155,'Data shares'!$C:$FB,66)</f>
        <v>2832200</v>
      </c>
      <c r="E155" s="49">
        <f>VLOOKUP($A155,'Data shares'!$C:$FB,67)</f>
        <v>3312750</v>
      </c>
      <c r="F155" s="50">
        <f>VLOOKUP($A155,'Data shares'!$C:$FB,69)*100</f>
        <v>-14.510000000000002</v>
      </c>
      <c r="G155" s="49">
        <f>VLOOKUP($A155,'Data shares'!$C:$FB,42)</f>
        <v>789950</v>
      </c>
      <c r="H155" s="49">
        <f>VLOOKUP($A155,'Data shares'!$C:$FB,43)</f>
        <v>854700</v>
      </c>
      <c r="I155" s="50">
        <f>VLOOKUP($A155,'Data shares'!$C:$FB,45)*100</f>
        <v>-7.580000000000001</v>
      </c>
      <c r="J155" s="49">
        <f>VLOOKUP($A155,'Data shares'!$C:$FB,58)</f>
        <v>1603350</v>
      </c>
      <c r="K155" s="49">
        <f>VLOOKUP($A155,'Data shares'!$C:$FB,59)</f>
        <v>1695750</v>
      </c>
      <c r="L155" s="50">
        <f>VLOOKUP($A155,'Data shares'!$C:$FB,61)*100</f>
        <v>-5.45</v>
      </c>
      <c r="M155" s="49">
        <f>VLOOKUP($A155,'Data shares'!$C:$FB,62)</f>
        <v>438900</v>
      </c>
      <c r="N155" s="49">
        <f>VLOOKUP($A155,'Data shares'!$C:$FB,63)</f>
        <v>762300</v>
      </c>
      <c r="O155" s="140">
        <f>VLOOKUP($A155,'Data shares'!$C:$FB,65)*100</f>
        <v>-42.42</v>
      </c>
    </row>
    <row r="156" spans="1:15" x14ac:dyDescent="0.25">
      <c r="A156" s="101" t="str">
        <f>'Data shares'!C151</f>
        <v>OFSS</v>
      </c>
      <c r="B156" s="50">
        <f>VLOOKUP($A156,'Data shares'!$C:$FB,7)</f>
        <v>9213</v>
      </c>
      <c r="C156" s="50">
        <f>VLOOKUP($A156,'Data shares'!$C:$FB,10)*100</f>
        <v>-1.06</v>
      </c>
      <c r="D156" s="49">
        <f>VLOOKUP($A156,'Data shares'!$C:$FB,66)</f>
        <v>1502025</v>
      </c>
      <c r="E156" s="49">
        <f>VLOOKUP($A156,'Data shares'!$C:$FB,67)</f>
        <v>1643775</v>
      </c>
      <c r="F156" s="50">
        <f>VLOOKUP($A156,'Data shares'!$C:$FB,69)*100</f>
        <v>-8.6199999999999992</v>
      </c>
      <c r="G156" s="49">
        <f>VLOOKUP($A156,'Data shares'!$C:$FB,42)</f>
        <v>245100</v>
      </c>
      <c r="H156" s="49">
        <f>VLOOKUP($A156,'Data shares'!$C:$FB,43)</f>
        <v>306525</v>
      </c>
      <c r="I156" s="50">
        <f>VLOOKUP($A156,'Data shares'!$C:$FB,45)*100</f>
        <v>-20.04</v>
      </c>
      <c r="J156" s="49">
        <f>VLOOKUP($A156,'Data shares'!$C:$FB,58)</f>
        <v>897300</v>
      </c>
      <c r="K156" s="49">
        <f>VLOOKUP($A156,'Data shares'!$C:$FB,59)</f>
        <v>976800</v>
      </c>
      <c r="L156" s="50">
        <f>VLOOKUP($A156,'Data shares'!$C:$FB,61)*100</f>
        <v>-8.14</v>
      </c>
      <c r="M156" s="49">
        <f>VLOOKUP($A156,'Data shares'!$C:$FB,62)</f>
        <v>359625</v>
      </c>
      <c r="N156" s="49">
        <f>VLOOKUP($A156,'Data shares'!$C:$FB,63)</f>
        <v>360450</v>
      </c>
      <c r="O156" s="140">
        <f>VLOOKUP($A156,'Data shares'!$C:$FB,65)*100</f>
        <v>-0.22999999999999998</v>
      </c>
    </row>
    <row r="157" spans="1:15" x14ac:dyDescent="0.25">
      <c r="A157" s="101" t="str">
        <f>'Data shares'!C152</f>
        <v>OIL</v>
      </c>
      <c r="B157" s="50">
        <f>VLOOKUP($A157,'Data shares'!$C:$FB,7)</f>
        <v>418.2</v>
      </c>
      <c r="C157" s="50">
        <f>VLOOKUP($A157,'Data shares'!$C:$FB,10)*100</f>
        <v>6.9999999999999993E-2</v>
      </c>
      <c r="D157" s="49">
        <f>VLOOKUP($A157,'Data shares'!$C:$FB,66)</f>
        <v>3896200</v>
      </c>
      <c r="E157" s="49">
        <f>VLOOKUP($A157,'Data shares'!$C:$FB,67)</f>
        <v>4655000</v>
      </c>
      <c r="F157" s="50">
        <f>VLOOKUP($A157,'Data shares'!$C:$FB,69)*100</f>
        <v>-16.3</v>
      </c>
      <c r="G157" s="49">
        <f>VLOOKUP($A157,'Data shares'!$C:$FB,42)</f>
        <v>1195600</v>
      </c>
      <c r="H157" s="49">
        <f>VLOOKUP($A157,'Data shares'!$C:$FB,43)</f>
        <v>1335600</v>
      </c>
      <c r="I157" s="50">
        <f>VLOOKUP($A157,'Data shares'!$C:$FB,45)*100</f>
        <v>-10.48</v>
      </c>
      <c r="J157" s="49">
        <f>VLOOKUP($A157,'Data shares'!$C:$FB,58)</f>
        <v>1785000</v>
      </c>
      <c r="K157" s="49">
        <f>VLOOKUP($A157,'Data shares'!$C:$FB,59)</f>
        <v>2101400</v>
      </c>
      <c r="L157" s="50">
        <f>VLOOKUP($A157,'Data shares'!$C:$FB,61)*100</f>
        <v>-15.06</v>
      </c>
      <c r="M157" s="49">
        <f>VLOOKUP($A157,'Data shares'!$C:$FB,62)</f>
        <v>915600</v>
      </c>
      <c r="N157" s="49">
        <f>VLOOKUP($A157,'Data shares'!$C:$FB,63)</f>
        <v>1218000</v>
      </c>
      <c r="O157" s="140">
        <f>VLOOKUP($A157,'Data shares'!$C:$FB,65)*100</f>
        <v>-24.83</v>
      </c>
    </row>
    <row r="158" spans="1:15" x14ac:dyDescent="0.25">
      <c r="A158" s="101" t="str">
        <f>'Data shares'!C153</f>
        <v>ONGC</v>
      </c>
      <c r="B158" s="50">
        <f>VLOOKUP($A158,'Data shares'!$C:$FB,7)</f>
        <v>246.34</v>
      </c>
      <c r="C158" s="50">
        <f>VLOOKUP($A158,'Data shares'!$C:$FB,10)*100</f>
        <v>1.21</v>
      </c>
      <c r="D158" s="49">
        <f>VLOOKUP($A158,'Data shares'!$C:$FB,66)</f>
        <v>85137750</v>
      </c>
      <c r="E158" s="49">
        <f>VLOOKUP($A158,'Data shares'!$C:$FB,67)</f>
        <v>69394500</v>
      </c>
      <c r="F158" s="50">
        <f>VLOOKUP($A158,'Data shares'!$C:$FB,69)*100</f>
        <v>22.689999999999998</v>
      </c>
      <c r="G158" s="49">
        <f>VLOOKUP($A158,'Data shares'!$C:$FB,42)</f>
        <v>11153250</v>
      </c>
      <c r="H158" s="49">
        <f>VLOOKUP($A158,'Data shares'!$C:$FB,43)</f>
        <v>10885500</v>
      </c>
      <c r="I158" s="50">
        <f>VLOOKUP($A158,'Data shares'!$C:$FB,45)*100</f>
        <v>2.46</v>
      </c>
      <c r="J158" s="49">
        <f>VLOOKUP($A158,'Data shares'!$C:$FB,58)</f>
        <v>48804750</v>
      </c>
      <c r="K158" s="49">
        <f>VLOOKUP($A158,'Data shares'!$C:$FB,59)</f>
        <v>40248000</v>
      </c>
      <c r="L158" s="50">
        <f>VLOOKUP($A158,'Data shares'!$C:$FB,61)*100</f>
        <v>21.26</v>
      </c>
      <c r="M158" s="49">
        <f>VLOOKUP($A158,'Data shares'!$C:$FB,62)</f>
        <v>25179750</v>
      </c>
      <c r="N158" s="49">
        <f>VLOOKUP($A158,'Data shares'!$C:$FB,63)</f>
        <v>18261000</v>
      </c>
      <c r="O158" s="140">
        <f>VLOOKUP($A158,'Data shares'!$C:$FB,65)*100</f>
        <v>37.89</v>
      </c>
    </row>
    <row r="159" spans="1:15" x14ac:dyDescent="0.25">
      <c r="A159" s="101" t="str">
        <f>'Data shares'!C154</f>
        <v>PAGEIND</v>
      </c>
      <c r="B159" s="50">
        <f>VLOOKUP($A159,'Data shares'!$C:$FB,7)</f>
        <v>41640</v>
      </c>
      <c r="C159" s="50">
        <f>VLOOKUP($A159,'Data shares'!$C:$FB,10)*100</f>
        <v>-0.24</v>
      </c>
      <c r="D159" s="49">
        <f>VLOOKUP($A159,'Data shares'!$C:$FB,66)</f>
        <v>94485</v>
      </c>
      <c r="E159" s="49">
        <f>VLOOKUP($A159,'Data shares'!$C:$FB,67)</f>
        <v>125145</v>
      </c>
      <c r="F159" s="50">
        <f>VLOOKUP($A159,'Data shares'!$C:$FB,69)*100</f>
        <v>-24.5</v>
      </c>
      <c r="G159" s="49">
        <f>VLOOKUP($A159,'Data shares'!$C:$FB,42)</f>
        <v>20490</v>
      </c>
      <c r="H159" s="49">
        <f>VLOOKUP($A159,'Data shares'!$C:$FB,43)</f>
        <v>19695</v>
      </c>
      <c r="I159" s="50">
        <f>VLOOKUP($A159,'Data shares'!$C:$FB,45)*100</f>
        <v>4.04</v>
      </c>
      <c r="J159" s="49">
        <f>VLOOKUP($A159,'Data shares'!$C:$FB,58)</f>
        <v>62370</v>
      </c>
      <c r="K159" s="49">
        <f>VLOOKUP($A159,'Data shares'!$C:$FB,59)</f>
        <v>94995</v>
      </c>
      <c r="L159" s="50">
        <f>VLOOKUP($A159,'Data shares'!$C:$FB,61)*100</f>
        <v>-34.339999999999996</v>
      </c>
      <c r="M159" s="49">
        <f>VLOOKUP($A159,'Data shares'!$C:$FB,62)</f>
        <v>11625</v>
      </c>
      <c r="N159" s="49">
        <f>VLOOKUP($A159,'Data shares'!$C:$FB,63)</f>
        <v>10455</v>
      </c>
      <c r="O159" s="140">
        <f>VLOOKUP($A159,'Data shares'!$C:$FB,65)*100</f>
        <v>11.19</v>
      </c>
    </row>
    <row r="160" spans="1:15" x14ac:dyDescent="0.25">
      <c r="A160" s="101" t="str">
        <f>'Data shares'!C155</f>
        <v>PATANJALI</v>
      </c>
      <c r="B160" s="50">
        <f>VLOOKUP($A160,'Data shares'!$C:$FB,7)</f>
        <v>594.1</v>
      </c>
      <c r="C160" s="50">
        <f>VLOOKUP($A160,'Data shares'!$C:$FB,10)*100</f>
        <v>-0.08</v>
      </c>
      <c r="D160" s="49">
        <f>VLOOKUP($A160,'Data shares'!$C:$FB,66)</f>
        <v>5893200</v>
      </c>
      <c r="E160" s="49">
        <f>VLOOKUP($A160,'Data shares'!$C:$FB,67)</f>
        <v>7703100</v>
      </c>
      <c r="F160" s="50">
        <f>VLOOKUP($A160,'Data shares'!$C:$FB,69)*100</f>
        <v>-23.5</v>
      </c>
      <c r="G160" s="49">
        <f>VLOOKUP($A160,'Data shares'!$C:$FB,42)</f>
        <v>2153700</v>
      </c>
      <c r="H160" s="49">
        <f>VLOOKUP($A160,'Data shares'!$C:$FB,43)</f>
        <v>2364300</v>
      </c>
      <c r="I160" s="50">
        <f>VLOOKUP($A160,'Data shares'!$C:$FB,45)*100</f>
        <v>-8.91</v>
      </c>
      <c r="J160" s="49">
        <f>VLOOKUP($A160,'Data shares'!$C:$FB,58)</f>
        <v>2584800</v>
      </c>
      <c r="K160" s="49">
        <f>VLOOKUP($A160,'Data shares'!$C:$FB,59)</f>
        <v>2817900</v>
      </c>
      <c r="L160" s="50">
        <f>VLOOKUP($A160,'Data shares'!$C:$FB,61)*100</f>
        <v>-8.27</v>
      </c>
      <c r="M160" s="49">
        <f>VLOOKUP($A160,'Data shares'!$C:$FB,62)</f>
        <v>1154700</v>
      </c>
      <c r="N160" s="49">
        <f>VLOOKUP($A160,'Data shares'!$C:$FB,63)</f>
        <v>2520900</v>
      </c>
      <c r="O160" s="140">
        <f>VLOOKUP($A160,'Data shares'!$C:$FB,65)*100</f>
        <v>-54.190000000000005</v>
      </c>
    </row>
    <row r="161" spans="1:15" x14ac:dyDescent="0.25">
      <c r="A161" s="101" t="str">
        <f>'Data shares'!C156</f>
        <v>PAYTM</v>
      </c>
      <c r="B161" s="50">
        <f>VLOOKUP($A161,'Data shares'!$C:$FB,7)</f>
        <v>1236.9000000000001</v>
      </c>
      <c r="C161" s="50">
        <f>VLOOKUP($A161,'Data shares'!$C:$FB,10)*100</f>
        <v>-0.75</v>
      </c>
      <c r="D161" s="49">
        <f>VLOOKUP($A161,'Data shares'!$C:$FB,66)</f>
        <v>26136250</v>
      </c>
      <c r="E161" s="49">
        <f>VLOOKUP($A161,'Data shares'!$C:$FB,67)</f>
        <v>25783900</v>
      </c>
      <c r="F161" s="50">
        <f>VLOOKUP($A161,'Data shares'!$C:$FB,69)*100</f>
        <v>1.37</v>
      </c>
      <c r="G161" s="49">
        <f>VLOOKUP($A161,'Data shares'!$C:$FB,42)</f>
        <v>5419375</v>
      </c>
      <c r="H161" s="49">
        <f>VLOOKUP($A161,'Data shares'!$C:$FB,43)</f>
        <v>6759175</v>
      </c>
      <c r="I161" s="50">
        <f>VLOOKUP($A161,'Data shares'!$C:$FB,45)*100</f>
        <v>-19.82</v>
      </c>
      <c r="J161" s="49">
        <f>VLOOKUP($A161,'Data shares'!$C:$FB,58)</f>
        <v>13110900</v>
      </c>
      <c r="K161" s="49">
        <f>VLOOKUP($A161,'Data shares'!$C:$FB,59)</f>
        <v>11908125</v>
      </c>
      <c r="L161" s="50">
        <f>VLOOKUP($A161,'Data shares'!$C:$FB,61)*100</f>
        <v>10.100000000000001</v>
      </c>
      <c r="M161" s="49">
        <f>VLOOKUP($A161,'Data shares'!$C:$FB,62)</f>
        <v>7605975</v>
      </c>
      <c r="N161" s="49">
        <f>VLOOKUP($A161,'Data shares'!$C:$FB,63)</f>
        <v>7116600</v>
      </c>
      <c r="O161" s="140">
        <f>VLOOKUP($A161,'Data shares'!$C:$FB,65)*100</f>
        <v>6.88</v>
      </c>
    </row>
    <row r="162" spans="1:15" x14ac:dyDescent="0.25">
      <c r="A162" s="101" t="str">
        <f>'Data shares'!C157</f>
        <v>PERSISTENT</v>
      </c>
      <c r="B162" s="50">
        <f>VLOOKUP($A162,'Data shares'!$C:$FB,7)</f>
        <v>5357.7</v>
      </c>
      <c r="C162" s="50">
        <f>VLOOKUP($A162,'Data shares'!$C:$FB,10)*100</f>
        <v>0.22999999999999998</v>
      </c>
      <c r="D162" s="49">
        <f>VLOOKUP($A162,'Data shares'!$C:$FB,66)</f>
        <v>2216600</v>
      </c>
      <c r="E162" s="49">
        <f>VLOOKUP($A162,'Data shares'!$C:$FB,67)</f>
        <v>2052700</v>
      </c>
      <c r="F162" s="50">
        <f>VLOOKUP($A162,'Data shares'!$C:$FB,69)*100</f>
        <v>7.9799999999999995</v>
      </c>
      <c r="G162" s="49">
        <f>VLOOKUP($A162,'Data shares'!$C:$FB,42)</f>
        <v>476200</v>
      </c>
      <c r="H162" s="49">
        <f>VLOOKUP($A162,'Data shares'!$C:$FB,43)</f>
        <v>517900</v>
      </c>
      <c r="I162" s="50">
        <f>VLOOKUP($A162,'Data shares'!$C:$FB,45)*100</f>
        <v>-8.0500000000000007</v>
      </c>
      <c r="J162" s="49">
        <f>VLOOKUP($A162,'Data shares'!$C:$FB,58)</f>
        <v>1068700</v>
      </c>
      <c r="K162" s="49">
        <f>VLOOKUP($A162,'Data shares'!$C:$FB,59)</f>
        <v>966400</v>
      </c>
      <c r="L162" s="50">
        <f>VLOOKUP($A162,'Data shares'!$C:$FB,61)*100</f>
        <v>10.59</v>
      </c>
      <c r="M162" s="49">
        <f>VLOOKUP($A162,'Data shares'!$C:$FB,62)</f>
        <v>671700</v>
      </c>
      <c r="N162" s="49">
        <f>VLOOKUP($A162,'Data shares'!$C:$FB,63)</f>
        <v>568400</v>
      </c>
      <c r="O162" s="140">
        <f>VLOOKUP($A162,'Data shares'!$C:$FB,65)*100</f>
        <v>18.170000000000002</v>
      </c>
    </row>
    <row r="163" spans="1:15" x14ac:dyDescent="0.25">
      <c r="A163" s="101" t="str">
        <f>'Data shares'!C158</f>
        <v>PETRONET</v>
      </c>
      <c r="B163" s="50">
        <f>VLOOKUP($A163,'Data shares'!$C:$FB,7)</f>
        <v>281.45</v>
      </c>
      <c r="C163" s="50">
        <f>VLOOKUP($A163,'Data shares'!$C:$FB,10)*100</f>
        <v>-0.49</v>
      </c>
      <c r="D163" s="49">
        <f>VLOOKUP($A163,'Data shares'!$C:$FB,66)</f>
        <v>8474400</v>
      </c>
      <c r="E163" s="49">
        <f>VLOOKUP($A163,'Data shares'!$C:$FB,67)</f>
        <v>7461000</v>
      </c>
      <c r="F163" s="50">
        <f>VLOOKUP($A163,'Data shares'!$C:$FB,69)*100</f>
        <v>13.58</v>
      </c>
      <c r="G163" s="49">
        <f>VLOOKUP($A163,'Data shares'!$C:$FB,42)</f>
        <v>2226600</v>
      </c>
      <c r="H163" s="49">
        <f>VLOOKUP($A163,'Data shares'!$C:$FB,43)</f>
        <v>2082600</v>
      </c>
      <c r="I163" s="50">
        <f>VLOOKUP($A163,'Data shares'!$C:$FB,45)*100</f>
        <v>6.9099999999999993</v>
      </c>
      <c r="J163" s="49">
        <f>VLOOKUP($A163,'Data shares'!$C:$FB,58)</f>
        <v>4656600</v>
      </c>
      <c r="K163" s="49">
        <f>VLOOKUP($A163,'Data shares'!$C:$FB,59)</f>
        <v>4181400</v>
      </c>
      <c r="L163" s="50">
        <f>VLOOKUP($A163,'Data shares'!$C:$FB,61)*100</f>
        <v>11.360000000000001</v>
      </c>
      <c r="M163" s="49">
        <f>VLOOKUP($A163,'Data shares'!$C:$FB,62)</f>
        <v>1591200</v>
      </c>
      <c r="N163" s="49">
        <f>VLOOKUP($A163,'Data shares'!$C:$FB,63)</f>
        <v>1197000</v>
      </c>
      <c r="O163" s="140">
        <f>VLOOKUP($A163,'Data shares'!$C:$FB,65)*100</f>
        <v>32.93</v>
      </c>
    </row>
    <row r="164" spans="1:15" x14ac:dyDescent="0.25">
      <c r="A164" s="101" t="str">
        <f>'Data shares'!C159</f>
        <v>PFC</v>
      </c>
      <c r="B164" s="50">
        <f>VLOOKUP($A164,'Data shares'!$C:$FB,7)</f>
        <v>403.85</v>
      </c>
      <c r="C164" s="50">
        <f>VLOOKUP($A164,'Data shares'!$C:$FB,10)*100</f>
        <v>0.37</v>
      </c>
      <c r="D164" s="49">
        <f>VLOOKUP($A164,'Data shares'!$C:$FB,66)</f>
        <v>34078200</v>
      </c>
      <c r="E164" s="49">
        <f>VLOOKUP($A164,'Data shares'!$C:$FB,67)</f>
        <v>29528200</v>
      </c>
      <c r="F164" s="50">
        <f>VLOOKUP($A164,'Data shares'!$C:$FB,69)*100</f>
        <v>15.409999999999998</v>
      </c>
      <c r="G164" s="49">
        <f>VLOOKUP($A164,'Data shares'!$C:$FB,42)</f>
        <v>6650800</v>
      </c>
      <c r="H164" s="49">
        <f>VLOOKUP($A164,'Data shares'!$C:$FB,43)</f>
        <v>5716100</v>
      </c>
      <c r="I164" s="50">
        <f>VLOOKUP($A164,'Data shares'!$C:$FB,45)*100</f>
        <v>16.350000000000001</v>
      </c>
      <c r="J164" s="49">
        <f>VLOOKUP($A164,'Data shares'!$C:$FB,58)</f>
        <v>17078100</v>
      </c>
      <c r="K164" s="49">
        <f>VLOOKUP($A164,'Data shares'!$C:$FB,59)</f>
        <v>15720900</v>
      </c>
      <c r="L164" s="50">
        <f>VLOOKUP($A164,'Data shares'!$C:$FB,61)*100</f>
        <v>8.6300000000000008</v>
      </c>
      <c r="M164" s="49">
        <f>VLOOKUP($A164,'Data shares'!$C:$FB,62)</f>
        <v>10349300</v>
      </c>
      <c r="N164" s="49">
        <f>VLOOKUP($A164,'Data shares'!$C:$FB,63)</f>
        <v>8091200</v>
      </c>
      <c r="O164" s="140">
        <f>VLOOKUP($A164,'Data shares'!$C:$FB,65)*100</f>
        <v>27.91</v>
      </c>
    </row>
    <row r="165" spans="1:15" x14ac:dyDescent="0.25">
      <c r="A165" s="101" t="str">
        <f>'Data shares'!C160</f>
        <v>PGEL</v>
      </c>
      <c r="B165" s="50">
        <f>VLOOKUP($A165,'Data shares'!$C:$FB,7)</f>
        <v>585.95000000000005</v>
      </c>
      <c r="C165" s="50">
        <f>VLOOKUP($A165,'Data shares'!$C:$FB,10)*100</f>
        <v>5.93</v>
      </c>
      <c r="D165" s="49">
        <f>VLOOKUP($A165,'Data shares'!$C:$FB,66)</f>
        <v>76208300</v>
      </c>
      <c r="E165" s="49">
        <f>VLOOKUP($A165,'Data shares'!$C:$FB,67)</f>
        <v>74383400</v>
      </c>
      <c r="F165" s="50">
        <f>VLOOKUP($A165,'Data shares'!$C:$FB,69)*100</f>
        <v>2.4500000000000002</v>
      </c>
      <c r="G165" s="49">
        <f>VLOOKUP($A165,'Data shares'!$C:$FB,42)</f>
        <v>8724100</v>
      </c>
      <c r="H165" s="49">
        <f>VLOOKUP($A165,'Data shares'!$C:$FB,43)</f>
        <v>9684500</v>
      </c>
      <c r="I165" s="50">
        <f>VLOOKUP($A165,'Data shares'!$C:$FB,45)*100</f>
        <v>-9.92</v>
      </c>
      <c r="J165" s="49">
        <f>VLOOKUP($A165,'Data shares'!$C:$FB,58)</f>
        <v>49247800</v>
      </c>
      <c r="K165" s="49">
        <f>VLOOKUP($A165,'Data shares'!$C:$FB,59)</f>
        <v>48708100</v>
      </c>
      <c r="L165" s="50">
        <f>VLOOKUP($A165,'Data shares'!$C:$FB,61)*100</f>
        <v>1.1100000000000001</v>
      </c>
      <c r="M165" s="49">
        <f>VLOOKUP($A165,'Data shares'!$C:$FB,62)</f>
        <v>18236400</v>
      </c>
      <c r="N165" s="49">
        <f>VLOOKUP($A165,'Data shares'!$C:$FB,63)</f>
        <v>15990800</v>
      </c>
      <c r="O165" s="140">
        <f>VLOOKUP($A165,'Data shares'!$C:$FB,65)*100</f>
        <v>14.04</v>
      </c>
    </row>
    <row r="166" spans="1:15" x14ac:dyDescent="0.25">
      <c r="A166" s="101" t="str">
        <f>'Data shares'!C161</f>
        <v>PHOENIXLTD</v>
      </c>
      <c r="B166" s="50">
        <f>VLOOKUP($A166,'Data shares'!$C:$FB,7)</f>
        <v>1597.8</v>
      </c>
      <c r="C166" s="50">
        <f>VLOOKUP($A166,'Data shares'!$C:$FB,10)*100</f>
        <v>0.25</v>
      </c>
      <c r="D166" s="49">
        <f>VLOOKUP($A166,'Data shares'!$C:$FB,66)</f>
        <v>2152850</v>
      </c>
      <c r="E166" s="49">
        <f>VLOOKUP($A166,'Data shares'!$C:$FB,67)</f>
        <v>1381100</v>
      </c>
      <c r="F166" s="50">
        <f>VLOOKUP($A166,'Data shares'!$C:$FB,69)*100</f>
        <v>55.879999999999995</v>
      </c>
      <c r="G166" s="49">
        <f>VLOOKUP($A166,'Data shares'!$C:$FB,42)</f>
        <v>439950</v>
      </c>
      <c r="H166" s="49">
        <f>VLOOKUP($A166,'Data shares'!$C:$FB,43)</f>
        <v>484050</v>
      </c>
      <c r="I166" s="50">
        <f>VLOOKUP($A166,'Data shares'!$C:$FB,45)*100</f>
        <v>-9.11</v>
      </c>
      <c r="J166" s="49">
        <f>VLOOKUP($A166,'Data shares'!$C:$FB,58)</f>
        <v>1109500</v>
      </c>
      <c r="K166" s="49">
        <f>VLOOKUP($A166,'Data shares'!$C:$FB,59)</f>
        <v>644350</v>
      </c>
      <c r="L166" s="50">
        <f>VLOOKUP($A166,'Data shares'!$C:$FB,61)*100</f>
        <v>72.19</v>
      </c>
      <c r="M166" s="49">
        <f>VLOOKUP($A166,'Data shares'!$C:$FB,62)</f>
        <v>603400</v>
      </c>
      <c r="N166" s="49">
        <f>VLOOKUP($A166,'Data shares'!$C:$FB,63)</f>
        <v>252700</v>
      </c>
      <c r="O166" s="140">
        <f>VLOOKUP($A166,'Data shares'!$C:$FB,65)*100</f>
        <v>138.78</v>
      </c>
    </row>
    <row r="167" spans="1:15" x14ac:dyDescent="0.25">
      <c r="A167" s="101" t="str">
        <f>'Data shares'!C162</f>
        <v>PIDILITIND</v>
      </c>
      <c r="B167" s="50">
        <f>VLOOKUP($A167,'Data shares'!$C:$FB,7)</f>
        <v>1510.6</v>
      </c>
      <c r="C167" s="50">
        <f>VLOOKUP($A167,'Data shares'!$C:$FB,10)*100</f>
        <v>0.01</v>
      </c>
      <c r="D167" s="49">
        <f>VLOOKUP($A167,'Data shares'!$C:$FB,66)</f>
        <v>2939500</v>
      </c>
      <c r="E167" s="49">
        <f>VLOOKUP($A167,'Data shares'!$C:$FB,67)</f>
        <v>6069000</v>
      </c>
      <c r="F167" s="50">
        <f>VLOOKUP($A167,'Data shares'!$C:$FB,69)*100</f>
        <v>-51.570000000000007</v>
      </c>
      <c r="G167" s="49">
        <f>VLOOKUP($A167,'Data shares'!$C:$FB,42)</f>
        <v>906000</v>
      </c>
      <c r="H167" s="49">
        <f>VLOOKUP($A167,'Data shares'!$C:$FB,43)</f>
        <v>1480000</v>
      </c>
      <c r="I167" s="50">
        <f>VLOOKUP($A167,'Data shares'!$C:$FB,45)*100</f>
        <v>-38.78</v>
      </c>
      <c r="J167" s="49">
        <f>VLOOKUP($A167,'Data shares'!$C:$FB,58)</f>
        <v>1510500</v>
      </c>
      <c r="K167" s="49">
        <f>VLOOKUP($A167,'Data shares'!$C:$FB,59)</f>
        <v>3434000</v>
      </c>
      <c r="L167" s="50">
        <f>VLOOKUP($A167,'Data shares'!$C:$FB,61)*100</f>
        <v>-56.010000000000005</v>
      </c>
      <c r="M167" s="49">
        <f>VLOOKUP($A167,'Data shares'!$C:$FB,62)</f>
        <v>523000</v>
      </c>
      <c r="N167" s="49">
        <f>VLOOKUP($A167,'Data shares'!$C:$FB,63)</f>
        <v>1155000</v>
      </c>
      <c r="O167" s="140">
        <f>VLOOKUP($A167,'Data shares'!$C:$FB,65)*100</f>
        <v>-54.72</v>
      </c>
    </row>
    <row r="168" spans="1:15" x14ac:dyDescent="0.25">
      <c r="A168" s="101" t="str">
        <f>'Data shares'!C163</f>
        <v>PIIND</v>
      </c>
      <c r="B168" s="50">
        <f>VLOOKUP($A168,'Data shares'!$C:$FB,7)</f>
        <v>3564.6</v>
      </c>
      <c r="C168" s="50">
        <f>VLOOKUP($A168,'Data shares'!$C:$FB,10)*100</f>
        <v>0.92999999999999994</v>
      </c>
      <c r="D168" s="49">
        <f>VLOOKUP($A168,'Data shares'!$C:$FB,66)</f>
        <v>1832950</v>
      </c>
      <c r="E168" s="49">
        <f>VLOOKUP($A168,'Data shares'!$C:$FB,67)</f>
        <v>524125</v>
      </c>
      <c r="F168" s="50">
        <f>VLOOKUP($A168,'Data shares'!$C:$FB,69)*100</f>
        <v>249.72</v>
      </c>
      <c r="G168" s="49">
        <f>VLOOKUP($A168,'Data shares'!$C:$FB,42)</f>
        <v>690900</v>
      </c>
      <c r="H168" s="49">
        <f>VLOOKUP($A168,'Data shares'!$C:$FB,43)</f>
        <v>173425</v>
      </c>
      <c r="I168" s="50">
        <f>VLOOKUP($A168,'Data shares'!$C:$FB,45)*100</f>
        <v>298.39000000000004</v>
      </c>
      <c r="J168" s="49">
        <f>VLOOKUP($A168,'Data shares'!$C:$FB,58)</f>
        <v>900375</v>
      </c>
      <c r="K168" s="49">
        <f>VLOOKUP($A168,'Data shares'!$C:$FB,59)</f>
        <v>280875</v>
      </c>
      <c r="L168" s="50">
        <f>VLOOKUP($A168,'Data shares'!$C:$FB,61)*100</f>
        <v>220.56</v>
      </c>
      <c r="M168" s="49">
        <f>VLOOKUP($A168,'Data shares'!$C:$FB,62)</f>
        <v>241675</v>
      </c>
      <c r="N168" s="49">
        <f>VLOOKUP($A168,'Data shares'!$C:$FB,63)</f>
        <v>69825</v>
      </c>
      <c r="O168" s="140">
        <f>VLOOKUP($A168,'Data shares'!$C:$FB,65)*100</f>
        <v>246.11999999999998</v>
      </c>
    </row>
    <row r="169" spans="1:15" x14ac:dyDescent="0.25">
      <c r="A169" s="101" t="str">
        <f>'Data shares'!C164</f>
        <v>PNB</v>
      </c>
      <c r="B169" s="50">
        <f>VLOOKUP($A169,'Data shares'!$C:$FB,7)</f>
        <v>117.24</v>
      </c>
      <c r="C169" s="50">
        <f>VLOOKUP($A169,'Data shares'!$C:$FB,10)*100</f>
        <v>2.5700000000000003</v>
      </c>
      <c r="D169" s="49">
        <f>VLOOKUP($A169,'Data shares'!$C:$FB,66)</f>
        <v>655176000</v>
      </c>
      <c r="E169" s="49">
        <f>VLOOKUP($A169,'Data shares'!$C:$FB,67)</f>
        <v>190520000</v>
      </c>
      <c r="F169" s="50">
        <f>VLOOKUP($A169,'Data shares'!$C:$FB,69)*100</f>
        <v>243.89</v>
      </c>
      <c r="G169" s="49">
        <f>VLOOKUP($A169,'Data shares'!$C:$FB,42)</f>
        <v>95776000</v>
      </c>
      <c r="H169" s="49">
        <f>VLOOKUP($A169,'Data shares'!$C:$FB,43)</f>
        <v>35792000</v>
      </c>
      <c r="I169" s="50">
        <f>VLOOKUP($A169,'Data shares'!$C:$FB,45)*100</f>
        <v>167.59</v>
      </c>
      <c r="J169" s="49">
        <f>VLOOKUP($A169,'Data shares'!$C:$FB,58)</f>
        <v>380840000</v>
      </c>
      <c r="K169" s="49">
        <f>VLOOKUP($A169,'Data shares'!$C:$FB,59)</f>
        <v>101200000</v>
      </c>
      <c r="L169" s="50">
        <f>VLOOKUP($A169,'Data shares'!$C:$FB,61)*100</f>
        <v>276.32</v>
      </c>
      <c r="M169" s="49">
        <f>VLOOKUP($A169,'Data shares'!$C:$FB,62)</f>
        <v>178560000</v>
      </c>
      <c r="N169" s="49">
        <f>VLOOKUP($A169,'Data shares'!$C:$FB,63)</f>
        <v>53528000</v>
      </c>
      <c r="O169" s="140">
        <f>VLOOKUP($A169,'Data shares'!$C:$FB,65)*100</f>
        <v>233.57999999999998</v>
      </c>
    </row>
    <row r="170" spans="1:15" x14ac:dyDescent="0.25">
      <c r="A170" s="101" t="str">
        <f>'Data shares'!C165</f>
        <v>PNBHOUSING</v>
      </c>
      <c r="B170" s="50">
        <f>VLOOKUP($A170,'Data shares'!$C:$FB,7)</f>
        <v>853.6</v>
      </c>
      <c r="C170" s="50">
        <f>VLOOKUP($A170,'Data shares'!$C:$FB,10)*100</f>
        <v>-2.5700000000000003</v>
      </c>
      <c r="D170" s="49">
        <f>VLOOKUP($A170,'Data shares'!$C:$FB,66)</f>
        <v>6600100</v>
      </c>
      <c r="E170" s="49">
        <f>VLOOKUP($A170,'Data shares'!$C:$FB,67)</f>
        <v>4010500</v>
      </c>
      <c r="F170" s="50">
        <f>VLOOKUP($A170,'Data shares'!$C:$FB,69)*100</f>
        <v>64.570000000000007</v>
      </c>
      <c r="G170" s="49">
        <f>VLOOKUP($A170,'Data shares'!$C:$FB,42)</f>
        <v>2077400</v>
      </c>
      <c r="H170" s="49">
        <f>VLOOKUP($A170,'Data shares'!$C:$FB,43)</f>
        <v>1405950</v>
      </c>
      <c r="I170" s="50">
        <f>VLOOKUP($A170,'Data shares'!$C:$FB,45)*100</f>
        <v>47.760000000000005</v>
      </c>
      <c r="J170" s="49">
        <f>VLOOKUP($A170,'Data shares'!$C:$FB,58)</f>
        <v>3074500</v>
      </c>
      <c r="K170" s="49">
        <f>VLOOKUP($A170,'Data shares'!$C:$FB,59)</f>
        <v>1954550</v>
      </c>
      <c r="L170" s="50">
        <f>VLOOKUP($A170,'Data shares'!$C:$FB,61)*100</f>
        <v>57.3</v>
      </c>
      <c r="M170" s="49">
        <f>VLOOKUP($A170,'Data shares'!$C:$FB,62)</f>
        <v>1448200</v>
      </c>
      <c r="N170" s="49">
        <f>VLOOKUP($A170,'Data shares'!$C:$FB,63)</f>
        <v>650000</v>
      </c>
      <c r="O170" s="140">
        <f>VLOOKUP($A170,'Data shares'!$C:$FB,65)*100</f>
        <v>122.8</v>
      </c>
    </row>
    <row r="171" spans="1:15" x14ac:dyDescent="0.25">
      <c r="A171" s="101" t="str">
        <f>'Data shares'!C166</f>
        <v>POLICYBZR</v>
      </c>
      <c r="B171" s="50">
        <f>VLOOKUP($A171,'Data shares'!$C:$FB,7)</f>
        <v>1745.4</v>
      </c>
      <c r="C171" s="50">
        <f>VLOOKUP($A171,'Data shares'!$C:$FB,10)*100</f>
        <v>0.55999999999999994</v>
      </c>
      <c r="D171" s="49">
        <f>VLOOKUP($A171,'Data shares'!$C:$FB,66)</f>
        <v>3167150</v>
      </c>
      <c r="E171" s="49">
        <f>VLOOKUP($A171,'Data shares'!$C:$FB,67)</f>
        <v>8470350</v>
      </c>
      <c r="F171" s="50">
        <f>VLOOKUP($A171,'Data shares'!$C:$FB,69)*100</f>
        <v>-62.61</v>
      </c>
      <c r="G171" s="49">
        <f>VLOOKUP($A171,'Data shares'!$C:$FB,42)</f>
        <v>1069950</v>
      </c>
      <c r="H171" s="49">
        <f>VLOOKUP($A171,'Data shares'!$C:$FB,43)</f>
        <v>2510200</v>
      </c>
      <c r="I171" s="50">
        <f>VLOOKUP($A171,'Data shares'!$C:$FB,45)*100</f>
        <v>-57.379999999999995</v>
      </c>
      <c r="J171" s="49">
        <f>VLOOKUP($A171,'Data shares'!$C:$FB,58)</f>
        <v>1429050</v>
      </c>
      <c r="K171" s="49">
        <f>VLOOKUP($A171,'Data shares'!$C:$FB,59)</f>
        <v>3866800</v>
      </c>
      <c r="L171" s="50">
        <f>VLOOKUP($A171,'Data shares'!$C:$FB,61)*100</f>
        <v>-63.04</v>
      </c>
      <c r="M171" s="49">
        <f>VLOOKUP($A171,'Data shares'!$C:$FB,62)</f>
        <v>668150</v>
      </c>
      <c r="N171" s="49">
        <f>VLOOKUP($A171,'Data shares'!$C:$FB,63)</f>
        <v>2093350</v>
      </c>
      <c r="O171" s="140">
        <f>VLOOKUP($A171,'Data shares'!$C:$FB,65)*100</f>
        <v>-68.08</v>
      </c>
    </row>
    <row r="172" spans="1:15" x14ac:dyDescent="0.25">
      <c r="A172" s="101" t="str">
        <f>'Data shares'!C167</f>
        <v>POLYCAB</v>
      </c>
      <c r="B172" s="50">
        <f>VLOOKUP($A172,'Data shares'!$C:$FB,7)</f>
        <v>7730</v>
      </c>
      <c r="C172" s="50">
        <f>VLOOKUP($A172,'Data shares'!$C:$FB,10)*100</f>
        <v>1.3</v>
      </c>
      <c r="D172" s="49">
        <f>VLOOKUP($A172,'Data shares'!$C:$FB,66)</f>
        <v>4729250</v>
      </c>
      <c r="E172" s="49">
        <f>VLOOKUP($A172,'Data shares'!$C:$FB,67)</f>
        <v>1421125</v>
      </c>
      <c r="F172" s="50">
        <f>VLOOKUP($A172,'Data shares'!$C:$FB,69)*100</f>
        <v>232.77999999999997</v>
      </c>
      <c r="G172" s="49">
        <f>VLOOKUP($A172,'Data shares'!$C:$FB,42)</f>
        <v>536000</v>
      </c>
      <c r="H172" s="49">
        <f>VLOOKUP($A172,'Data shares'!$C:$FB,43)</f>
        <v>316750</v>
      </c>
      <c r="I172" s="50">
        <f>VLOOKUP($A172,'Data shares'!$C:$FB,45)*100</f>
        <v>69.22</v>
      </c>
      <c r="J172" s="49">
        <f>VLOOKUP($A172,'Data shares'!$C:$FB,58)</f>
        <v>3311250</v>
      </c>
      <c r="K172" s="49">
        <f>VLOOKUP($A172,'Data shares'!$C:$FB,59)</f>
        <v>662250</v>
      </c>
      <c r="L172" s="50">
        <f>VLOOKUP($A172,'Data shares'!$C:$FB,61)*100</f>
        <v>400</v>
      </c>
      <c r="M172" s="49">
        <f>VLOOKUP($A172,'Data shares'!$C:$FB,62)</f>
        <v>882000</v>
      </c>
      <c r="N172" s="49">
        <f>VLOOKUP($A172,'Data shares'!$C:$FB,63)</f>
        <v>442125</v>
      </c>
      <c r="O172" s="140">
        <f>VLOOKUP($A172,'Data shares'!$C:$FB,65)*100</f>
        <v>99.49</v>
      </c>
    </row>
    <row r="173" spans="1:15" x14ac:dyDescent="0.25">
      <c r="A173" s="101" t="str">
        <f>'Data shares'!C168</f>
        <v>POWERGRID</v>
      </c>
      <c r="B173" s="50">
        <f>VLOOKUP($A173,'Data shares'!$C:$FB,7)</f>
        <v>289.14999999999998</v>
      </c>
      <c r="C173" s="50">
        <f>VLOOKUP($A173,'Data shares'!$C:$FB,10)*100</f>
        <v>1.05</v>
      </c>
      <c r="D173" s="49">
        <f>VLOOKUP($A173,'Data shares'!$C:$FB,66)</f>
        <v>59435800</v>
      </c>
      <c r="E173" s="49">
        <f>VLOOKUP($A173,'Data shares'!$C:$FB,67)</f>
        <v>38497800</v>
      </c>
      <c r="F173" s="50">
        <f>VLOOKUP($A173,'Data shares'!$C:$FB,69)*100</f>
        <v>54.390000000000008</v>
      </c>
      <c r="G173" s="49">
        <f>VLOOKUP($A173,'Data shares'!$C:$FB,42)</f>
        <v>10351200</v>
      </c>
      <c r="H173" s="49">
        <f>VLOOKUP($A173,'Data shares'!$C:$FB,43)</f>
        <v>7548700</v>
      </c>
      <c r="I173" s="50">
        <f>VLOOKUP($A173,'Data shares'!$C:$FB,45)*100</f>
        <v>37.130000000000003</v>
      </c>
      <c r="J173" s="49">
        <f>VLOOKUP($A173,'Data shares'!$C:$FB,58)</f>
        <v>34663600</v>
      </c>
      <c r="K173" s="49">
        <f>VLOOKUP($A173,'Data shares'!$C:$FB,59)</f>
        <v>19509200</v>
      </c>
      <c r="L173" s="50">
        <f>VLOOKUP($A173,'Data shares'!$C:$FB,61)*100</f>
        <v>77.680000000000007</v>
      </c>
      <c r="M173" s="49">
        <f>VLOOKUP($A173,'Data shares'!$C:$FB,62)</f>
        <v>14421000</v>
      </c>
      <c r="N173" s="49">
        <f>VLOOKUP($A173,'Data shares'!$C:$FB,63)</f>
        <v>11439900</v>
      </c>
      <c r="O173" s="140">
        <f>VLOOKUP($A173,'Data shares'!$C:$FB,65)*100</f>
        <v>26.06</v>
      </c>
    </row>
    <row r="174" spans="1:15" x14ac:dyDescent="0.25">
      <c r="A174" s="101" t="str">
        <f>'Data shares'!C169</f>
        <v>POWERINDIA</v>
      </c>
      <c r="B174" s="50">
        <f>VLOOKUP($A174,'Data shares'!$C:$FB,7)</f>
        <v>17645</v>
      </c>
      <c r="C174" s="50">
        <f>VLOOKUP($A174,'Data shares'!$C:$FB,10)*100</f>
        <v>-0.49</v>
      </c>
      <c r="D174" s="49">
        <f>VLOOKUP($A174,'Data shares'!$C:$FB,66)</f>
        <v>43800</v>
      </c>
      <c r="E174" s="49">
        <f>VLOOKUP($A174,'Data shares'!$C:$FB,67)</f>
        <v>63500</v>
      </c>
      <c r="F174" s="50">
        <f>VLOOKUP($A174,'Data shares'!$C:$FB,69)*100</f>
        <v>-31.019999999999996</v>
      </c>
      <c r="G174" s="49">
        <f>VLOOKUP($A174,'Data shares'!$C:$FB,42)</f>
        <v>17100</v>
      </c>
      <c r="H174" s="49">
        <f>VLOOKUP($A174,'Data shares'!$C:$FB,43)</f>
        <v>17200</v>
      </c>
      <c r="I174" s="50">
        <f>VLOOKUP($A174,'Data shares'!$C:$FB,45)*100</f>
        <v>-0.57999999999999996</v>
      </c>
      <c r="J174" s="49">
        <f>VLOOKUP($A174,'Data shares'!$C:$FB,58)</f>
        <v>22450</v>
      </c>
      <c r="K174" s="49">
        <f>VLOOKUP($A174,'Data shares'!$C:$FB,59)</f>
        <v>37550</v>
      </c>
      <c r="L174" s="50">
        <f>VLOOKUP($A174,'Data shares'!$C:$FB,61)*100</f>
        <v>-40.21</v>
      </c>
      <c r="M174" s="49">
        <f>VLOOKUP($A174,'Data shares'!$C:$FB,62)</f>
        <v>4250</v>
      </c>
      <c r="N174" s="49">
        <f>VLOOKUP($A174,'Data shares'!$C:$FB,63)</f>
        <v>8750</v>
      </c>
      <c r="O174" s="140">
        <f>VLOOKUP($A174,'Data shares'!$C:$FB,65)*100</f>
        <v>-51.43</v>
      </c>
    </row>
    <row r="175" spans="1:15" x14ac:dyDescent="0.25">
      <c r="A175" s="101" t="str">
        <f>'Data shares'!C170</f>
        <v>PPLPHARMA</v>
      </c>
      <c r="B175" s="50">
        <f>VLOOKUP($A175,'Data shares'!$C:$FB,7)</f>
        <v>201.69</v>
      </c>
      <c r="C175" s="50">
        <f>VLOOKUP($A175,'Data shares'!$C:$FB,10)*100</f>
        <v>2.0299999999999998</v>
      </c>
      <c r="D175" s="49">
        <f>VLOOKUP($A175,'Data shares'!$C:$FB,66)</f>
        <v>76282500</v>
      </c>
      <c r="E175" s="49">
        <f>VLOOKUP($A175,'Data shares'!$C:$FB,67)</f>
        <v>26160000</v>
      </c>
      <c r="F175" s="50">
        <f>VLOOKUP($A175,'Data shares'!$C:$FB,69)*100</f>
        <v>191.6</v>
      </c>
      <c r="G175" s="49">
        <f>VLOOKUP($A175,'Data shares'!$C:$FB,42)</f>
        <v>14825000</v>
      </c>
      <c r="H175" s="49">
        <f>VLOOKUP($A175,'Data shares'!$C:$FB,43)</f>
        <v>5612500</v>
      </c>
      <c r="I175" s="50">
        <f>VLOOKUP($A175,'Data shares'!$C:$FB,45)*100</f>
        <v>164.14</v>
      </c>
      <c r="J175" s="49">
        <f>VLOOKUP($A175,'Data shares'!$C:$FB,58)</f>
        <v>43750000</v>
      </c>
      <c r="K175" s="49">
        <f>VLOOKUP($A175,'Data shares'!$C:$FB,59)</f>
        <v>15985000</v>
      </c>
      <c r="L175" s="50">
        <f>VLOOKUP($A175,'Data shares'!$C:$FB,61)*100</f>
        <v>173.69</v>
      </c>
      <c r="M175" s="49">
        <f>VLOOKUP($A175,'Data shares'!$C:$FB,62)</f>
        <v>17707500</v>
      </c>
      <c r="N175" s="49">
        <f>VLOOKUP($A175,'Data shares'!$C:$FB,63)</f>
        <v>4562500</v>
      </c>
      <c r="O175" s="140">
        <f>VLOOKUP($A175,'Data shares'!$C:$FB,65)*100</f>
        <v>288.11</v>
      </c>
    </row>
    <row r="176" spans="1:15" x14ac:dyDescent="0.25">
      <c r="A176" s="101" t="str">
        <f>'Data shares'!C171</f>
        <v>PRESTIGE</v>
      </c>
      <c r="B176" s="50">
        <f>VLOOKUP($A176,'Data shares'!$C:$FB,7)</f>
        <v>1621.6</v>
      </c>
      <c r="C176" s="50">
        <f>VLOOKUP($A176,'Data shares'!$C:$FB,10)*100</f>
        <v>2.44</v>
      </c>
      <c r="D176" s="49">
        <f>VLOOKUP($A176,'Data shares'!$C:$FB,66)</f>
        <v>12829500</v>
      </c>
      <c r="E176" s="49">
        <f>VLOOKUP($A176,'Data shares'!$C:$FB,67)</f>
        <v>21714750</v>
      </c>
      <c r="F176" s="50">
        <f>VLOOKUP($A176,'Data shares'!$C:$FB,69)*100</f>
        <v>-40.92</v>
      </c>
      <c r="G176" s="49">
        <f>VLOOKUP($A176,'Data shares'!$C:$FB,42)</f>
        <v>1628100</v>
      </c>
      <c r="H176" s="49">
        <f>VLOOKUP($A176,'Data shares'!$C:$FB,43)</f>
        <v>3181950</v>
      </c>
      <c r="I176" s="50">
        <f>VLOOKUP($A176,'Data shares'!$C:$FB,45)*100</f>
        <v>-48.83</v>
      </c>
      <c r="J176" s="49">
        <f>VLOOKUP($A176,'Data shares'!$C:$FB,58)</f>
        <v>8223750</v>
      </c>
      <c r="K176" s="49">
        <f>VLOOKUP($A176,'Data shares'!$C:$FB,59)</f>
        <v>13000950</v>
      </c>
      <c r="L176" s="50">
        <f>VLOOKUP($A176,'Data shares'!$C:$FB,61)*100</f>
        <v>-36.75</v>
      </c>
      <c r="M176" s="49">
        <f>VLOOKUP($A176,'Data shares'!$C:$FB,62)</f>
        <v>2977650</v>
      </c>
      <c r="N176" s="49">
        <f>VLOOKUP($A176,'Data shares'!$C:$FB,63)</f>
        <v>5531850</v>
      </c>
      <c r="O176" s="140">
        <f>VLOOKUP($A176,'Data shares'!$C:$FB,65)*100</f>
        <v>-46.17</v>
      </c>
    </row>
    <row r="177" spans="1:15" x14ac:dyDescent="0.25">
      <c r="A177" s="101" t="str">
        <f>'Data shares'!C172</f>
        <v>RBLBANK</v>
      </c>
      <c r="B177" s="50">
        <f>VLOOKUP($A177,'Data shares'!$C:$FB,7)</f>
        <v>291.60000000000002</v>
      </c>
      <c r="C177" s="50">
        <f>VLOOKUP($A177,'Data shares'!$C:$FB,10)*100</f>
        <v>1.71</v>
      </c>
      <c r="D177" s="49">
        <f>VLOOKUP($A177,'Data shares'!$C:$FB,66)</f>
        <v>2266950</v>
      </c>
      <c r="E177" s="49">
        <f>VLOOKUP($A177,'Data shares'!$C:$FB,67)</f>
        <v>1498600</v>
      </c>
      <c r="F177" s="50">
        <f>VLOOKUP($A177,'Data shares'!$C:$FB,69)*100</f>
        <v>51.27</v>
      </c>
      <c r="G177" s="49">
        <f>VLOOKUP($A177,'Data shares'!$C:$FB,42)</f>
        <v>1279525</v>
      </c>
      <c r="H177" s="49">
        <f>VLOOKUP($A177,'Data shares'!$C:$FB,43)</f>
        <v>942975</v>
      </c>
      <c r="I177" s="50">
        <f>VLOOKUP($A177,'Data shares'!$C:$FB,45)*100</f>
        <v>35.69</v>
      </c>
      <c r="J177" s="49">
        <f>VLOOKUP($A177,'Data shares'!$C:$FB,58)</f>
        <v>695325</v>
      </c>
      <c r="K177" s="49">
        <f>VLOOKUP($A177,'Data shares'!$C:$FB,59)</f>
        <v>387350</v>
      </c>
      <c r="L177" s="50">
        <f>VLOOKUP($A177,'Data shares'!$C:$FB,61)*100</f>
        <v>79.510000000000005</v>
      </c>
      <c r="M177" s="49">
        <f>VLOOKUP($A177,'Data shares'!$C:$FB,62)</f>
        <v>292100</v>
      </c>
      <c r="N177" s="49">
        <f>VLOOKUP($A177,'Data shares'!$C:$FB,63)</f>
        <v>168275</v>
      </c>
      <c r="O177" s="140">
        <f>VLOOKUP($A177,'Data shares'!$C:$FB,65)*100</f>
        <v>73.58</v>
      </c>
    </row>
    <row r="178" spans="1:15" x14ac:dyDescent="0.25">
      <c r="A178" s="101" t="str">
        <f>'Data shares'!C173</f>
        <v>RECLTD</v>
      </c>
      <c r="B178" s="50">
        <f>VLOOKUP($A178,'Data shares'!$C:$FB,7)</f>
        <v>372.95</v>
      </c>
      <c r="C178" s="50">
        <f>VLOOKUP($A178,'Data shares'!$C:$FB,10)*100</f>
        <v>0.36</v>
      </c>
      <c r="D178" s="49">
        <f>VLOOKUP($A178,'Data shares'!$C:$FB,66)</f>
        <v>32944725</v>
      </c>
      <c r="E178" s="49">
        <f>VLOOKUP($A178,'Data shares'!$C:$FB,67)</f>
        <v>23257275</v>
      </c>
      <c r="F178" s="50">
        <f>VLOOKUP($A178,'Data shares'!$C:$FB,69)*100</f>
        <v>41.65</v>
      </c>
      <c r="G178" s="49">
        <f>VLOOKUP($A178,'Data shares'!$C:$FB,42)</f>
        <v>10398900</v>
      </c>
      <c r="H178" s="49">
        <f>VLOOKUP($A178,'Data shares'!$C:$FB,43)</f>
        <v>5676300</v>
      </c>
      <c r="I178" s="50">
        <f>VLOOKUP($A178,'Data shares'!$C:$FB,45)*100</f>
        <v>83.2</v>
      </c>
      <c r="J178" s="49">
        <f>VLOOKUP($A178,'Data shares'!$C:$FB,58)</f>
        <v>16105800</v>
      </c>
      <c r="K178" s="49">
        <f>VLOOKUP($A178,'Data shares'!$C:$FB,59)</f>
        <v>12236175</v>
      </c>
      <c r="L178" s="50">
        <f>VLOOKUP($A178,'Data shares'!$C:$FB,61)*100</f>
        <v>31.619999999999997</v>
      </c>
      <c r="M178" s="49">
        <f>VLOOKUP($A178,'Data shares'!$C:$FB,62)</f>
        <v>6440025</v>
      </c>
      <c r="N178" s="49">
        <f>VLOOKUP($A178,'Data shares'!$C:$FB,63)</f>
        <v>5344800</v>
      </c>
      <c r="O178" s="140">
        <f>VLOOKUP($A178,'Data shares'!$C:$FB,65)*100</f>
        <v>20.49</v>
      </c>
    </row>
    <row r="179" spans="1:15" x14ac:dyDescent="0.25">
      <c r="A179" s="101" t="str">
        <f>'Data shares'!C174</f>
        <v>RELIANCE</v>
      </c>
      <c r="B179" s="50">
        <f>VLOOKUP($A179,'Data shares'!$C:$FB,7)</f>
        <v>1381.7</v>
      </c>
      <c r="C179" s="50">
        <f>VLOOKUP($A179,'Data shares'!$C:$FB,10)*100</f>
        <v>0.27999999999999997</v>
      </c>
      <c r="D179" s="49">
        <f>VLOOKUP($A179,'Data shares'!$C:$FB,66)</f>
        <v>64844000</v>
      </c>
      <c r="E179" s="49">
        <f>VLOOKUP($A179,'Data shares'!$C:$FB,67)</f>
        <v>75457500</v>
      </c>
      <c r="F179" s="50">
        <f>VLOOKUP($A179,'Data shares'!$C:$FB,69)*100</f>
        <v>-14.069999999999999</v>
      </c>
      <c r="G179" s="49">
        <f>VLOOKUP($A179,'Data shares'!$C:$FB,42)</f>
        <v>10952000</v>
      </c>
      <c r="H179" s="49">
        <f>VLOOKUP($A179,'Data shares'!$C:$FB,43)</f>
        <v>11281500</v>
      </c>
      <c r="I179" s="50">
        <f>VLOOKUP($A179,'Data shares'!$C:$FB,45)*100</f>
        <v>-2.92</v>
      </c>
      <c r="J179" s="49">
        <f>VLOOKUP($A179,'Data shares'!$C:$FB,58)</f>
        <v>35249500</v>
      </c>
      <c r="K179" s="49">
        <f>VLOOKUP($A179,'Data shares'!$C:$FB,59)</f>
        <v>41011500</v>
      </c>
      <c r="L179" s="50">
        <f>VLOOKUP($A179,'Data shares'!$C:$FB,61)*100</f>
        <v>-14.05</v>
      </c>
      <c r="M179" s="49">
        <f>VLOOKUP($A179,'Data shares'!$C:$FB,62)</f>
        <v>18642500</v>
      </c>
      <c r="N179" s="49">
        <f>VLOOKUP($A179,'Data shares'!$C:$FB,63)</f>
        <v>23164500</v>
      </c>
      <c r="O179" s="140">
        <f>VLOOKUP($A179,'Data shares'!$C:$FB,65)*100</f>
        <v>-19.52</v>
      </c>
    </row>
    <row r="180" spans="1:15" x14ac:dyDescent="0.25">
      <c r="A180" s="101" t="str">
        <f>'Data shares'!C175</f>
        <v>RVNL</v>
      </c>
      <c r="B180" s="50">
        <f>VLOOKUP($A180,'Data shares'!$C:$FB,7)</f>
        <v>342</v>
      </c>
      <c r="C180" s="50">
        <f>VLOOKUP($A180,'Data shares'!$C:$FB,10)*100</f>
        <v>-0.70000000000000007</v>
      </c>
      <c r="D180" s="49">
        <f>VLOOKUP($A180,'Data shares'!$C:$FB,66)</f>
        <v>18756375</v>
      </c>
      <c r="E180" s="49">
        <f>VLOOKUP($A180,'Data shares'!$C:$FB,67)</f>
        <v>28730625</v>
      </c>
      <c r="F180" s="50">
        <f>VLOOKUP($A180,'Data shares'!$C:$FB,69)*100</f>
        <v>-34.72</v>
      </c>
      <c r="G180" s="49">
        <f>VLOOKUP($A180,'Data shares'!$C:$FB,42)</f>
        <v>5075125</v>
      </c>
      <c r="H180" s="49">
        <f>VLOOKUP($A180,'Data shares'!$C:$FB,43)</f>
        <v>6572500</v>
      </c>
      <c r="I180" s="50">
        <f>VLOOKUP($A180,'Data shares'!$C:$FB,45)*100</f>
        <v>-22.78</v>
      </c>
      <c r="J180" s="49">
        <f>VLOOKUP($A180,'Data shares'!$C:$FB,58)</f>
        <v>10506375</v>
      </c>
      <c r="K180" s="49">
        <f>VLOOKUP($A180,'Data shares'!$C:$FB,59)</f>
        <v>17403375</v>
      </c>
      <c r="L180" s="50">
        <f>VLOOKUP($A180,'Data shares'!$C:$FB,61)*100</f>
        <v>-39.629999999999995</v>
      </c>
      <c r="M180" s="49">
        <f>VLOOKUP($A180,'Data shares'!$C:$FB,62)</f>
        <v>3174875</v>
      </c>
      <c r="N180" s="49">
        <f>VLOOKUP($A180,'Data shares'!$C:$FB,63)</f>
        <v>4754750</v>
      </c>
      <c r="O180" s="140">
        <f>VLOOKUP($A180,'Data shares'!$C:$FB,65)*100</f>
        <v>-33.229999999999997</v>
      </c>
    </row>
    <row r="181" spans="1:15" x14ac:dyDescent="0.25">
      <c r="A181" s="101" t="str">
        <f>'Data shares'!C176</f>
        <v>SAIL</v>
      </c>
      <c r="B181" s="50">
        <f>VLOOKUP($A181,'Data shares'!$C:$FB,7)</f>
        <v>132.16999999999999</v>
      </c>
      <c r="C181" s="50">
        <f>VLOOKUP($A181,'Data shares'!$C:$FB,10)*100</f>
        <v>-3.1399999999999997</v>
      </c>
      <c r="D181" s="49">
        <f>VLOOKUP($A181,'Data shares'!$C:$FB,66)</f>
        <v>146541300</v>
      </c>
      <c r="E181" s="49">
        <f>VLOOKUP($A181,'Data shares'!$C:$FB,67)</f>
        <v>261799400</v>
      </c>
      <c r="F181" s="50">
        <f>VLOOKUP($A181,'Data shares'!$C:$FB,69)*100</f>
        <v>-44.03</v>
      </c>
      <c r="G181" s="49">
        <f>VLOOKUP($A181,'Data shares'!$C:$FB,42)</f>
        <v>38502400</v>
      </c>
      <c r="H181" s="49">
        <f>VLOOKUP($A181,'Data shares'!$C:$FB,43)</f>
        <v>63515800</v>
      </c>
      <c r="I181" s="50">
        <f>VLOOKUP($A181,'Data shares'!$C:$FB,45)*100</f>
        <v>-39.379999999999995</v>
      </c>
      <c r="J181" s="49">
        <f>VLOOKUP($A181,'Data shares'!$C:$FB,58)</f>
        <v>76981300</v>
      </c>
      <c r="K181" s="49">
        <f>VLOOKUP($A181,'Data shares'!$C:$FB,59)</f>
        <v>131285100</v>
      </c>
      <c r="L181" s="50">
        <f>VLOOKUP($A181,'Data shares'!$C:$FB,61)*100</f>
        <v>-41.36</v>
      </c>
      <c r="M181" s="49">
        <f>VLOOKUP($A181,'Data shares'!$C:$FB,62)</f>
        <v>31057600</v>
      </c>
      <c r="N181" s="49">
        <f>VLOOKUP($A181,'Data shares'!$C:$FB,63)</f>
        <v>66998500</v>
      </c>
      <c r="O181" s="140">
        <f>VLOOKUP($A181,'Data shares'!$C:$FB,65)*100</f>
        <v>-53.64</v>
      </c>
    </row>
    <row r="182" spans="1:15" x14ac:dyDescent="0.25">
      <c r="A182" s="101" t="str">
        <f>'Data shares'!C177</f>
        <v>SAMMAANCAP</v>
      </c>
      <c r="B182" s="50">
        <f>VLOOKUP($A182,'Data shares'!$C:$FB,7)</f>
        <v>162.22</v>
      </c>
      <c r="C182" s="50">
        <f>VLOOKUP($A182,'Data shares'!$C:$FB,10)*100</f>
        <v>0.72</v>
      </c>
      <c r="D182" s="49">
        <f>VLOOKUP($A182,'Data shares'!$C:$FB,66)</f>
        <v>96702700</v>
      </c>
      <c r="E182" s="49">
        <f>VLOOKUP($A182,'Data shares'!$C:$FB,67)</f>
        <v>46435700</v>
      </c>
      <c r="F182" s="50">
        <f>VLOOKUP($A182,'Data shares'!$C:$FB,69)*100</f>
        <v>108.25</v>
      </c>
      <c r="G182" s="49">
        <f>VLOOKUP($A182,'Data shares'!$C:$FB,42)</f>
        <v>24591700</v>
      </c>
      <c r="H182" s="49">
        <f>VLOOKUP($A182,'Data shares'!$C:$FB,43)</f>
        <v>14073900</v>
      </c>
      <c r="I182" s="50">
        <f>VLOOKUP($A182,'Data shares'!$C:$FB,45)*100</f>
        <v>74.72999999999999</v>
      </c>
      <c r="J182" s="49">
        <f>VLOOKUP($A182,'Data shares'!$C:$FB,58)</f>
        <v>48108400</v>
      </c>
      <c r="K182" s="49">
        <f>VLOOKUP($A182,'Data shares'!$C:$FB,59)</f>
        <v>18872700</v>
      </c>
      <c r="L182" s="50">
        <f>VLOOKUP($A182,'Data shares'!$C:$FB,61)*100</f>
        <v>154.91</v>
      </c>
      <c r="M182" s="49">
        <f>VLOOKUP($A182,'Data shares'!$C:$FB,62)</f>
        <v>24002600</v>
      </c>
      <c r="N182" s="49">
        <f>VLOOKUP($A182,'Data shares'!$C:$FB,63)</f>
        <v>13489100</v>
      </c>
      <c r="O182" s="140">
        <f>VLOOKUP($A182,'Data shares'!$C:$FB,65)*100</f>
        <v>77.94</v>
      </c>
    </row>
    <row r="183" spans="1:15" x14ac:dyDescent="0.25">
      <c r="A183" s="101" t="str">
        <f>'Data shares'!C178</f>
        <v>SBICARD</v>
      </c>
      <c r="B183" s="50">
        <f>VLOOKUP($A183,'Data shares'!$C:$FB,7)</f>
        <v>921.75</v>
      </c>
      <c r="C183" s="50">
        <f>VLOOKUP($A183,'Data shares'!$C:$FB,10)*100</f>
        <v>-0.15</v>
      </c>
      <c r="D183" s="49">
        <f>VLOOKUP($A183,'Data shares'!$C:$FB,66)</f>
        <v>11016800</v>
      </c>
      <c r="E183" s="49">
        <f>VLOOKUP($A183,'Data shares'!$C:$FB,67)</f>
        <v>11359200</v>
      </c>
      <c r="F183" s="50">
        <f>VLOOKUP($A183,'Data shares'!$C:$FB,69)*100</f>
        <v>-3.01</v>
      </c>
      <c r="G183" s="49">
        <f>VLOOKUP($A183,'Data shares'!$C:$FB,42)</f>
        <v>2750400</v>
      </c>
      <c r="H183" s="49">
        <f>VLOOKUP($A183,'Data shares'!$C:$FB,43)</f>
        <v>2456800</v>
      </c>
      <c r="I183" s="50">
        <f>VLOOKUP($A183,'Data shares'!$C:$FB,45)*100</f>
        <v>11.95</v>
      </c>
      <c r="J183" s="49">
        <f>VLOOKUP($A183,'Data shares'!$C:$FB,58)</f>
        <v>5612800</v>
      </c>
      <c r="K183" s="49">
        <f>VLOOKUP($A183,'Data shares'!$C:$FB,59)</f>
        <v>5753600</v>
      </c>
      <c r="L183" s="50">
        <f>VLOOKUP($A183,'Data shares'!$C:$FB,61)*100</f>
        <v>-2.4500000000000002</v>
      </c>
      <c r="M183" s="49">
        <f>VLOOKUP($A183,'Data shares'!$C:$FB,62)</f>
        <v>2653600</v>
      </c>
      <c r="N183" s="49">
        <f>VLOOKUP($A183,'Data shares'!$C:$FB,63)</f>
        <v>3148800</v>
      </c>
      <c r="O183" s="140">
        <f>VLOOKUP($A183,'Data shares'!$C:$FB,65)*100</f>
        <v>-15.73</v>
      </c>
    </row>
    <row r="184" spans="1:15" x14ac:dyDescent="0.25">
      <c r="A184" s="101" t="str">
        <f>'Data shares'!C179</f>
        <v>SBILIFE</v>
      </c>
      <c r="B184" s="50">
        <f>VLOOKUP($A184,'Data shares'!$C:$FB,7)</f>
        <v>1810.4</v>
      </c>
      <c r="C184" s="50">
        <f>VLOOKUP($A184,'Data shares'!$C:$FB,10)*100</f>
        <v>0.03</v>
      </c>
      <c r="D184" s="49">
        <f>VLOOKUP($A184,'Data shares'!$C:$FB,66)</f>
        <v>11584875</v>
      </c>
      <c r="E184" s="49">
        <f>VLOOKUP($A184,'Data shares'!$C:$FB,67)</f>
        <v>6309375</v>
      </c>
      <c r="F184" s="50">
        <f>VLOOKUP($A184,'Data shares'!$C:$FB,69)*100</f>
        <v>83.61</v>
      </c>
      <c r="G184" s="49">
        <f>VLOOKUP($A184,'Data shares'!$C:$FB,42)</f>
        <v>1894875</v>
      </c>
      <c r="H184" s="49">
        <f>VLOOKUP($A184,'Data shares'!$C:$FB,43)</f>
        <v>1155750</v>
      </c>
      <c r="I184" s="50">
        <f>VLOOKUP($A184,'Data shares'!$C:$FB,45)*100</f>
        <v>63.949999999999996</v>
      </c>
      <c r="J184" s="49">
        <f>VLOOKUP($A184,'Data shares'!$C:$FB,58)</f>
        <v>7191375</v>
      </c>
      <c r="K184" s="49">
        <f>VLOOKUP($A184,'Data shares'!$C:$FB,59)</f>
        <v>3642375</v>
      </c>
      <c r="L184" s="50">
        <f>VLOOKUP($A184,'Data shares'!$C:$FB,61)*100</f>
        <v>97.44</v>
      </c>
      <c r="M184" s="49">
        <f>VLOOKUP($A184,'Data shares'!$C:$FB,62)</f>
        <v>2498625</v>
      </c>
      <c r="N184" s="49">
        <f>VLOOKUP($A184,'Data shares'!$C:$FB,63)</f>
        <v>1511250</v>
      </c>
      <c r="O184" s="140">
        <f>VLOOKUP($A184,'Data shares'!$C:$FB,65)*100</f>
        <v>65.33</v>
      </c>
    </row>
    <row r="185" spans="1:15" x14ac:dyDescent="0.25">
      <c r="A185" s="101" t="str">
        <f>'Data shares'!C180</f>
        <v>SBIN</v>
      </c>
      <c r="B185" s="50">
        <f>VLOOKUP($A185,'Data shares'!$C:$FB,7)</f>
        <v>880.65</v>
      </c>
      <c r="C185" s="50">
        <f>VLOOKUP($A185,'Data shares'!$C:$FB,10)*100</f>
        <v>2.15</v>
      </c>
      <c r="D185" s="49">
        <f>VLOOKUP($A185,'Data shares'!$C:$FB,66)</f>
        <v>264138750</v>
      </c>
      <c r="E185" s="49">
        <f>VLOOKUP($A185,'Data shares'!$C:$FB,67)</f>
        <v>77118750</v>
      </c>
      <c r="F185" s="50">
        <f>VLOOKUP($A185,'Data shares'!$C:$FB,69)*100</f>
        <v>242.51</v>
      </c>
      <c r="G185" s="49">
        <f>VLOOKUP($A185,'Data shares'!$C:$FB,42)</f>
        <v>24622500</v>
      </c>
      <c r="H185" s="49">
        <f>VLOOKUP($A185,'Data shares'!$C:$FB,43)</f>
        <v>10603500</v>
      </c>
      <c r="I185" s="50">
        <f>VLOOKUP($A185,'Data shares'!$C:$FB,45)*100</f>
        <v>132.21</v>
      </c>
      <c r="J185" s="49">
        <f>VLOOKUP($A185,'Data shares'!$C:$FB,58)</f>
        <v>159164250</v>
      </c>
      <c r="K185" s="49">
        <f>VLOOKUP($A185,'Data shares'!$C:$FB,59)</f>
        <v>42048750</v>
      </c>
      <c r="L185" s="50">
        <f>VLOOKUP($A185,'Data shares'!$C:$FB,61)*100</f>
        <v>278.52000000000004</v>
      </c>
      <c r="M185" s="49">
        <f>VLOOKUP($A185,'Data shares'!$C:$FB,62)</f>
        <v>80352000</v>
      </c>
      <c r="N185" s="49">
        <f>VLOOKUP($A185,'Data shares'!$C:$FB,63)</f>
        <v>24466500</v>
      </c>
      <c r="O185" s="140">
        <f>VLOOKUP($A185,'Data shares'!$C:$FB,65)*100</f>
        <v>228.42</v>
      </c>
    </row>
    <row r="186" spans="1:15" x14ac:dyDescent="0.25">
      <c r="A186" s="101" t="str">
        <f>'Data shares'!C181</f>
        <v>SHREECEM</v>
      </c>
      <c r="B186" s="50">
        <f>VLOOKUP($A186,'Data shares'!$C:$FB,7)</f>
        <v>29445</v>
      </c>
      <c r="C186" s="50">
        <f>VLOOKUP($A186,'Data shares'!$C:$FB,10)*100</f>
        <v>-0.13999999999999999</v>
      </c>
      <c r="D186" s="49">
        <f>VLOOKUP($A186,'Data shares'!$C:$FB,66)</f>
        <v>32000</v>
      </c>
      <c r="E186" s="49">
        <f>VLOOKUP($A186,'Data shares'!$C:$FB,67)</f>
        <v>66225</v>
      </c>
      <c r="F186" s="50">
        <f>VLOOKUP($A186,'Data shares'!$C:$FB,69)*100</f>
        <v>-51.680000000000007</v>
      </c>
      <c r="G186" s="49">
        <f>VLOOKUP($A186,'Data shares'!$C:$FB,42)</f>
        <v>14750</v>
      </c>
      <c r="H186" s="49">
        <f>VLOOKUP($A186,'Data shares'!$C:$FB,43)</f>
        <v>20225</v>
      </c>
      <c r="I186" s="50">
        <f>VLOOKUP($A186,'Data shares'!$C:$FB,45)*100</f>
        <v>-27.07</v>
      </c>
      <c r="J186" s="49">
        <f>VLOOKUP($A186,'Data shares'!$C:$FB,58)</f>
        <v>13475</v>
      </c>
      <c r="K186" s="49">
        <f>VLOOKUP($A186,'Data shares'!$C:$FB,59)</f>
        <v>19150</v>
      </c>
      <c r="L186" s="50">
        <f>VLOOKUP($A186,'Data shares'!$C:$FB,61)*100</f>
        <v>-29.630000000000003</v>
      </c>
      <c r="M186" s="49">
        <f>VLOOKUP($A186,'Data shares'!$C:$FB,62)</f>
        <v>3775</v>
      </c>
      <c r="N186" s="49">
        <f>VLOOKUP($A186,'Data shares'!$C:$FB,63)</f>
        <v>26850</v>
      </c>
      <c r="O186" s="140">
        <f>VLOOKUP($A186,'Data shares'!$C:$FB,65)*100</f>
        <v>-85.940000000000012</v>
      </c>
    </row>
    <row r="187" spans="1:15" x14ac:dyDescent="0.25">
      <c r="A187" s="101" t="str">
        <f>'Data shares'!C182</f>
        <v>SHRIRAMFIN</v>
      </c>
      <c r="B187" s="50">
        <f>VLOOKUP($A187,'Data shares'!$C:$FB,7)</f>
        <v>665.05</v>
      </c>
      <c r="C187" s="50">
        <f>VLOOKUP($A187,'Data shares'!$C:$FB,10)*100</f>
        <v>-0.6</v>
      </c>
      <c r="D187" s="49">
        <f>VLOOKUP($A187,'Data shares'!$C:$FB,66)</f>
        <v>13001175</v>
      </c>
      <c r="E187" s="49">
        <f>VLOOKUP($A187,'Data shares'!$C:$FB,67)</f>
        <v>11667150</v>
      </c>
      <c r="F187" s="50">
        <f>VLOOKUP($A187,'Data shares'!$C:$FB,69)*100</f>
        <v>11.43</v>
      </c>
      <c r="G187" s="49">
        <f>VLOOKUP($A187,'Data shares'!$C:$FB,42)</f>
        <v>3135000</v>
      </c>
      <c r="H187" s="49">
        <f>VLOOKUP($A187,'Data shares'!$C:$FB,43)</f>
        <v>3071475</v>
      </c>
      <c r="I187" s="50">
        <f>VLOOKUP($A187,'Data shares'!$C:$FB,45)*100</f>
        <v>2.0699999999999998</v>
      </c>
      <c r="J187" s="49">
        <f>VLOOKUP($A187,'Data shares'!$C:$FB,58)</f>
        <v>6268350</v>
      </c>
      <c r="K187" s="49">
        <f>VLOOKUP($A187,'Data shares'!$C:$FB,59)</f>
        <v>5479650</v>
      </c>
      <c r="L187" s="50">
        <f>VLOOKUP($A187,'Data shares'!$C:$FB,61)*100</f>
        <v>14.39</v>
      </c>
      <c r="M187" s="49">
        <f>VLOOKUP($A187,'Data shares'!$C:$FB,62)</f>
        <v>3597825</v>
      </c>
      <c r="N187" s="49">
        <f>VLOOKUP($A187,'Data shares'!$C:$FB,63)</f>
        <v>3116025</v>
      </c>
      <c r="O187" s="140">
        <f>VLOOKUP($A187,'Data shares'!$C:$FB,65)*100</f>
        <v>15.459999999999999</v>
      </c>
    </row>
    <row r="188" spans="1:15" x14ac:dyDescent="0.25">
      <c r="A188" s="101" t="str">
        <f>'Data shares'!C183</f>
        <v>SIEMENS</v>
      </c>
      <c r="B188" s="50">
        <f>VLOOKUP($A188,'Data shares'!$C:$FB,7)</f>
        <v>3147.4</v>
      </c>
      <c r="C188" s="50">
        <f>VLOOKUP($A188,'Data shares'!$C:$FB,10)*100</f>
        <v>-0.98</v>
      </c>
      <c r="D188" s="49">
        <f>VLOOKUP($A188,'Data shares'!$C:$FB,66)</f>
        <v>2329875</v>
      </c>
      <c r="E188" s="49">
        <f>VLOOKUP($A188,'Data shares'!$C:$FB,67)</f>
        <v>1957750</v>
      </c>
      <c r="F188" s="50">
        <f>VLOOKUP($A188,'Data shares'!$C:$FB,69)*100</f>
        <v>19.009999999999998</v>
      </c>
      <c r="G188" s="49">
        <f>VLOOKUP($A188,'Data shares'!$C:$FB,42)</f>
        <v>517375</v>
      </c>
      <c r="H188" s="49">
        <f>VLOOKUP($A188,'Data shares'!$C:$FB,43)</f>
        <v>384000</v>
      </c>
      <c r="I188" s="50">
        <f>VLOOKUP($A188,'Data shares'!$C:$FB,45)*100</f>
        <v>34.729999999999997</v>
      </c>
      <c r="J188" s="49">
        <f>VLOOKUP($A188,'Data shares'!$C:$FB,58)</f>
        <v>1382375</v>
      </c>
      <c r="K188" s="49">
        <f>VLOOKUP($A188,'Data shares'!$C:$FB,59)</f>
        <v>1053000</v>
      </c>
      <c r="L188" s="50">
        <f>VLOOKUP($A188,'Data shares'!$C:$FB,61)*100</f>
        <v>31.28</v>
      </c>
      <c r="M188" s="49">
        <f>VLOOKUP($A188,'Data shares'!$C:$FB,62)</f>
        <v>430125</v>
      </c>
      <c r="N188" s="49">
        <f>VLOOKUP($A188,'Data shares'!$C:$FB,63)</f>
        <v>520750</v>
      </c>
      <c r="O188" s="140">
        <f>VLOOKUP($A188,'Data shares'!$C:$FB,65)*100</f>
        <v>-17.399999999999999</v>
      </c>
    </row>
    <row r="189" spans="1:15" x14ac:dyDescent="0.25">
      <c r="A189" s="101" t="str">
        <f>'Data shares'!C216</f>
        <v>ZYDUSLIFE</v>
      </c>
      <c r="B189" s="50">
        <f>VLOOKUP($A189,'Data shares'!$C:$FB,7)</f>
        <v>993.45</v>
      </c>
      <c r="C189" s="50">
        <f>VLOOKUP($A189,'Data shares'!$C:$FB,10)*100</f>
        <v>-0.1</v>
      </c>
      <c r="D189" s="49">
        <f>VLOOKUP($A189,'Data shares'!$C:$FB,66)</f>
        <v>12168900</v>
      </c>
      <c r="E189" s="49">
        <f>VLOOKUP($A189,'Data shares'!$C:$FB,67)</f>
        <v>15173100</v>
      </c>
      <c r="F189" s="50">
        <f>VLOOKUP($A189,'Data shares'!$C:$FB,69)*100</f>
        <v>-19.8</v>
      </c>
      <c r="G189" s="49">
        <f>VLOOKUP($A189,'Data shares'!$C:$FB,42)</f>
        <v>3510000</v>
      </c>
      <c r="H189" s="49">
        <f>VLOOKUP($A189,'Data shares'!$C:$FB,43)</f>
        <v>2893500</v>
      </c>
      <c r="I189" s="50">
        <f>VLOOKUP($A189,'Data shares'!$C:$FB,45)*100</f>
        <v>21.310000000000002</v>
      </c>
      <c r="J189" s="49">
        <f>VLOOKUP($A189,'Data shares'!$C:$FB,58)</f>
        <v>6177600</v>
      </c>
      <c r="K189" s="49">
        <f>VLOOKUP($A189,'Data shares'!$C:$FB,59)</f>
        <v>10067400</v>
      </c>
      <c r="L189" s="50">
        <f>VLOOKUP($A189,'Data shares'!$C:$FB,61)*100</f>
        <v>-38.64</v>
      </c>
      <c r="M189" s="49">
        <f>VLOOKUP($A189,'Data shares'!$C:$FB,62)</f>
        <v>2481300</v>
      </c>
      <c r="N189" s="49">
        <f>VLOOKUP($A189,'Data shares'!$C:$FB,63)</f>
        <v>2212200</v>
      </c>
      <c r="O189" s="140">
        <f>VLOOKUP($A189,'Data shares'!$C:$FB,65)*100</f>
        <v>12.16</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16073971772</v>
      </c>
      <c r="E209" s="133">
        <f>SUM(E7:E172)</f>
        <v>12801169245</v>
      </c>
      <c r="F209" s="134">
        <f>(D209-E209)/E209</f>
        <v>0.25566434318320741</v>
      </c>
      <c r="G209" s="133">
        <f>SUM(G7:G172)</f>
        <v>1840284110</v>
      </c>
      <c r="H209" s="133">
        <f>SUM(H7:H172)</f>
        <v>1667449172</v>
      </c>
      <c r="I209" s="134">
        <f>(G209-H209)/H209</f>
        <v>0.10365229771453567</v>
      </c>
      <c r="J209" s="133">
        <f>SUM(J7:J172)</f>
        <v>8632359722</v>
      </c>
      <c r="K209" s="133">
        <f>SUM(K7:K172)</f>
        <v>6891328298</v>
      </c>
      <c r="L209" s="134">
        <f>(J209-K209)/K209</f>
        <v>0.25264090589114463</v>
      </c>
      <c r="M209" s="133">
        <f>SUM(M7:M172)</f>
        <v>5601327940</v>
      </c>
      <c r="N209" s="133">
        <f>SUM(N7:N172)</f>
        <v>4242391775</v>
      </c>
      <c r="O209" s="134">
        <f>(M209-N209)/N209</f>
        <v>0.32032311890855486</v>
      </c>
    </row>
    <row r="210" spans="1:15" x14ac:dyDescent="0.25">
      <c r="A210" s="133" t="s">
        <v>398</v>
      </c>
      <c r="B210" s="133"/>
      <c r="C210" s="133"/>
      <c r="D210" s="133">
        <f>D209/10000000</f>
        <v>1607.3971772</v>
      </c>
      <c r="E210" s="133">
        <f>E209/10000000</f>
        <v>1280.1169245000001</v>
      </c>
      <c r="F210" s="134">
        <f>(D210-E210)/E210</f>
        <v>0.2556643431832073</v>
      </c>
      <c r="G210" s="133">
        <f>G209/10000000</f>
        <v>184.02841100000001</v>
      </c>
      <c r="H210" s="133">
        <f>H209/10000000</f>
        <v>166.7449172</v>
      </c>
      <c r="I210" s="134">
        <f>(G210-H210)/H210</f>
        <v>0.10365229771453568</v>
      </c>
      <c r="J210" s="133">
        <f>J209/10000000</f>
        <v>863.23597219999999</v>
      </c>
      <c r="K210" s="133">
        <f>K209/10000000</f>
        <v>689.13282979999997</v>
      </c>
      <c r="L210" s="134">
        <f>(J210-K210)/K210</f>
        <v>0.25264090589114468</v>
      </c>
      <c r="M210" s="133">
        <f>M209/10000000</f>
        <v>560.13279399999999</v>
      </c>
      <c r="N210" s="133">
        <f>N209/10000000</f>
        <v>424.23917749999998</v>
      </c>
      <c r="O210" s="134">
        <f>(M210-N210)/N210</f>
        <v>0.32032311890855486</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128" activePane="bottomLeft" state="frozen"/>
      <selection pane="bottomLeft" activeCell="A149" sqref="A149"/>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45940</v>
      </c>
      <c r="C6" s="76" t="s">
        <v>322</v>
      </c>
      <c r="D6" s="76" t="s">
        <v>328</v>
      </c>
      <c r="E6" s="3">
        <f>B6</f>
        <v>45940</v>
      </c>
      <c r="F6" s="76" t="s">
        <v>322</v>
      </c>
      <c r="G6" s="76" t="s">
        <v>328</v>
      </c>
      <c r="H6" s="3">
        <f>E6</f>
        <v>45940</v>
      </c>
      <c r="I6" s="76" t="s">
        <v>333</v>
      </c>
      <c r="J6" s="3">
        <f>E6</f>
        <v>45940</v>
      </c>
      <c r="K6" s="76" t="s">
        <v>333</v>
      </c>
      <c r="L6" s="3">
        <f>E6</f>
        <v>45940</v>
      </c>
      <c r="M6" s="76" t="s">
        <v>333</v>
      </c>
      <c r="N6" s="3">
        <f>E6</f>
        <v>45940</v>
      </c>
      <c r="O6" s="76" t="s">
        <v>333</v>
      </c>
    </row>
    <row r="7" spans="1:19" x14ac:dyDescent="0.25">
      <c r="A7" s="105" t="str">
        <f>'Data shares'!C2</f>
        <v>360ONE</v>
      </c>
      <c r="B7" s="143">
        <f>VLOOKUP($A7,'Data shares'!$C:$FA,118)</f>
        <v>0.72</v>
      </c>
      <c r="C7" s="143">
        <f>VLOOKUP($A7,'Data shares'!$C:$FA,119)</f>
        <v>0.72</v>
      </c>
      <c r="D7" s="143">
        <f>VLOOKUP($A7,'Data shares'!$C:$FA,121)*100</f>
        <v>0</v>
      </c>
      <c r="E7" s="143">
        <f>VLOOKUP($A7,'Data shares'!$C:$FA,124)</f>
        <v>0.17</v>
      </c>
      <c r="F7" s="143">
        <f>VLOOKUP($A7,'Data shares'!$C:$FA,125)</f>
        <v>0.28999999999999998</v>
      </c>
      <c r="G7" s="143">
        <f>VLOOKUP($A7,'Data shares'!$C:$FA,127)*100</f>
        <v>-41.38</v>
      </c>
      <c r="H7" s="103">
        <f>VLOOKUP($A7,'OI(Volume)'!$A$7:$O$427,8)</f>
        <v>917500</v>
      </c>
      <c r="I7" s="103">
        <f>VLOOKUP($A7,'OI(Volume)'!$A$7:$O$427,9)</f>
        <v>-5500</v>
      </c>
      <c r="J7" s="103">
        <f>VLOOKUP($A7,'OI(Volume)'!$A$7:$O$427,11)</f>
        <v>660000</v>
      </c>
      <c r="K7" s="103">
        <f>VLOOKUP($A7,'OI(Volume)'!$A$7:$O$427,12)</f>
        <v>-1000</v>
      </c>
      <c r="L7" s="103">
        <f>VLOOKUP($A7,'OI(Value)'!$A$7:$O$306,8,0)</f>
        <v>100</v>
      </c>
      <c r="M7" s="103">
        <f>VLOOKUP($A7,'OI(Value)'!$A$7:$O$306,9,0)</f>
        <v>-1</v>
      </c>
      <c r="N7" s="103">
        <f>VLOOKUP($A7,'OI(Value)'!$A$7:$O$306,11,0)</f>
        <v>72</v>
      </c>
      <c r="O7" s="103">
        <f>VLOOKUP($A7,'OI(Value)'!$A$7:$O$306,12,0)</f>
        <v>0</v>
      </c>
      <c r="P7" s="179">
        <f>VLOOKUP(A7,'OI(Value)'!A7:O182,8,0)</f>
        <v>100</v>
      </c>
      <c r="Q7" s="179">
        <f>VLOOKUP(A7,'OI(Value)'!A7:O182,9,0)</f>
        <v>-1</v>
      </c>
      <c r="R7" s="179">
        <f>VLOOKUP(A7,'OI(Value)'!A7:O182,11,0)</f>
        <v>72</v>
      </c>
      <c r="S7" s="179">
        <f>VLOOKUP(A7,'OI(Value)'!A7:O182,12,0)</f>
        <v>0</v>
      </c>
    </row>
    <row r="8" spans="1:19" x14ac:dyDescent="0.25">
      <c r="A8" s="105" t="str">
        <f>'Data shares'!C3</f>
        <v>ABB</v>
      </c>
      <c r="B8" s="143">
        <f>VLOOKUP($A8,'Data shares'!$C:$FA,118)</f>
        <v>0.65</v>
      </c>
      <c r="C8" s="143">
        <f>VLOOKUP($A8,'Data shares'!$C:$FA,119)</f>
        <v>0.63</v>
      </c>
      <c r="D8" s="143">
        <f>VLOOKUP($A8,'Data shares'!$C:$FA,121)*100</f>
        <v>3.17</v>
      </c>
      <c r="E8" s="143">
        <f>VLOOKUP($A8,'Data shares'!$C:$FA,124)</f>
        <v>0.35</v>
      </c>
      <c r="F8" s="143">
        <f>VLOOKUP($A8,'Data shares'!$C:$FA,125)</f>
        <v>0.55000000000000004</v>
      </c>
      <c r="G8" s="143">
        <f>VLOOKUP($A8,'Data shares'!$C:$FA,127)*100</f>
        <v>-36.36</v>
      </c>
      <c r="H8" s="103">
        <f>VLOOKUP($A8,'OI(Volume)'!$A$7:$O$427,8)</f>
        <v>1261125</v>
      </c>
      <c r="I8" s="103">
        <f>VLOOKUP($A8,'OI(Volume)'!$A$7:$O$427,9)</f>
        <v>-29875</v>
      </c>
      <c r="J8" s="103">
        <f>VLOOKUP($A8,'OI(Volume)'!$A$7:$O$427,11)</f>
        <v>814750</v>
      </c>
      <c r="K8" s="103">
        <f>VLOOKUP($A8,'OI(Volume)'!$A$7:$O$427,12)</f>
        <v>7250</v>
      </c>
      <c r="L8" s="103">
        <f>VLOOKUP($A8,'OI(Value)'!$A$7:$O$306,8,0)</f>
        <v>656</v>
      </c>
      <c r="M8" s="103">
        <f>VLOOKUP($A8,'OI(Value)'!$A$7:$O$306,9,0)</f>
        <v>-16</v>
      </c>
      <c r="N8" s="103">
        <f>VLOOKUP($A8,'OI(Value)'!$A$7:$O$306,11,0)</f>
        <v>424</v>
      </c>
      <c r="O8" s="103">
        <f>VLOOKUP($A8,'OI(Value)'!$A$7:$O$306,12,0)</f>
        <v>4</v>
      </c>
      <c r="P8" s="179">
        <f>VLOOKUP(A8,'OI(Value)'!A8:O209,8,0)</f>
        <v>656</v>
      </c>
      <c r="Q8" s="179">
        <f>VLOOKUP(A8,'OI(Value)'!A8:O209,9,0)</f>
        <v>-16</v>
      </c>
      <c r="R8" s="179">
        <f>VLOOKUP(A8,'OI(Value)'!A8:O209,11,0)</f>
        <v>424</v>
      </c>
      <c r="S8" s="179">
        <f>VLOOKUP(A8,'OI(Value)'!A8:O209,11,0)</f>
        <v>424</v>
      </c>
    </row>
    <row r="9" spans="1:19" x14ac:dyDescent="0.25">
      <c r="A9" s="105" t="str">
        <f>'Data shares'!C4</f>
        <v>ABCAPITAL</v>
      </c>
      <c r="B9" s="143">
        <f>VLOOKUP($A9,'Data shares'!$C:$FA,118)</f>
        <v>0.54</v>
      </c>
      <c r="C9" s="143">
        <f>VLOOKUP($A9,'Data shares'!$C:$FA,119)</f>
        <v>0.57999999999999996</v>
      </c>
      <c r="D9" s="143">
        <f>VLOOKUP($A9,'Data shares'!$C:$FA,121)*100</f>
        <v>-6.9</v>
      </c>
      <c r="E9" s="143">
        <f>VLOOKUP($A9,'Data shares'!$C:$FA,124)</f>
        <v>0.38</v>
      </c>
      <c r="F9" s="143">
        <f>VLOOKUP($A9,'Data shares'!$C:$FA,125)</f>
        <v>0.44</v>
      </c>
      <c r="G9" s="143">
        <f>VLOOKUP($A9,'Data shares'!$C:$FA,127)*100</f>
        <v>-13.639999999999999</v>
      </c>
      <c r="H9" s="103">
        <f>VLOOKUP($A9,'OI(Volume)'!$A$7:$O$427,8)</f>
        <v>22967900</v>
      </c>
      <c r="I9" s="103">
        <f>VLOOKUP($A9,'OI(Volume)'!$A$7:$O$427,9)</f>
        <v>2523400</v>
      </c>
      <c r="J9" s="103">
        <f>VLOOKUP($A9,'OI(Volume)'!$A$7:$O$427,11)</f>
        <v>12365900</v>
      </c>
      <c r="K9" s="103">
        <f>VLOOKUP($A9,'OI(Volume)'!$A$7:$O$427,12)</f>
        <v>579700</v>
      </c>
      <c r="L9" s="103">
        <f>VLOOKUP($A9,'OI(Value)'!$A$7:$O$306,8,0)</f>
        <v>678</v>
      </c>
      <c r="M9" s="103">
        <f>VLOOKUP($A9,'OI(Value)'!$A$7:$O$306,9,0)</f>
        <v>74</v>
      </c>
      <c r="N9" s="103">
        <f>VLOOKUP($A9,'OI(Value)'!$A$7:$O$306,11,0)</f>
        <v>365</v>
      </c>
      <c r="O9" s="103">
        <f>VLOOKUP($A9,'OI(Value)'!$A$7:$O$306,12,0)</f>
        <v>17</v>
      </c>
      <c r="P9" s="179">
        <f>VLOOKUP(A9,'OI(Value)'!A9:O210,8,0)</f>
        <v>678</v>
      </c>
      <c r="Q9" s="179">
        <f>VLOOKUP(A9,'OI(Value)'!A9:O210,9,0)</f>
        <v>74</v>
      </c>
      <c r="R9" s="179">
        <f>VLOOKUP(A9,'OI(Value)'!A9:O210,11,0)</f>
        <v>365</v>
      </c>
      <c r="S9" s="179">
        <f>VLOOKUP(A9,'OI(Value)'!A9:O210,11,0)</f>
        <v>365</v>
      </c>
    </row>
    <row r="10" spans="1:19" x14ac:dyDescent="0.25">
      <c r="A10" s="105" t="str">
        <f>'Data shares'!C5</f>
        <v>ADANIENSOL</v>
      </c>
      <c r="B10" s="143">
        <f>VLOOKUP($A10,'Data shares'!$C:$FA,118)</f>
        <v>0.6</v>
      </c>
      <c r="C10" s="143">
        <f>VLOOKUP($A10,'Data shares'!$C:$FA,119)</f>
        <v>0.62</v>
      </c>
      <c r="D10" s="143">
        <f>VLOOKUP($A10,'Data shares'!$C:$FA,121)*100</f>
        <v>-3.2300000000000004</v>
      </c>
      <c r="E10" s="143">
        <f>VLOOKUP($A10,'Data shares'!$C:$FA,124)</f>
        <v>0.32</v>
      </c>
      <c r="F10" s="143">
        <f>VLOOKUP($A10,'Data shares'!$C:$FA,125)</f>
        <v>0.28000000000000003</v>
      </c>
      <c r="G10" s="143">
        <f>VLOOKUP($A10,'Data shares'!$C:$FA,127)*100</f>
        <v>14.29</v>
      </c>
      <c r="H10" s="103">
        <f>VLOOKUP($A10,'OI(Volume)'!$A$7:$O$427,8)</f>
        <v>3493800</v>
      </c>
      <c r="I10" s="103">
        <f>VLOOKUP($A10,'OI(Volume)'!$A$7:$O$427,9)</f>
        <v>101925</v>
      </c>
      <c r="J10" s="103">
        <f>VLOOKUP($A10,'OI(Volume)'!$A$7:$O$427,11)</f>
        <v>2079000</v>
      </c>
      <c r="K10" s="103">
        <f>VLOOKUP($A10,'OI(Volume)'!$A$7:$O$427,12)</f>
        <v>-17550</v>
      </c>
      <c r="L10" s="103">
        <f>VLOOKUP($A10,'OI(Value)'!$A$7:$O$306,8,0)</f>
        <v>325</v>
      </c>
      <c r="M10" s="103">
        <f>VLOOKUP($A10,'OI(Value)'!$A$7:$O$306,9,0)</f>
        <v>9</v>
      </c>
      <c r="N10" s="103">
        <f>VLOOKUP($A10,'OI(Value)'!$A$7:$O$306,11,0)</f>
        <v>194</v>
      </c>
      <c r="O10" s="103">
        <f>VLOOKUP($A10,'OI(Value)'!$A$7:$O$306,12,0)</f>
        <v>-2</v>
      </c>
      <c r="P10" s="179">
        <f>VLOOKUP(A10,'OI(Value)'!A10:O211,8,0)</f>
        <v>325</v>
      </c>
      <c r="Q10" s="179">
        <f>VLOOKUP(A10,'OI(Value)'!A10:O211,9,0)</f>
        <v>9</v>
      </c>
      <c r="R10" s="179">
        <f>VLOOKUP(A10,'OI(Value)'!A10:O211,11,0)</f>
        <v>194</v>
      </c>
      <c r="S10" s="179">
        <f>VLOOKUP(A10,'OI(Value)'!A10:O211,11,0)</f>
        <v>194</v>
      </c>
    </row>
    <row r="11" spans="1:19" x14ac:dyDescent="0.25">
      <c r="A11" s="105" t="str">
        <f>'Data shares'!C6</f>
        <v>ADANIENT</v>
      </c>
      <c r="B11" s="143">
        <f>VLOOKUP($A11,'Data shares'!$C:$FA,118)</f>
        <v>0.56999999999999995</v>
      </c>
      <c r="C11" s="143">
        <f>VLOOKUP($A11,'Data shares'!$C:$FA,119)</f>
        <v>0.56999999999999995</v>
      </c>
      <c r="D11" s="143">
        <f>VLOOKUP($A11,'Data shares'!$C:$FA,121)*100</f>
        <v>0</v>
      </c>
      <c r="E11" s="143">
        <f>VLOOKUP($A11,'Data shares'!$C:$FA,124)</f>
        <v>0.36</v>
      </c>
      <c r="F11" s="143">
        <f>VLOOKUP($A11,'Data shares'!$C:$FA,125)</f>
        <v>0.34</v>
      </c>
      <c r="G11" s="143">
        <f>VLOOKUP($A11,'Data shares'!$C:$FA,127)*100</f>
        <v>5.88</v>
      </c>
      <c r="H11" s="103">
        <f>VLOOKUP($A11,'OI(Volume)'!$A$7:$O$427,8)</f>
        <v>8176500</v>
      </c>
      <c r="I11" s="103">
        <f>VLOOKUP($A11,'OI(Volume)'!$A$7:$O$427,9)</f>
        <v>35400</v>
      </c>
      <c r="J11" s="103">
        <f>VLOOKUP($A11,'OI(Volume)'!$A$7:$O$427,11)</f>
        <v>4701300</v>
      </c>
      <c r="K11" s="103">
        <f>VLOOKUP($A11,'OI(Volume)'!$A$7:$O$427,12)</f>
        <v>100800</v>
      </c>
      <c r="L11" s="103">
        <f>VLOOKUP($A11,'OI(Value)'!$A$7:$O$306,8,0)</f>
        <v>2097</v>
      </c>
      <c r="M11" s="103">
        <f>VLOOKUP($A11,'OI(Value)'!$A$7:$O$306,9,0)</f>
        <v>9</v>
      </c>
      <c r="N11" s="103">
        <f>VLOOKUP($A11,'OI(Value)'!$A$7:$O$306,11,0)</f>
        <v>1206</v>
      </c>
      <c r="O11" s="103">
        <f>VLOOKUP($A11,'OI(Value)'!$A$7:$O$306,12,0)</f>
        <v>26</v>
      </c>
      <c r="P11" s="179">
        <f>VLOOKUP(A11,'OI(Value)'!A11:O212,8,0)</f>
        <v>2097</v>
      </c>
      <c r="Q11" s="179">
        <f>VLOOKUP(A11,'OI(Value)'!A11:O212,9,0)</f>
        <v>9</v>
      </c>
      <c r="R11" s="179">
        <f>VLOOKUP(A11,'OI(Value)'!A11:O212,11,0)</f>
        <v>1206</v>
      </c>
      <c r="S11" s="179">
        <f>VLOOKUP(A11,'OI(Value)'!A11:O212,11,0)</f>
        <v>1206</v>
      </c>
    </row>
    <row r="12" spans="1:19" x14ac:dyDescent="0.25">
      <c r="A12" s="105" t="str">
        <f>'Data shares'!C7</f>
        <v>ADANIGREEN</v>
      </c>
      <c r="B12" s="143">
        <f>VLOOKUP($A12,'Data shares'!$C:$FA,118)</f>
        <v>0.51</v>
      </c>
      <c r="C12" s="143">
        <f>VLOOKUP($A12,'Data shares'!$C:$FA,119)</f>
        <v>0.49</v>
      </c>
      <c r="D12" s="143">
        <f>VLOOKUP($A12,'Data shares'!$C:$FA,121)*100</f>
        <v>4.08</v>
      </c>
      <c r="E12" s="143">
        <f>VLOOKUP($A12,'Data shares'!$C:$FA,124)</f>
        <v>0.31</v>
      </c>
      <c r="F12" s="143">
        <f>VLOOKUP($A12,'Data shares'!$C:$FA,125)</f>
        <v>0.32</v>
      </c>
      <c r="G12" s="143">
        <f>VLOOKUP($A12,'Data shares'!$C:$FA,127)*100</f>
        <v>-3.1300000000000003</v>
      </c>
      <c r="H12" s="103">
        <f>VLOOKUP($A12,'OI(Volume)'!$A$7:$O$427,8)</f>
        <v>10482600</v>
      </c>
      <c r="I12" s="103">
        <f>VLOOKUP($A12,'OI(Volume)'!$A$7:$O$427,9)</f>
        <v>-345600</v>
      </c>
      <c r="J12" s="103">
        <f>VLOOKUP($A12,'OI(Volume)'!$A$7:$O$427,11)</f>
        <v>5325000</v>
      </c>
      <c r="K12" s="103">
        <f>VLOOKUP($A12,'OI(Volume)'!$A$7:$O$427,12)</f>
        <v>64800</v>
      </c>
      <c r="L12" s="103">
        <f>VLOOKUP($A12,'OI(Value)'!$A$7:$O$306,8,0)</f>
        <v>1122</v>
      </c>
      <c r="M12" s="103">
        <f>VLOOKUP($A12,'OI(Value)'!$A$7:$O$306,9,0)</f>
        <v>-37</v>
      </c>
      <c r="N12" s="103">
        <f>VLOOKUP($A12,'OI(Value)'!$A$7:$O$306,11,0)</f>
        <v>570</v>
      </c>
      <c r="O12" s="103">
        <f>VLOOKUP($A12,'OI(Value)'!$A$7:$O$306,12,0)</f>
        <v>7</v>
      </c>
      <c r="P12" s="179">
        <f>VLOOKUP(A12,'OI(Value)'!A12:O213,8,0)</f>
        <v>1122</v>
      </c>
      <c r="Q12" s="179">
        <f>VLOOKUP(A12,'OI(Value)'!A12:O213,9,0)</f>
        <v>-37</v>
      </c>
      <c r="R12" s="179">
        <f>VLOOKUP(A12,'OI(Value)'!A12:O213,11,0)</f>
        <v>570</v>
      </c>
      <c r="S12" s="179">
        <f>VLOOKUP(A12,'OI(Value)'!A12:O213,11,0)</f>
        <v>570</v>
      </c>
    </row>
    <row r="13" spans="1:19" x14ac:dyDescent="0.25">
      <c r="A13" s="105" t="str">
        <f>'Data shares'!C8</f>
        <v>ADANIPORTS</v>
      </c>
      <c r="B13" s="143">
        <f>VLOOKUP($A13,'Data shares'!$C:$FA,118)</f>
        <v>0.59</v>
      </c>
      <c r="C13" s="143">
        <f>VLOOKUP($A13,'Data shares'!$C:$FA,119)</f>
        <v>0.59</v>
      </c>
      <c r="D13" s="143">
        <f>VLOOKUP($A13,'Data shares'!$C:$FA,121)*100</f>
        <v>0</v>
      </c>
      <c r="E13" s="143">
        <f>VLOOKUP($A13,'Data shares'!$C:$FA,124)</f>
        <v>0.33</v>
      </c>
      <c r="F13" s="143">
        <f>VLOOKUP($A13,'Data shares'!$C:$FA,125)</f>
        <v>0.42</v>
      </c>
      <c r="G13" s="143">
        <f>VLOOKUP($A13,'Data shares'!$C:$FA,127)*100</f>
        <v>-21.43</v>
      </c>
      <c r="H13" s="103">
        <f>VLOOKUP($A13,'OI(Volume)'!$A$7:$O$427,8)</f>
        <v>7550600</v>
      </c>
      <c r="I13" s="103">
        <f>VLOOKUP($A13,'OI(Volume)'!$A$7:$O$427,9)</f>
        <v>-56050</v>
      </c>
      <c r="J13" s="103">
        <f>VLOOKUP($A13,'OI(Volume)'!$A$7:$O$427,11)</f>
        <v>4484000</v>
      </c>
      <c r="K13" s="103">
        <f>VLOOKUP($A13,'OI(Volume)'!$A$7:$O$427,12)</f>
        <v>-6175</v>
      </c>
      <c r="L13" s="103">
        <f>VLOOKUP($A13,'OI(Value)'!$A$7:$O$306,8,0)</f>
        <v>1070</v>
      </c>
      <c r="M13" s="103">
        <f>VLOOKUP($A13,'OI(Value)'!$A$7:$O$306,9,0)</f>
        <v>-8</v>
      </c>
      <c r="N13" s="103">
        <f>VLOOKUP($A13,'OI(Value)'!$A$7:$O$306,11,0)</f>
        <v>636</v>
      </c>
      <c r="O13" s="103">
        <f>VLOOKUP($A13,'OI(Value)'!$A$7:$O$306,12,0)</f>
        <v>-1</v>
      </c>
      <c r="P13" s="179">
        <f>VLOOKUP(A13,'OI(Value)'!A13:O214,8,0)</f>
        <v>1070</v>
      </c>
      <c r="Q13" s="179">
        <f>VLOOKUP(A13,'OI(Value)'!A13:O214,9,0)</f>
        <v>-8</v>
      </c>
      <c r="R13" s="179">
        <f>VLOOKUP(A13,'OI(Value)'!A13:O214,11,0)</f>
        <v>636</v>
      </c>
      <c r="S13" s="179">
        <f>VLOOKUP(A13,'OI(Value)'!A13:O214,11,0)</f>
        <v>636</v>
      </c>
    </row>
    <row r="14" spans="1:19" x14ac:dyDescent="0.25">
      <c r="A14" s="105" t="str">
        <f>'Data shares'!C9</f>
        <v>ALKEM</v>
      </c>
      <c r="B14" s="143">
        <f>VLOOKUP($A14,'Data shares'!$C:$FA,118)</f>
        <v>0.6</v>
      </c>
      <c r="C14" s="143">
        <f>VLOOKUP($A14,'Data shares'!$C:$FA,119)</f>
        <v>0.6</v>
      </c>
      <c r="D14" s="143">
        <f>VLOOKUP($A14,'Data shares'!$C:$FA,121)*100</f>
        <v>0</v>
      </c>
      <c r="E14" s="143">
        <f>VLOOKUP($A14,'Data shares'!$C:$FA,124)</f>
        <v>0.28000000000000003</v>
      </c>
      <c r="F14" s="143">
        <f>VLOOKUP($A14,'Data shares'!$C:$FA,125)</f>
        <v>0.26</v>
      </c>
      <c r="G14" s="143">
        <f>VLOOKUP($A14,'Data shares'!$C:$FA,127)*100</f>
        <v>7.6899999999999995</v>
      </c>
      <c r="H14" s="103">
        <f>VLOOKUP($A14,'OI(Volume)'!$A$7:$O$427,8)</f>
        <v>217750</v>
      </c>
      <c r="I14" s="103">
        <f>VLOOKUP($A14,'OI(Volume)'!$A$7:$O$427,9)</f>
        <v>19500</v>
      </c>
      <c r="J14" s="103">
        <f>VLOOKUP($A14,'OI(Volume)'!$A$7:$O$427,11)</f>
        <v>130125</v>
      </c>
      <c r="K14" s="103">
        <f>VLOOKUP($A14,'OI(Volume)'!$A$7:$O$427,12)</f>
        <v>10750</v>
      </c>
      <c r="L14" s="103">
        <f>VLOOKUP($A14,'OI(Value)'!$A$7:$O$306,8,0)</f>
        <v>119</v>
      </c>
      <c r="M14" s="103">
        <f>VLOOKUP($A14,'OI(Value)'!$A$7:$O$306,9,0)</f>
        <v>11</v>
      </c>
      <c r="N14" s="103">
        <f>VLOOKUP($A14,'OI(Value)'!$A$7:$O$306,11,0)</f>
        <v>71</v>
      </c>
      <c r="O14" s="103">
        <f>VLOOKUP($A14,'OI(Value)'!$A$7:$O$306,12,0)</f>
        <v>6</v>
      </c>
      <c r="P14" s="179">
        <f>VLOOKUP(A14,'OI(Value)'!A14:O215,8,0)</f>
        <v>119</v>
      </c>
      <c r="Q14" s="179">
        <f>VLOOKUP(A14,'OI(Value)'!A14:O215,9,0)</f>
        <v>11</v>
      </c>
      <c r="R14" s="179">
        <f>VLOOKUP(A14,'OI(Value)'!A14:O215,11,0)</f>
        <v>71</v>
      </c>
      <c r="S14" s="179">
        <f>VLOOKUP(A14,'OI(Value)'!A14:O215,11,0)</f>
        <v>71</v>
      </c>
    </row>
    <row r="15" spans="1:19" x14ac:dyDescent="0.25">
      <c r="A15" s="105" t="str">
        <f>'Data shares'!C10</f>
        <v>AMBER</v>
      </c>
      <c r="B15" s="143">
        <f>VLOOKUP($A15,'Data shares'!$C:$FA,118)</f>
        <v>0.57999999999999996</v>
      </c>
      <c r="C15" s="143">
        <f>VLOOKUP($A15,'Data shares'!$C:$FA,119)</f>
        <v>0.51</v>
      </c>
      <c r="D15" s="143">
        <f>VLOOKUP($A15,'Data shares'!$C:$FA,121)*100</f>
        <v>13.73</v>
      </c>
      <c r="E15" s="143">
        <f>VLOOKUP($A15,'Data shares'!$C:$FA,124)</f>
        <v>0.25</v>
      </c>
      <c r="F15" s="143">
        <f>VLOOKUP($A15,'Data shares'!$C:$FA,125)</f>
        <v>0.34</v>
      </c>
      <c r="G15" s="143">
        <f>VLOOKUP($A15,'Data shares'!$C:$FA,127)*100</f>
        <v>-26.47</v>
      </c>
      <c r="H15" s="103">
        <f>VLOOKUP($A15,'OI(Volume)'!$A$7:$O$427,8)</f>
        <v>547000</v>
      </c>
      <c r="I15" s="103">
        <f>VLOOKUP($A15,'OI(Volume)'!$A$7:$O$427,9)</f>
        <v>-76200</v>
      </c>
      <c r="J15" s="103">
        <f>VLOOKUP($A15,'OI(Volume)'!$A$7:$O$427,11)</f>
        <v>316800</v>
      </c>
      <c r="K15" s="103">
        <f>VLOOKUP($A15,'OI(Volume)'!$A$7:$O$427,12)</f>
        <v>1000</v>
      </c>
      <c r="L15" s="103">
        <f>VLOOKUP($A15,'OI(Value)'!$A$7:$O$306,8,0)</f>
        <v>451</v>
      </c>
      <c r="M15" s="103">
        <f>VLOOKUP($A15,'OI(Value)'!$A$7:$O$306,9,0)</f>
        <v>-63</v>
      </c>
      <c r="N15" s="103">
        <f>VLOOKUP($A15,'OI(Value)'!$A$7:$O$306,11,0)</f>
        <v>261</v>
      </c>
      <c r="O15" s="103">
        <f>VLOOKUP($A15,'OI(Value)'!$A$7:$O$306,12,0)</f>
        <v>1</v>
      </c>
      <c r="P15" s="179">
        <f>VLOOKUP(A15,'OI(Value)'!A15:O216,8,0)</f>
        <v>451</v>
      </c>
      <c r="Q15" s="179">
        <f>VLOOKUP(A15,'OI(Value)'!A15:O216,9,0)</f>
        <v>-63</v>
      </c>
      <c r="R15" s="179">
        <f>VLOOKUP(A15,'OI(Value)'!A15:O216,11,0)</f>
        <v>261</v>
      </c>
      <c r="S15" s="179">
        <f>VLOOKUP(A15,'OI(Value)'!A15:O216,11,0)</f>
        <v>261</v>
      </c>
    </row>
    <row r="16" spans="1:19" x14ac:dyDescent="0.25">
      <c r="A16" s="105" t="str">
        <f>'Data shares'!C11</f>
        <v>AMBUJACEM</v>
      </c>
      <c r="B16" s="143">
        <f>VLOOKUP($A16,'Data shares'!$C:$FA,118)</f>
        <v>0.69</v>
      </c>
      <c r="C16" s="143">
        <f>VLOOKUP($A16,'Data shares'!$C:$FA,119)</f>
        <v>0.72</v>
      </c>
      <c r="D16" s="143">
        <f>VLOOKUP($A16,'Data shares'!$C:$FA,121)*100</f>
        <v>-4.17</v>
      </c>
      <c r="E16" s="143">
        <f>VLOOKUP($A16,'Data shares'!$C:$FA,124)</f>
        <v>0.41</v>
      </c>
      <c r="F16" s="143">
        <f>VLOOKUP($A16,'Data shares'!$C:$FA,125)</f>
        <v>0.37</v>
      </c>
      <c r="G16" s="143">
        <f>VLOOKUP($A16,'Data shares'!$C:$FA,127)*100</f>
        <v>10.81</v>
      </c>
      <c r="H16" s="103">
        <f>VLOOKUP($A16,'OI(Volume)'!$A$7:$O$427,8)</f>
        <v>11734800</v>
      </c>
      <c r="I16" s="103">
        <f>VLOOKUP($A16,'OI(Volume)'!$A$7:$O$427,9)</f>
        <v>174300</v>
      </c>
      <c r="J16" s="103">
        <f>VLOOKUP($A16,'OI(Volume)'!$A$7:$O$427,11)</f>
        <v>8109150</v>
      </c>
      <c r="K16" s="103">
        <f>VLOOKUP($A16,'OI(Volume)'!$A$7:$O$427,12)</f>
        <v>-236250</v>
      </c>
      <c r="L16" s="103">
        <f>VLOOKUP($A16,'OI(Value)'!$A$7:$O$306,8,0)</f>
        <v>671</v>
      </c>
      <c r="M16" s="103">
        <f>VLOOKUP($A16,'OI(Value)'!$A$7:$O$306,9,0)</f>
        <v>10</v>
      </c>
      <c r="N16" s="103">
        <f>VLOOKUP($A16,'OI(Value)'!$A$7:$O$306,11,0)</f>
        <v>464</v>
      </c>
      <c r="O16" s="103">
        <f>VLOOKUP($A16,'OI(Value)'!$A$7:$O$306,12,0)</f>
        <v>-14</v>
      </c>
      <c r="P16" s="179">
        <f>VLOOKUP(A16,'OI(Value)'!A16:O217,8,0)</f>
        <v>671</v>
      </c>
      <c r="Q16" s="179">
        <f>VLOOKUP(A16,'OI(Value)'!A16:O217,9,0)</f>
        <v>10</v>
      </c>
      <c r="R16" s="179">
        <f>VLOOKUP(A16,'OI(Value)'!A16:O217,11,0)</f>
        <v>464</v>
      </c>
      <c r="S16" s="179">
        <f>VLOOKUP(A16,'OI(Value)'!A16:O217,11,0)</f>
        <v>464</v>
      </c>
    </row>
    <row r="17" spans="1:19" x14ac:dyDescent="0.25">
      <c r="A17" s="105" t="str">
        <f>'Data shares'!C12</f>
        <v>ANGELONE</v>
      </c>
      <c r="B17" s="143">
        <f>VLOOKUP($A17,'Data shares'!$C:$FA,118)</f>
        <v>0.77</v>
      </c>
      <c r="C17" s="143">
        <f>VLOOKUP($A17,'Data shares'!$C:$FA,119)</f>
        <v>0.71</v>
      </c>
      <c r="D17" s="143">
        <f>VLOOKUP($A17,'Data shares'!$C:$FA,121)*100</f>
        <v>8.4500000000000011</v>
      </c>
      <c r="E17" s="143">
        <f>VLOOKUP($A17,'Data shares'!$C:$FA,124)</f>
        <v>0.41</v>
      </c>
      <c r="F17" s="143">
        <f>VLOOKUP($A17,'Data shares'!$C:$FA,125)</f>
        <v>0.35</v>
      </c>
      <c r="G17" s="143">
        <f>VLOOKUP($A17,'Data shares'!$C:$FA,127)*100</f>
        <v>17.14</v>
      </c>
      <c r="H17" s="103">
        <f>VLOOKUP($A17,'OI(Volume)'!$A$7:$O$427,8)</f>
        <v>1945000</v>
      </c>
      <c r="I17" s="103">
        <f>VLOOKUP($A17,'OI(Volume)'!$A$7:$O$427,9)</f>
        <v>-242750</v>
      </c>
      <c r="J17" s="103">
        <f>VLOOKUP($A17,'OI(Volume)'!$A$7:$O$427,11)</f>
        <v>1506500</v>
      </c>
      <c r="K17" s="103">
        <f>VLOOKUP($A17,'OI(Volume)'!$A$7:$O$427,12)</f>
        <v>-40750</v>
      </c>
      <c r="L17" s="103">
        <f>VLOOKUP($A17,'OI(Value)'!$A$7:$O$306,8,0)</f>
        <v>450</v>
      </c>
      <c r="M17" s="103">
        <f>VLOOKUP($A17,'OI(Value)'!$A$7:$O$306,9,0)</f>
        <v>-56</v>
      </c>
      <c r="N17" s="103">
        <f>VLOOKUP($A17,'OI(Value)'!$A$7:$O$306,11,0)</f>
        <v>348</v>
      </c>
      <c r="O17" s="103">
        <f>VLOOKUP($A17,'OI(Value)'!$A$7:$O$306,12,0)</f>
        <v>-9</v>
      </c>
      <c r="P17" s="179">
        <f>VLOOKUP(A17,'OI(Value)'!A17:O218,8,0)</f>
        <v>450</v>
      </c>
      <c r="Q17" s="179">
        <f>VLOOKUP(A17,'OI(Value)'!A17:O218,9,0)</f>
        <v>-56</v>
      </c>
      <c r="R17" s="179">
        <f>VLOOKUP(A17,'OI(Value)'!A17:O218,11,0)</f>
        <v>348</v>
      </c>
      <c r="S17" s="179">
        <f>VLOOKUP(A17,'OI(Value)'!A17:O218,11,0)</f>
        <v>348</v>
      </c>
    </row>
    <row r="18" spans="1:19" x14ac:dyDescent="0.25">
      <c r="A18" s="105" t="str">
        <f>'Data shares'!C13</f>
        <v>APLAPOLLO</v>
      </c>
      <c r="B18" s="143">
        <f>VLOOKUP($A18,'Data shares'!$C:$FA,118)</f>
        <v>0.57999999999999996</v>
      </c>
      <c r="C18" s="143">
        <f>VLOOKUP($A18,'Data shares'!$C:$FA,119)</f>
        <v>0.56999999999999995</v>
      </c>
      <c r="D18" s="143">
        <f>VLOOKUP($A18,'Data shares'!$C:$FA,121)*100</f>
        <v>1.7500000000000002</v>
      </c>
      <c r="E18" s="143">
        <f>VLOOKUP($A18,'Data shares'!$C:$FA,124)</f>
        <v>0.28999999999999998</v>
      </c>
      <c r="F18" s="143">
        <f>VLOOKUP($A18,'Data shares'!$C:$FA,125)</f>
        <v>0.23</v>
      </c>
      <c r="G18" s="143">
        <f>VLOOKUP($A18,'Data shares'!$C:$FA,127)*100</f>
        <v>26.090000000000003</v>
      </c>
      <c r="H18" s="103">
        <f>VLOOKUP($A18,'OI(Volume)'!$A$7:$O$427,8)</f>
        <v>1060850</v>
      </c>
      <c r="I18" s="103">
        <f>VLOOKUP($A18,'OI(Volume)'!$A$7:$O$427,9)</f>
        <v>-7000</v>
      </c>
      <c r="J18" s="103">
        <f>VLOOKUP($A18,'OI(Volume)'!$A$7:$O$427,11)</f>
        <v>611100</v>
      </c>
      <c r="K18" s="103">
        <f>VLOOKUP($A18,'OI(Volume)'!$A$7:$O$427,12)</f>
        <v>-1750</v>
      </c>
      <c r="L18" s="103">
        <f>VLOOKUP($A18,'OI(Value)'!$A$7:$O$306,8,0)</f>
        <v>185</v>
      </c>
      <c r="M18" s="103">
        <f>VLOOKUP($A18,'OI(Value)'!$A$7:$O$306,9,0)</f>
        <v>-1</v>
      </c>
      <c r="N18" s="103">
        <f>VLOOKUP($A18,'OI(Value)'!$A$7:$O$306,11,0)</f>
        <v>107</v>
      </c>
      <c r="O18" s="103">
        <f>VLOOKUP($A18,'OI(Value)'!$A$7:$O$306,12,0)</f>
        <v>0</v>
      </c>
      <c r="P18" s="179">
        <f>VLOOKUP(A18,'OI(Value)'!A18:O219,8,0)</f>
        <v>185</v>
      </c>
      <c r="Q18" s="179">
        <f>VLOOKUP(A18,'OI(Value)'!A18:O219,9,0)</f>
        <v>-1</v>
      </c>
      <c r="R18" s="179">
        <f>VLOOKUP(A18,'OI(Value)'!A18:O219,11,0)</f>
        <v>107</v>
      </c>
      <c r="S18" s="179">
        <f>VLOOKUP(A18,'OI(Value)'!A18:O219,11,0)</f>
        <v>107</v>
      </c>
    </row>
    <row r="19" spans="1:19" x14ac:dyDescent="0.25">
      <c r="A19" s="105" t="str">
        <f>'Data shares'!C14</f>
        <v>APOLLOHOSP</v>
      </c>
      <c r="B19" s="143">
        <f>VLOOKUP($A19,'Data shares'!$C:$FA,118)</f>
        <v>0.59</v>
      </c>
      <c r="C19" s="143">
        <f>VLOOKUP($A19,'Data shares'!$C:$FA,119)</f>
        <v>0.62</v>
      </c>
      <c r="D19" s="143">
        <f>VLOOKUP($A19,'Data shares'!$C:$FA,121)*100</f>
        <v>-4.84</v>
      </c>
      <c r="E19" s="143">
        <f>VLOOKUP($A19,'Data shares'!$C:$FA,124)</f>
        <v>0.49</v>
      </c>
      <c r="F19" s="143">
        <f>VLOOKUP($A19,'Data shares'!$C:$FA,125)</f>
        <v>0.56000000000000005</v>
      </c>
      <c r="G19" s="143">
        <f>VLOOKUP($A19,'Data shares'!$C:$FA,127)*100</f>
        <v>-12.5</v>
      </c>
      <c r="H19" s="103">
        <f>VLOOKUP($A19,'OI(Volume)'!$A$7:$O$427,8)</f>
        <v>724125</v>
      </c>
      <c r="I19" s="103">
        <f>VLOOKUP($A19,'OI(Volume)'!$A$7:$O$427,9)</f>
        <v>19875</v>
      </c>
      <c r="J19" s="103">
        <f>VLOOKUP($A19,'OI(Volume)'!$A$7:$O$427,11)</f>
        <v>426750</v>
      </c>
      <c r="K19" s="103">
        <f>VLOOKUP($A19,'OI(Volume)'!$A$7:$O$427,12)</f>
        <v>-12500</v>
      </c>
      <c r="L19" s="103">
        <f>VLOOKUP($A19,'OI(Value)'!$A$7:$O$306,8,0)</f>
        <v>559</v>
      </c>
      <c r="M19" s="103">
        <f>VLOOKUP($A19,'OI(Value)'!$A$7:$O$306,9,0)</f>
        <v>15</v>
      </c>
      <c r="N19" s="103">
        <f>VLOOKUP($A19,'OI(Value)'!$A$7:$O$306,11,0)</f>
        <v>329</v>
      </c>
      <c r="O19" s="103">
        <f>VLOOKUP($A19,'OI(Value)'!$A$7:$O$306,12,0)</f>
        <v>-10</v>
      </c>
      <c r="P19" s="179">
        <f>VLOOKUP(A19,'OI(Value)'!A19:O220,8,0)</f>
        <v>559</v>
      </c>
      <c r="Q19" s="179">
        <f>VLOOKUP(A19,'OI(Value)'!A19:O220,9,0)</f>
        <v>15</v>
      </c>
      <c r="R19" s="179">
        <f>VLOOKUP(A19,'OI(Value)'!A19:O220,11,0)</f>
        <v>329</v>
      </c>
      <c r="S19" s="179">
        <f>VLOOKUP(A19,'OI(Value)'!A19:O220,11,0)</f>
        <v>329</v>
      </c>
    </row>
    <row r="20" spans="1:19" x14ac:dyDescent="0.25">
      <c r="A20" s="105" t="str">
        <f>'Data shares'!C15</f>
        <v>ASHOKLEY</v>
      </c>
      <c r="B20" s="143">
        <f>VLOOKUP($A20,'Data shares'!$C:$FA,118)</f>
        <v>0.45</v>
      </c>
      <c r="C20" s="143">
        <f>VLOOKUP($A20,'Data shares'!$C:$FA,119)</f>
        <v>0.45</v>
      </c>
      <c r="D20" s="143">
        <f>VLOOKUP($A20,'Data shares'!$C:$FA,121)*100</f>
        <v>0</v>
      </c>
      <c r="E20" s="143">
        <f>VLOOKUP($A20,'Data shares'!$C:$FA,124)</f>
        <v>0.47</v>
      </c>
      <c r="F20" s="143">
        <f>VLOOKUP($A20,'Data shares'!$C:$FA,125)</f>
        <v>0.26</v>
      </c>
      <c r="G20" s="143">
        <f>VLOOKUP($A20,'Data shares'!$C:$FA,127)*100</f>
        <v>80.77</v>
      </c>
      <c r="H20" s="103">
        <f>VLOOKUP($A20,'OI(Volume)'!$A$7:$O$427,8)</f>
        <v>77420000</v>
      </c>
      <c r="I20" s="103">
        <f>VLOOKUP($A20,'OI(Volume)'!$A$7:$O$427,9)</f>
        <v>6180000</v>
      </c>
      <c r="J20" s="103">
        <f>VLOOKUP($A20,'OI(Volume)'!$A$7:$O$427,11)</f>
        <v>34875000</v>
      </c>
      <c r="K20" s="103">
        <f>VLOOKUP($A20,'OI(Volume)'!$A$7:$O$427,12)</f>
        <v>2715000</v>
      </c>
      <c r="L20" s="103">
        <f>VLOOKUP($A20,'OI(Value)'!$A$7:$O$306,8,0)</f>
        <v>1066</v>
      </c>
      <c r="M20" s="103">
        <f>VLOOKUP($A20,'OI(Value)'!$A$7:$O$306,9,0)</f>
        <v>85</v>
      </c>
      <c r="N20" s="103">
        <f>VLOOKUP($A20,'OI(Value)'!$A$7:$O$306,11,0)</f>
        <v>480</v>
      </c>
      <c r="O20" s="103">
        <f>VLOOKUP($A20,'OI(Value)'!$A$7:$O$306,12,0)</f>
        <v>37</v>
      </c>
      <c r="P20" s="179">
        <f>VLOOKUP(A20,'OI(Value)'!A20:O221,8,0)</f>
        <v>1066</v>
      </c>
      <c r="Q20" s="179">
        <f>VLOOKUP(A20,'OI(Value)'!A20:O221,9,0)</f>
        <v>85</v>
      </c>
      <c r="R20" s="179">
        <f>VLOOKUP(A20,'OI(Value)'!A20:O221,11,0)</f>
        <v>480</v>
      </c>
      <c r="S20" s="179">
        <f>VLOOKUP(A20,'OI(Value)'!A20:O221,11,0)</f>
        <v>480</v>
      </c>
    </row>
    <row r="21" spans="1:19" x14ac:dyDescent="0.25">
      <c r="A21" s="105" t="str">
        <f>'Data shares'!C16</f>
        <v>ASIANPAINT</v>
      </c>
      <c r="B21" s="143">
        <f>VLOOKUP($A21,'Data shares'!$C:$FA,118)</f>
        <v>0.57999999999999996</v>
      </c>
      <c r="C21" s="143">
        <f>VLOOKUP($A21,'Data shares'!$C:$FA,119)</f>
        <v>0.59</v>
      </c>
      <c r="D21" s="143">
        <f>VLOOKUP($A21,'Data shares'!$C:$FA,121)*100</f>
        <v>-1.69</v>
      </c>
      <c r="E21" s="143">
        <f>VLOOKUP($A21,'Data shares'!$C:$FA,124)</f>
        <v>0.33</v>
      </c>
      <c r="F21" s="143">
        <f>VLOOKUP($A21,'Data shares'!$C:$FA,125)</f>
        <v>0.34</v>
      </c>
      <c r="G21" s="143">
        <f>VLOOKUP($A21,'Data shares'!$C:$FA,127)*100</f>
        <v>-2.94</v>
      </c>
      <c r="H21" s="103">
        <f>VLOOKUP($A21,'OI(Volume)'!$A$7:$O$427,8)</f>
        <v>6192500</v>
      </c>
      <c r="I21" s="103">
        <f>VLOOKUP($A21,'OI(Volume)'!$A$7:$O$427,9)</f>
        <v>160250</v>
      </c>
      <c r="J21" s="103">
        <f>VLOOKUP($A21,'OI(Volume)'!$A$7:$O$427,11)</f>
        <v>3578000</v>
      </c>
      <c r="K21" s="103">
        <f>VLOOKUP($A21,'OI(Volume)'!$A$7:$O$427,12)</f>
        <v>39500</v>
      </c>
      <c r="L21" s="103">
        <f>VLOOKUP($A21,'OI(Value)'!$A$7:$O$306,8,0)</f>
        <v>1456</v>
      </c>
      <c r="M21" s="103">
        <f>VLOOKUP($A21,'OI(Value)'!$A$7:$O$306,9,0)</f>
        <v>38</v>
      </c>
      <c r="N21" s="103">
        <f>VLOOKUP($A21,'OI(Value)'!$A$7:$O$306,11,0)</f>
        <v>841</v>
      </c>
      <c r="O21" s="103">
        <f>VLOOKUP($A21,'OI(Value)'!$A$7:$O$306,12,0)</f>
        <v>9</v>
      </c>
      <c r="P21" s="179">
        <f>VLOOKUP(A21,'OI(Value)'!A21:O222,8,0)</f>
        <v>1456</v>
      </c>
      <c r="Q21" s="179">
        <f>VLOOKUP(A21,'OI(Value)'!A21:O222,9,0)</f>
        <v>38</v>
      </c>
      <c r="R21" s="179">
        <f>VLOOKUP(A21,'OI(Value)'!A21:O222,11,0)</f>
        <v>841</v>
      </c>
      <c r="S21" s="179">
        <f>VLOOKUP(A21,'OI(Value)'!A21:O222,11,0)</f>
        <v>841</v>
      </c>
    </row>
    <row r="22" spans="1:19" x14ac:dyDescent="0.25">
      <c r="A22" s="105" t="str">
        <f>'Data shares'!C17</f>
        <v>ASTRAL</v>
      </c>
      <c r="B22" s="143">
        <f>VLOOKUP($A22,'Data shares'!$C:$FA,118)</f>
        <v>0.47</v>
      </c>
      <c r="C22" s="143">
        <f>VLOOKUP($A22,'Data shares'!$C:$FA,119)</f>
        <v>0.48</v>
      </c>
      <c r="D22" s="143">
        <f>VLOOKUP($A22,'Data shares'!$C:$FA,121)*100</f>
        <v>-2.08</v>
      </c>
      <c r="E22" s="143">
        <f>VLOOKUP($A22,'Data shares'!$C:$FA,124)</f>
        <v>0.33</v>
      </c>
      <c r="F22" s="143">
        <f>VLOOKUP($A22,'Data shares'!$C:$FA,125)</f>
        <v>0.54</v>
      </c>
      <c r="G22" s="143">
        <f>VLOOKUP($A22,'Data shares'!$C:$FA,127)*100</f>
        <v>-38.89</v>
      </c>
      <c r="H22" s="103">
        <f>VLOOKUP($A22,'OI(Volume)'!$A$7:$O$427,8)</f>
        <v>2931225</v>
      </c>
      <c r="I22" s="103">
        <f>VLOOKUP($A22,'OI(Volume)'!$A$7:$O$427,9)</f>
        <v>79900</v>
      </c>
      <c r="J22" s="103">
        <f>VLOOKUP($A22,'OI(Volume)'!$A$7:$O$427,11)</f>
        <v>1376575</v>
      </c>
      <c r="K22" s="103">
        <f>VLOOKUP($A22,'OI(Volume)'!$A$7:$O$427,12)</f>
        <v>3400</v>
      </c>
      <c r="L22" s="103">
        <f>VLOOKUP($A22,'OI(Value)'!$A$7:$O$306,8,0)</f>
        <v>420</v>
      </c>
      <c r="M22" s="103">
        <f>VLOOKUP($A22,'OI(Value)'!$A$7:$O$306,9,0)</f>
        <v>11</v>
      </c>
      <c r="N22" s="103">
        <f>VLOOKUP($A22,'OI(Value)'!$A$7:$O$306,11,0)</f>
        <v>197</v>
      </c>
      <c r="O22" s="103">
        <f>VLOOKUP($A22,'OI(Value)'!$A$7:$O$306,12,0)</f>
        <v>0</v>
      </c>
      <c r="P22" s="179">
        <f>VLOOKUP(A22,'OI(Value)'!A22:O223,8,0)</f>
        <v>420</v>
      </c>
      <c r="Q22" s="179">
        <f>VLOOKUP(A22,'OI(Value)'!A22:O223,9,0)</f>
        <v>11</v>
      </c>
      <c r="R22" s="179">
        <f>VLOOKUP(A22,'OI(Value)'!A22:O223,11,0)</f>
        <v>197</v>
      </c>
      <c r="S22" s="179">
        <f>VLOOKUP(A22,'OI(Value)'!A22:O223,11,0)</f>
        <v>197</v>
      </c>
    </row>
    <row r="23" spans="1:19" x14ac:dyDescent="0.25">
      <c r="A23" s="105" t="str">
        <f>'Data shares'!C18</f>
        <v>AUBANK</v>
      </c>
      <c r="B23" s="143">
        <f>VLOOKUP($A23,'Data shares'!$C:$FA,118)</f>
        <v>0.56999999999999995</v>
      </c>
      <c r="C23" s="143">
        <f>VLOOKUP($A23,'Data shares'!$C:$FA,119)</f>
        <v>0.75</v>
      </c>
      <c r="D23" s="143">
        <f>VLOOKUP($A23,'Data shares'!$C:$FA,121)*100</f>
        <v>-24</v>
      </c>
      <c r="E23" s="143">
        <f>VLOOKUP($A23,'Data shares'!$C:$FA,124)</f>
        <v>0.3</v>
      </c>
      <c r="F23" s="143">
        <f>VLOOKUP($A23,'Data shares'!$C:$FA,125)</f>
        <v>0.44</v>
      </c>
      <c r="G23" s="143">
        <f>VLOOKUP($A23,'Data shares'!$C:$FA,127)*100</f>
        <v>-31.819999999999997</v>
      </c>
      <c r="H23" s="103">
        <f>VLOOKUP($A23,'OI(Volume)'!$A$7:$O$427,8)</f>
        <v>7527000</v>
      </c>
      <c r="I23" s="103">
        <f>VLOOKUP($A23,'OI(Volume)'!$A$7:$O$427,9)</f>
        <v>2000000</v>
      </c>
      <c r="J23" s="103">
        <f>VLOOKUP($A23,'OI(Volume)'!$A$7:$O$427,11)</f>
        <v>4327000</v>
      </c>
      <c r="K23" s="103">
        <f>VLOOKUP($A23,'OI(Volume)'!$A$7:$O$427,12)</f>
        <v>203000</v>
      </c>
      <c r="L23" s="103">
        <f>VLOOKUP($A23,'OI(Value)'!$A$7:$O$306,8,0)</f>
        <v>578</v>
      </c>
      <c r="M23" s="103">
        <f>VLOOKUP($A23,'OI(Value)'!$A$7:$O$306,9,0)</f>
        <v>154</v>
      </c>
      <c r="N23" s="103">
        <f>VLOOKUP($A23,'OI(Value)'!$A$7:$O$306,11,0)</f>
        <v>332</v>
      </c>
      <c r="O23" s="103">
        <f>VLOOKUP($A23,'OI(Value)'!$A$7:$O$306,12,0)</f>
        <v>16</v>
      </c>
      <c r="P23" s="179">
        <f>VLOOKUP(A23,'OI(Value)'!A23:O224,8,0)</f>
        <v>578</v>
      </c>
      <c r="Q23" s="179">
        <f>VLOOKUP(A23,'OI(Value)'!A23:O224,9,0)</f>
        <v>154</v>
      </c>
      <c r="R23" s="179">
        <f>VLOOKUP(A23,'OI(Value)'!A23:O224,11,0)</f>
        <v>332</v>
      </c>
      <c r="S23" s="179">
        <f>VLOOKUP(A23,'OI(Value)'!A23:O224,11,0)</f>
        <v>332</v>
      </c>
    </row>
    <row r="24" spans="1:19" x14ac:dyDescent="0.25">
      <c r="A24" s="105" t="str">
        <f>'Data shares'!C19</f>
        <v>AUROPHARMA</v>
      </c>
      <c r="B24" s="143">
        <f>VLOOKUP($A24,'Data shares'!$C:$FA,118)</f>
        <v>0.76</v>
      </c>
      <c r="C24" s="143">
        <f>VLOOKUP($A24,'Data shares'!$C:$FA,119)</f>
        <v>0.81</v>
      </c>
      <c r="D24" s="143">
        <f>VLOOKUP($A24,'Data shares'!$C:$FA,121)*100</f>
        <v>-6.17</v>
      </c>
      <c r="E24" s="143">
        <f>VLOOKUP($A24,'Data shares'!$C:$FA,124)</f>
        <v>0.45</v>
      </c>
      <c r="F24" s="143">
        <f>VLOOKUP($A24,'Data shares'!$C:$FA,125)</f>
        <v>0.48</v>
      </c>
      <c r="G24" s="143">
        <f>VLOOKUP($A24,'Data shares'!$C:$FA,127)*100</f>
        <v>-6.25</v>
      </c>
      <c r="H24" s="103">
        <f>VLOOKUP($A24,'OI(Volume)'!$A$7:$O$427,8)</f>
        <v>3762550</v>
      </c>
      <c r="I24" s="103">
        <f>VLOOKUP($A24,'OI(Volume)'!$A$7:$O$427,9)</f>
        <v>392700</v>
      </c>
      <c r="J24" s="103">
        <f>VLOOKUP($A24,'OI(Volume)'!$A$7:$O$427,11)</f>
        <v>2856700</v>
      </c>
      <c r="K24" s="103">
        <f>VLOOKUP($A24,'OI(Volume)'!$A$7:$O$427,12)</f>
        <v>114400</v>
      </c>
      <c r="L24" s="103">
        <f>VLOOKUP($A24,'OI(Value)'!$A$7:$O$306,8,0)</f>
        <v>428</v>
      </c>
      <c r="M24" s="103">
        <f>VLOOKUP($A24,'OI(Value)'!$A$7:$O$306,9,0)</f>
        <v>45</v>
      </c>
      <c r="N24" s="103">
        <f>VLOOKUP($A24,'OI(Value)'!$A$7:$O$306,11,0)</f>
        <v>325</v>
      </c>
      <c r="O24" s="103">
        <f>VLOOKUP($A24,'OI(Value)'!$A$7:$O$306,12,0)</f>
        <v>13</v>
      </c>
      <c r="P24" s="179">
        <f>VLOOKUP(A24,'OI(Value)'!A24:O225,8,0)</f>
        <v>428</v>
      </c>
      <c r="Q24" s="179">
        <f>VLOOKUP(A24,'OI(Value)'!A24:O225,9,0)</f>
        <v>45</v>
      </c>
      <c r="R24" s="179">
        <f>VLOOKUP(A24,'OI(Value)'!A24:O225,11,0)</f>
        <v>325</v>
      </c>
      <c r="S24" s="179">
        <f>VLOOKUP(A24,'OI(Value)'!A24:O225,11,0)</f>
        <v>325</v>
      </c>
    </row>
    <row r="25" spans="1:19" x14ac:dyDescent="0.25">
      <c r="A25" s="105" t="str">
        <f>'Data shares'!C20</f>
        <v>AXISBANK</v>
      </c>
      <c r="B25" s="143">
        <f>VLOOKUP($A25,'Data shares'!$C:$FA,118)</f>
        <v>0.45</v>
      </c>
      <c r="C25" s="143">
        <f>VLOOKUP($A25,'Data shares'!$C:$FA,119)</f>
        <v>0.41</v>
      </c>
      <c r="D25" s="143">
        <f>VLOOKUP($A25,'Data shares'!$C:$FA,121)*100</f>
        <v>9.76</v>
      </c>
      <c r="E25" s="143">
        <f>VLOOKUP($A25,'Data shares'!$C:$FA,124)</f>
        <v>0.59</v>
      </c>
      <c r="F25" s="143">
        <f>VLOOKUP($A25,'Data shares'!$C:$FA,125)</f>
        <v>0.53</v>
      </c>
      <c r="G25" s="143">
        <f>VLOOKUP($A25,'Data shares'!$C:$FA,127)*100</f>
        <v>11.32</v>
      </c>
      <c r="H25" s="103">
        <f>VLOOKUP($A25,'OI(Volume)'!$A$7:$O$427,8)</f>
        <v>28375000</v>
      </c>
      <c r="I25" s="103">
        <f>VLOOKUP($A25,'OI(Volume)'!$A$7:$O$427,9)</f>
        <v>-1396250</v>
      </c>
      <c r="J25" s="103">
        <f>VLOOKUP($A25,'OI(Volume)'!$A$7:$O$427,11)</f>
        <v>12871875</v>
      </c>
      <c r="K25" s="103">
        <f>VLOOKUP($A25,'OI(Volume)'!$A$7:$O$427,12)</f>
        <v>655000</v>
      </c>
      <c r="L25" s="103">
        <f>VLOOKUP($A25,'OI(Value)'!$A$7:$O$306,8,0)</f>
        <v>3359</v>
      </c>
      <c r="M25" s="103">
        <f>VLOOKUP($A25,'OI(Value)'!$A$7:$O$306,9,0)</f>
        <v>-165</v>
      </c>
      <c r="N25" s="103">
        <f>VLOOKUP($A25,'OI(Value)'!$A$7:$O$306,11,0)</f>
        <v>1524</v>
      </c>
      <c r="O25" s="103">
        <f>VLOOKUP($A25,'OI(Value)'!$A$7:$O$306,12,0)</f>
        <v>78</v>
      </c>
      <c r="P25" s="179">
        <f>VLOOKUP(A25,'OI(Value)'!A25:O226,8,0)</f>
        <v>3359</v>
      </c>
      <c r="Q25" s="179">
        <f>VLOOKUP(A25,'OI(Value)'!A25:O226,9,0)</f>
        <v>-165</v>
      </c>
      <c r="R25" s="179">
        <f>VLOOKUP(A25,'OI(Value)'!A25:O226,11,0)</f>
        <v>1524</v>
      </c>
      <c r="S25" s="179">
        <f>VLOOKUP(A25,'OI(Value)'!A25:O226,11,0)</f>
        <v>1524</v>
      </c>
    </row>
    <row r="26" spans="1:19" x14ac:dyDescent="0.25">
      <c r="A26" s="105" t="str">
        <f>'Data shares'!C21</f>
        <v>BAJAJ-AUTO</v>
      </c>
      <c r="B26" s="143">
        <f>VLOOKUP($A26,'Data shares'!$C:$FA,118)</f>
        <v>0.67</v>
      </c>
      <c r="C26" s="143">
        <f>VLOOKUP($A26,'Data shares'!$C:$FA,119)</f>
        <v>0.57999999999999996</v>
      </c>
      <c r="D26" s="143">
        <f>VLOOKUP($A26,'Data shares'!$C:$FA,121)*100</f>
        <v>15.52</v>
      </c>
      <c r="E26" s="143">
        <f>VLOOKUP($A26,'Data shares'!$C:$FA,124)</f>
        <v>0.37</v>
      </c>
      <c r="F26" s="143">
        <f>VLOOKUP($A26,'Data shares'!$C:$FA,125)</f>
        <v>0.49</v>
      </c>
      <c r="G26" s="143">
        <f>VLOOKUP($A26,'Data shares'!$C:$FA,127)*100</f>
        <v>-24.490000000000002</v>
      </c>
      <c r="H26" s="103">
        <f>VLOOKUP($A26,'OI(Volume)'!$A$7:$O$427,8)</f>
        <v>1573350</v>
      </c>
      <c r="I26" s="103">
        <f>VLOOKUP($A26,'OI(Volume)'!$A$7:$O$427,9)</f>
        <v>-49350</v>
      </c>
      <c r="J26" s="103">
        <f>VLOOKUP($A26,'OI(Volume)'!$A$7:$O$427,11)</f>
        <v>1056450</v>
      </c>
      <c r="K26" s="103">
        <f>VLOOKUP($A26,'OI(Volume)'!$A$7:$O$427,12)</f>
        <v>111525</v>
      </c>
      <c r="L26" s="103">
        <f>VLOOKUP($A26,'OI(Value)'!$A$7:$O$306,8,0)</f>
        <v>1415</v>
      </c>
      <c r="M26" s="103">
        <f>VLOOKUP($A26,'OI(Value)'!$A$7:$O$306,9,0)</f>
        <v>-44</v>
      </c>
      <c r="N26" s="103">
        <f>VLOOKUP($A26,'OI(Value)'!$A$7:$O$306,11,0)</f>
        <v>950</v>
      </c>
      <c r="O26" s="103">
        <f>VLOOKUP($A26,'OI(Value)'!$A$7:$O$306,12,0)</f>
        <v>100</v>
      </c>
      <c r="P26" s="179">
        <f>VLOOKUP(A26,'OI(Value)'!A26:O227,8,0)</f>
        <v>1415</v>
      </c>
      <c r="Q26" s="179">
        <f>VLOOKUP(A26,'OI(Value)'!A26:O227,9,0)</f>
        <v>-44</v>
      </c>
      <c r="R26" s="179">
        <f>VLOOKUP(A26,'OI(Value)'!A26:O227,11,0)</f>
        <v>950</v>
      </c>
      <c r="S26" s="179">
        <f>VLOOKUP(A26,'OI(Value)'!A26:O227,11,0)</f>
        <v>950</v>
      </c>
    </row>
    <row r="27" spans="1:19" x14ac:dyDescent="0.25">
      <c r="A27" s="105" t="str">
        <f>'Data shares'!C22</f>
        <v>BAJAJFINSV</v>
      </c>
      <c r="B27" s="143">
        <f>VLOOKUP($A27,'Data shares'!$C:$FA,118)</f>
        <v>0.62</v>
      </c>
      <c r="C27" s="143">
        <f>VLOOKUP($A27,'Data shares'!$C:$FA,119)</f>
        <v>0.64</v>
      </c>
      <c r="D27" s="143">
        <f>VLOOKUP($A27,'Data shares'!$C:$FA,121)*100</f>
        <v>-3.1300000000000003</v>
      </c>
      <c r="E27" s="143">
        <f>VLOOKUP($A27,'Data shares'!$C:$FA,124)</f>
        <v>0.51</v>
      </c>
      <c r="F27" s="143">
        <f>VLOOKUP($A27,'Data shares'!$C:$FA,125)</f>
        <v>0.66</v>
      </c>
      <c r="G27" s="143">
        <f>VLOOKUP($A27,'Data shares'!$C:$FA,127)*100</f>
        <v>-22.73</v>
      </c>
      <c r="H27" s="103">
        <f>VLOOKUP($A27,'OI(Volume)'!$A$7:$O$427,8)</f>
        <v>5087000</v>
      </c>
      <c r="I27" s="103">
        <f>VLOOKUP($A27,'OI(Volume)'!$A$7:$O$427,9)</f>
        <v>312500</v>
      </c>
      <c r="J27" s="103">
        <f>VLOOKUP($A27,'OI(Volume)'!$A$7:$O$427,11)</f>
        <v>3152500</v>
      </c>
      <c r="K27" s="103">
        <f>VLOOKUP($A27,'OI(Volume)'!$A$7:$O$427,12)</f>
        <v>79500</v>
      </c>
      <c r="L27" s="103">
        <f>VLOOKUP($A27,'OI(Value)'!$A$7:$O$306,8,0)</f>
        <v>1025</v>
      </c>
      <c r="M27" s="103">
        <f>VLOOKUP($A27,'OI(Value)'!$A$7:$O$306,9,0)</f>
        <v>63</v>
      </c>
      <c r="N27" s="103">
        <f>VLOOKUP($A27,'OI(Value)'!$A$7:$O$306,11,0)</f>
        <v>635</v>
      </c>
      <c r="O27" s="103">
        <f>VLOOKUP($A27,'OI(Value)'!$A$7:$O$306,12,0)</f>
        <v>16</v>
      </c>
      <c r="P27" s="179">
        <f>VLOOKUP(A27,'OI(Value)'!A27:O228,8,0)</f>
        <v>1025</v>
      </c>
      <c r="Q27" s="179">
        <f>VLOOKUP(A27,'OI(Value)'!A27:O228,9,0)</f>
        <v>63</v>
      </c>
      <c r="R27" s="179">
        <f>VLOOKUP(A27,'OI(Value)'!A27:O228,11,0)</f>
        <v>635</v>
      </c>
      <c r="S27" s="179">
        <f>VLOOKUP(A27,'OI(Value)'!A27:O228,11,0)</f>
        <v>635</v>
      </c>
    </row>
    <row r="28" spans="1:19" x14ac:dyDescent="0.25">
      <c r="A28" s="105" t="str">
        <f>'Data shares'!C23</f>
        <v>BAJFINANCE</v>
      </c>
      <c r="B28" s="143">
        <f>VLOOKUP($A28,'Data shares'!$C:$FA,118)</f>
        <v>0.72</v>
      </c>
      <c r="C28" s="143">
        <f>VLOOKUP($A28,'Data shares'!$C:$FA,119)</f>
        <v>0.75</v>
      </c>
      <c r="D28" s="143">
        <f>VLOOKUP($A28,'Data shares'!$C:$FA,121)*100</f>
        <v>-4</v>
      </c>
      <c r="E28" s="143">
        <f>VLOOKUP($A28,'Data shares'!$C:$FA,124)</f>
        <v>0.47</v>
      </c>
      <c r="F28" s="143">
        <f>VLOOKUP($A28,'Data shares'!$C:$FA,125)</f>
        <v>0.76</v>
      </c>
      <c r="G28" s="143">
        <f>VLOOKUP($A28,'Data shares'!$C:$FA,127)*100</f>
        <v>-38.159999999999997</v>
      </c>
      <c r="H28" s="103">
        <f>VLOOKUP($A28,'OI(Volume)'!$A$7:$O$427,8)</f>
        <v>18580500</v>
      </c>
      <c r="I28" s="103">
        <f>VLOOKUP($A28,'OI(Volume)'!$A$7:$O$427,9)</f>
        <v>1289250</v>
      </c>
      <c r="J28" s="103">
        <f>VLOOKUP($A28,'OI(Volume)'!$A$7:$O$427,11)</f>
        <v>13308750</v>
      </c>
      <c r="K28" s="103">
        <f>VLOOKUP($A28,'OI(Volume)'!$A$7:$O$427,12)</f>
        <v>374250</v>
      </c>
      <c r="L28" s="103">
        <f>VLOOKUP($A28,'OI(Value)'!$A$7:$O$306,8,0)</f>
        <v>1912</v>
      </c>
      <c r="M28" s="103">
        <f>VLOOKUP($A28,'OI(Value)'!$A$7:$O$306,9,0)</f>
        <v>133</v>
      </c>
      <c r="N28" s="103">
        <f>VLOOKUP($A28,'OI(Value)'!$A$7:$O$306,11,0)</f>
        <v>1370</v>
      </c>
      <c r="O28" s="103">
        <f>VLOOKUP($A28,'OI(Value)'!$A$7:$O$306,12,0)</f>
        <v>39</v>
      </c>
      <c r="P28" s="179">
        <f>VLOOKUP(A28,'OI(Value)'!A28:O229,8,0)</f>
        <v>1912</v>
      </c>
      <c r="Q28" s="179">
        <f>VLOOKUP(A28,'OI(Value)'!A28:O229,9,0)</f>
        <v>133</v>
      </c>
      <c r="R28" s="179">
        <f>VLOOKUP(A28,'OI(Value)'!A28:O229,11,0)</f>
        <v>1370</v>
      </c>
      <c r="S28" s="179">
        <f>VLOOKUP(A28,'OI(Value)'!A28:O229,11,0)</f>
        <v>1370</v>
      </c>
    </row>
    <row r="29" spans="1:19" x14ac:dyDescent="0.25">
      <c r="A29" s="105" t="str">
        <f>'Data shares'!C24</f>
        <v>BANDHANBNK</v>
      </c>
      <c r="B29" s="143">
        <f>VLOOKUP($A29,'Data shares'!$C:$FA,118)</f>
        <v>0.85</v>
      </c>
      <c r="C29" s="143">
        <f>VLOOKUP($A29,'Data shares'!$C:$FA,119)</f>
        <v>0.82</v>
      </c>
      <c r="D29" s="143">
        <f>VLOOKUP($A29,'Data shares'!$C:$FA,121)*100</f>
        <v>3.66</v>
      </c>
      <c r="E29" s="143">
        <f>VLOOKUP($A29,'Data shares'!$C:$FA,124)</f>
        <v>0.49</v>
      </c>
      <c r="F29" s="143">
        <f>VLOOKUP($A29,'Data shares'!$C:$FA,125)</f>
        <v>0.4</v>
      </c>
      <c r="G29" s="143">
        <f>VLOOKUP($A29,'Data shares'!$C:$FA,127)*100</f>
        <v>22.5</v>
      </c>
      <c r="H29" s="103">
        <f>VLOOKUP($A29,'OI(Volume)'!$A$7:$O$427,8)</f>
        <v>31734000</v>
      </c>
      <c r="I29" s="103">
        <f>VLOOKUP($A29,'OI(Volume)'!$A$7:$O$427,9)</f>
        <v>604800</v>
      </c>
      <c r="J29" s="103">
        <f>VLOOKUP($A29,'OI(Volume)'!$A$7:$O$427,11)</f>
        <v>26917200</v>
      </c>
      <c r="K29" s="103">
        <f>VLOOKUP($A29,'OI(Volume)'!$A$7:$O$427,12)</f>
        <v>1461600</v>
      </c>
      <c r="L29" s="103">
        <f>VLOOKUP($A29,'OI(Value)'!$A$7:$O$306,8,0)</f>
        <v>540</v>
      </c>
      <c r="M29" s="103">
        <f>VLOOKUP($A29,'OI(Value)'!$A$7:$O$306,9,0)</f>
        <v>10</v>
      </c>
      <c r="N29" s="103">
        <f>VLOOKUP($A29,'OI(Value)'!$A$7:$O$306,11,0)</f>
        <v>458</v>
      </c>
      <c r="O29" s="103">
        <f>VLOOKUP($A29,'OI(Value)'!$A$7:$O$306,12,0)</f>
        <v>25</v>
      </c>
      <c r="P29" s="179">
        <f>VLOOKUP(A29,'OI(Value)'!A29:O230,8,0)</f>
        <v>540</v>
      </c>
      <c r="Q29" s="179">
        <f>VLOOKUP(A29,'OI(Value)'!A29:O230,9,0)</f>
        <v>10</v>
      </c>
      <c r="R29" s="179">
        <f>VLOOKUP(A29,'OI(Value)'!A29:O230,11,0)</f>
        <v>458</v>
      </c>
      <c r="S29" s="179">
        <f>VLOOKUP(A29,'OI(Value)'!A29:O230,11,0)</f>
        <v>458</v>
      </c>
    </row>
    <row r="30" spans="1:19" x14ac:dyDescent="0.25">
      <c r="A30" s="105" t="str">
        <f>'Data shares'!C25</f>
        <v>BANKBARODA</v>
      </c>
      <c r="B30" s="143">
        <f>VLOOKUP($A30,'Data shares'!$C:$FA,118)</f>
        <v>0.77</v>
      </c>
      <c r="C30" s="143">
        <f>VLOOKUP($A30,'Data shares'!$C:$FA,119)</f>
        <v>0.77</v>
      </c>
      <c r="D30" s="143">
        <f>VLOOKUP($A30,'Data shares'!$C:$FA,121)*100</f>
        <v>0</v>
      </c>
      <c r="E30" s="143">
        <f>VLOOKUP($A30,'Data shares'!$C:$FA,124)</f>
        <v>0.41</v>
      </c>
      <c r="F30" s="143">
        <f>VLOOKUP($A30,'Data shares'!$C:$FA,125)</f>
        <v>0.45</v>
      </c>
      <c r="G30" s="143">
        <f>VLOOKUP($A30,'Data shares'!$C:$FA,127)*100</f>
        <v>-8.89</v>
      </c>
      <c r="H30" s="103">
        <f>VLOOKUP($A30,'OI(Volume)'!$A$7:$O$427,8)</f>
        <v>42005925</v>
      </c>
      <c r="I30" s="103">
        <f>VLOOKUP($A30,'OI(Volume)'!$A$7:$O$427,9)</f>
        <v>944775</v>
      </c>
      <c r="J30" s="103">
        <f>VLOOKUP($A30,'OI(Volume)'!$A$7:$O$427,11)</f>
        <v>32169150</v>
      </c>
      <c r="K30" s="103">
        <f>VLOOKUP($A30,'OI(Volume)'!$A$7:$O$427,12)</f>
        <v>719550</v>
      </c>
      <c r="L30" s="103">
        <f>VLOOKUP($A30,'OI(Value)'!$A$7:$O$306,8,0)</f>
        <v>1124</v>
      </c>
      <c r="M30" s="103">
        <f>VLOOKUP($A30,'OI(Value)'!$A$7:$O$306,9,0)</f>
        <v>25</v>
      </c>
      <c r="N30" s="103">
        <f>VLOOKUP($A30,'OI(Value)'!$A$7:$O$306,11,0)</f>
        <v>861</v>
      </c>
      <c r="O30" s="103">
        <f>VLOOKUP($A30,'OI(Value)'!$A$7:$O$306,12,0)</f>
        <v>19</v>
      </c>
      <c r="P30" s="179">
        <f>VLOOKUP(A30,'OI(Value)'!A30:O231,8,0)</f>
        <v>1124</v>
      </c>
      <c r="Q30" s="179">
        <f>VLOOKUP(A30,'OI(Value)'!A30:O231,9,0)</f>
        <v>25</v>
      </c>
      <c r="R30" s="179">
        <f>VLOOKUP(A30,'OI(Value)'!A30:O231,11,0)</f>
        <v>861</v>
      </c>
      <c r="S30" s="179">
        <f>VLOOKUP(A30,'OI(Value)'!A30:O231,11,0)</f>
        <v>861</v>
      </c>
    </row>
    <row r="31" spans="1:19" x14ac:dyDescent="0.25">
      <c r="A31" s="105" t="str">
        <f>'Data shares'!C26</f>
        <v>BANKINDIA</v>
      </c>
      <c r="B31" s="143">
        <f>VLOOKUP($A31,'Data shares'!$C:$FA,118)</f>
        <v>0.65</v>
      </c>
      <c r="C31" s="143">
        <f>VLOOKUP($A31,'Data shares'!$C:$FA,119)</f>
        <v>0.63</v>
      </c>
      <c r="D31" s="143">
        <f>VLOOKUP($A31,'Data shares'!$C:$FA,121)*100</f>
        <v>3.17</v>
      </c>
      <c r="E31" s="143">
        <f>VLOOKUP($A31,'Data shares'!$C:$FA,124)</f>
        <v>0.34</v>
      </c>
      <c r="F31" s="143">
        <f>VLOOKUP($A31,'Data shares'!$C:$FA,125)</f>
        <v>0.33</v>
      </c>
      <c r="G31" s="143">
        <f>VLOOKUP($A31,'Data shares'!$C:$FA,127)*100</f>
        <v>3.0300000000000002</v>
      </c>
      <c r="H31" s="103">
        <f>VLOOKUP($A31,'OI(Volume)'!$A$7:$O$427,8)</f>
        <v>25927200</v>
      </c>
      <c r="I31" s="103">
        <f>VLOOKUP($A31,'OI(Volume)'!$A$7:$O$427,9)</f>
        <v>1372800</v>
      </c>
      <c r="J31" s="103">
        <f>VLOOKUP($A31,'OI(Volume)'!$A$7:$O$427,11)</f>
        <v>16775200</v>
      </c>
      <c r="K31" s="103">
        <f>VLOOKUP($A31,'OI(Volume)'!$A$7:$O$427,12)</f>
        <v>1274000</v>
      </c>
      <c r="L31" s="103">
        <f>VLOOKUP($A31,'OI(Value)'!$A$7:$O$306,8,0)</f>
        <v>330</v>
      </c>
      <c r="M31" s="103">
        <f>VLOOKUP($A31,'OI(Value)'!$A$7:$O$306,9,0)</f>
        <v>17</v>
      </c>
      <c r="N31" s="103">
        <f>VLOOKUP($A31,'OI(Value)'!$A$7:$O$306,11,0)</f>
        <v>214</v>
      </c>
      <c r="O31" s="103">
        <f>VLOOKUP($A31,'OI(Value)'!$A$7:$O$306,12,0)</f>
        <v>16</v>
      </c>
      <c r="P31" s="179">
        <f>VLOOKUP(A31,'OI(Value)'!A31:O232,8,0)</f>
        <v>330</v>
      </c>
      <c r="Q31" s="179">
        <f>VLOOKUP(A31,'OI(Value)'!A31:O232,9,0)</f>
        <v>17</v>
      </c>
      <c r="R31" s="179">
        <f>VLOOKUP(A31,'OI(Value)'!A31:O232,11,0)</f>
        <v>214</v>
      </c>
      <c r="S31" s="179">
        <f>VLOOKUP(A31,'OI(Value)'!A31:O232,11,0)</f>
        <v>214</v>
      </c>
    </row>
    <row r="32" spans="1:19" x14ac:dyDescent="0.25">
      <c r="A32" s="105" t="str">
        <f>'Data shares'!C27</f>
        <v>BANKNIFTY</v>
      </c>
      <c r="B32" s="143">
        <f>VLOOKUP($A32,'Data shares'!$C:$FA,118)</f>
        <v>1.1399999999999999</v>
      </c>
      <c r="C32" s="143">
        <f>VLOOKUP($A32,'Data shares'!$C:$FA,119)</f>
        <v>1.08</v>
      </c>
      <c r="D32" s="143">
        <f>VLOOKUP($A32,'Data shares'!$C:$FA,121)*100</f>
        <v>5.56</v>
      </c>
      <c r="E32" s="143">
        <f>VLOOKUP($A32,'Data shares'!$C:$FA,124)</f>
        <v>0.82</v>
      </c>
      <c r="F32" s="143">
        <f>VLOOKUP($A32,'Data shares'!$C:$FA,125)</f>
        <v>0.89</v>
      </c>
      <c r="G32" s="143">
        <f>VLOOKUP($A32,'Data shares'!$C:$FA,127)*100</f>
        <v>-7.870000000000001</v>
      </c>
      <c r="H32" s="103">
        <f>VLOOKUP($A32,'OI(Volume)'!$A$7:$O$427,8)</f>
        <v>17927470</v>
      </c>
      <c r="I32" s="103">
        <f>VLOOKUP($A32,'OI(Volume)'!$A$7:$O$427,9)</f>
        <v>393155</v>
      </c>
      <c r="J32" s="103">
        <f>VLOOKUP($A32,'OI(Volume)'!$A$7:$O$427,11)</f>
        <v>20510690</v>
      </c>
      <c r="K32" s="103">
        <f>VLOOKUP($A32,'OI(Volume)'!$A$7:$O$427,12)</f>
        <v>1616575</v>
      </c>
      <c r="L32" s="103">
        <f>VLOOKUP($A32,'OI(Value)'!$A$7:$O$306,8,0)</f>
        <v>101940</v>
      </c>
      <c r="M32" s="103">
        <f>VLOOKUP($A32,'OI(Value)'!$A$7:$O$306,9,0)</f>
        <v>2236</v>
      </c>
      <c r="N32" s="103">
        <f>VLOOKUP($A32,'OI(Value)'!$A$7:$O$306,11,0)</f>
        <v>116628</v>
      </c>
      <c r="O32" s="103">
        <f>VLOOKUP($A32,'OI(Value)'!$A$7:$O$306,12,0)</f>
        <v>9192</v>
      </c>
      <c r="P32" s="179">
        <f>VLOOKUP(A32,'OI(Value)'!A32:O233,8,0)</f>
        <v>101940</v>
      </c>
      <c r="Q32" s="179">
        <f>VLOOKUP(A32,'OI(Value)'!A32:O233,9,0)</f>
        <v>2236</v>
      </c>
      <c r="R32" s="179">
        <f>VLOOKUP(A32,'OI(Value)'!A32:O233,11,0)</f>
        <v>116628</v>
      </c>
      <c r="S32" s="179">
        <f>VLOOKUP(A32,'OI(Value)'!A32:O233,11,0)</f>
        <v>116628</v>
      </c>
    </row>
    <row r="33" spans="1:19" x14ac:dyDescent="0.25">
      <c r="A33" s="105" t="str">
        <f>'Data shares'!C28</f>
        <v>BDL</v>
      </c>
      <c r="B33" s="143">
        <f>VLOOKUP($A33,'Data shares'!$C:$FA,118)</f>
        <v>0.59</v>
      </c>
      <c r="C33" s="143">
        <f>VLOOKUP($A33,'Data shares'!$C:$FA,119)</f>
        <v>0.56000000000000005</v>
      </c>
      <c r="D33" s="143">
        <f>VLOOKUP($A33,'Data shares'!$C:$FA,121)*100</f>
        <v>5.36</v>
      </c>
      <c r="E33" s="143">
        <f>VLOOKUP($A33,'Data shares'!$C:$FA,124)</f>
        <v>0.32</v>
      </c>
      <c r="F33" s="143">
        <f>VLOOKUP($A33,'Data shares'!$C:$FA,125)</f>
        <v>0.22</v>
      </c>
      <c r="G33" s="143">
        <f>VLOOKUP($A33,'Data shares'!$C:$FA,127)*100</f>
        <v>45.45</v>
      </c>
      <c r="H33" s="103">
        <f>VLOOKUP($A33,'OI(Volume)'!$A$7:$O$427,8)</f>
        <v>3340350</v>
      </c>
      <c r="I33" s="103">
        <f>VLOOKUP($A33,'OI(Volume)'!$A$7:$O$427,9)</f>
        <v>-159250</v>
      </c>
      <c r="J33" s="103">
        <f>VLOOKUP($A33,'OI(Volume)'!$A$7:$O$427,11)</f>
        <v>1975350</v>
      </c>
      <c r="K33" s="103">
        <f>VLOOKUP($A33,'OI(Volume)'!$A$7:$O$427,12)</f>
        <v>24050</v>
      </c>
      <c r="L33" s="103">
        <f>VLOOKUP($A33,'OI(Value)'!$A$7:$O$306,8,0)</f>
        <v>514</v>
      </c>
      <c r="M33" s="103">
        <f>VLOOKUP($A33,'OI(Value)'!$A$7:$O$306,9,0)</f>
        <v>-25</v>
      </c>
      <c r="N33" s="103">
        <f>VLOOKUP($A33,'OI(Value)'!$A$7:$O$306,11,0)</f>
        <v>304</v>
      </c>
      <c r="O33" s="103">
        <f>VLOOKUP($A33,'OI(Value)'!$A$7:$O$306,12,0)</f>
        <v>4</v>
      </c>
      <c r="P33" s="179">
        <f>VLOOKUP(A33,'OI(Value)'!A33:O234,8,0)</f>
        <v>514</v>
      </c>
      <c r="Q33" s="179">
        <f>VLOOKUP(A33,'OI(Value)'!A33:O234,9,0)</f>
        <v>-25</v>
      </c>
      <c r="R33" s="179">
        <f>VLOOKUP(A33,'OI(Value)'!A33:O234,11,0)</f>
        <v>304</v>
      </c>
      <c r="S33" s="179">
        <f>VLOOKUP(A33,'OI(Value)'!A33:O234,11,0)</f>
        <v>304</v>
      </c>
    </row>
    <row r="34" spans="1:19" x14ac:dyDescent="0.25">
      <c r="A34" s="105" t="str">
        <f>'Data shares'!C29</f>
        <v>BEL</v>
      </c>
      <c r="B34" s="143">
        <f>VLOOKUP($A34,'Data shares'!$C:$FA,118)</f>
        <v>0.64</v>
      </c>
      <c r="C34" s="143">
        <f>VLOOKUP($A34,'Data shares'!$C:$FA,119)</f>
        <v>0.64</v>
      </c>
      <c r="D34" s="143">
        <f>VLOOKUP($A34,'Data shares'!$C:$FA,121)*100</f>
        <v>0</v>
      </c>
      <c r="E34" s="143">
        <f>VLOOKUP($A34,'Data shares'!$C:$FA,124)</f>
        <v>0.49</v>
      </c>
      <c r="F34" s="143">
        <f>VLOOKUP($A34,'Data shares'!$C:$FA,125)</f>
        <v>0.5</v>
      </c>
      <c r="G34" s="143">
        <f>VLOOKUP($A34,'Data shares'!$C:$FA,127)*100</f>
        <v>-2</v>
      </c>
      <c r="H34" s="103">
        <f>VLOOKUP($A34,'OI(Volume)'!$A$7:$O$427,8)</f>
        <v>61876350</v>
      </c>
      <c r="I34" s="103">
        <f>VLOOKUP($A34,'OI(Volume)'!$A$7:$O$427,9)</f>
        <v>236550</v>
      </c>
      <c r="J34" s="103">
        <f>VLOOKUP($A34,'OI(Volume)'!$A$7:$O$427,11)</f>
        <v>39358500</v>
      </c>
      <c r="K34" s="103">
        <f>VLOOKUP($A34,'OI(Volume)'!$A$7:$O$427,12)</f>
        <v>-190950</v>
      </c>
      <c r="L34" s="103">
        <f>VLOOKUP($A34,'OI(Value)'!$A$7:$O$306,8,0)</f>
        <v>2568</v>
      </c>
      <c r="M34" s="103">
        <f>VLOOKUP($A34,'OI(Value)'!$A$7:$O$306,9,0)</f>
        <v>10</v>
      </c>
      <c r="N34" s="103">
        <f>VLOOKUP($A34,'OI(Value)'!$A$7:$O$306,11,0)</f>
        <v>1633</v>
      </c>
      <c r="O34" s="103">
        <f>VLOOKUP($A34,'OI(Value)'!$A$7:$O$306,12,0)</f>
        <v>-8</v>
      </c>
      <c r="P34" s="179">
        <f>VLOOKUP(A34,'OI(Value)'!A34:O235,8,0)</f>
        <v>2568</v>
      </c>
      <c r="Q34" s="179">
        <f>VLOOKUP(A34,'OI(Value)'!A34:O235,9,0)</f>
        <v>10</v>
      </c>
      <c r="R34" s="179">
        <f>VLOOKUP(A34,'OI(Value)'!A34:O235,11,0)</f>
        <v>1633</v>
      </c>
      <c r="S34" s="179">
        <f>VLOOKUP(A34,'OI(Value)'!A34:O235,11,0)</f>
        <v>1633</v>
      </c>
    </row>
    <row r="35" spans="1:19" x14ac:dyDescent="0.25">
      <c r="A35" s="105" t="str">
        <f>'Data shares'!C30</f>
        <v>BHARATFORG</v>
      </c>
      <c r="B35" s="143">
        <f>VLOOKUP($A35,'Data shares'!$C:$FA,118)</f>
        <v>0.64</v>
      </c>
      <c r="C35" s="143">
        <f>VLOOKUP($A35,'Data shares'!$C:$FA,119)</f>
        <v>0.67</v>
      </c>
      <c r="D35" s="143">
        <f>VLOOKUP($A35,'Data shares'!$C:$FA,121)*100</f>
        <v>-4.4799999999999995</v>
      </c>
      <c r="E35" s="143">
        <f>VLOOKUP($A35,'Data shares'!$C:$FA,124)</f>
        <v>0.35</v>
      </c>
      <c r="F35" s="143">
        <f>VLOOKUP($A35,'Data shares'!$C:$FA,125)</f>
        <v>0.43</v>
      </c>
      <c r="G35" s="143">
        <f>VLOOKUP($A35,'Data shares'!$C:$FA,127)*100</f>
        <v>-18.600000000000001</v>
      </c>
      <c r="H35" s="103">
        <f>VLOOKUP($A35,'OI(Volume)'!$A$7:$O$427,8)</f>
        <v>3270000</v>
      </c>
      <c r="I35" s="103">
        <f>VLOOKUP($A35,'OI(Volume)'!$A$7:$O$427,9)</f>
        <v>40000</v>
      </c>
      <c r="J35" s="103">
        <f>VLOOKUP($A35,'OI(Volume)'!$A$7:$O$427,11)</f>
        <v>2101000</v>
      </c>
      <c r="K35" s="103">
        <f>VLOOKUP($A35,'OI(Volume)'!$A$7:$O$427,12)</f>
        <v>-71500</v>
      </c>
      <c r="L35" s="103">
        <f>VLOOKUP($A35,'OI(Value)'!$A$7:$O$306,8,0)</f>
        <v>397</v>
      </c>
      <c r="M35" s="103">
        <f>VLOOKUP($A35,'OI(Value)'!$A$7:$O$306,9,0)</f>
        <v>5</v>
      </c>
      <c r="N35" s="103">
        <f>VLOOKUP($A35,'OI(Value)'!$A$7:$O$306,11,0)</f>
        <v>255</v>
      </c>
      <c r="O35" s="103">
        <f>VLOOKUP($A35,'OI(Value)'!$A$7:$O$306,12,0)</f>
        <v>-9</v>
      </c>
      <c r="P35" s="179">
        <f>VLOOKUP(A35,'OI(Value)'!A35:O236,8,0)</f>
        <v>397</v>
      </c>
      <c r="Q35" s="179">
        <f>VLOOKUP(A35,'OI(Value)'!A35:O236,9,0)</f>
        <v>5</v>
      </c>
      <c r="R35" s="179">
        <f>VLOOKUP(A35,'OI(Value)'!A35:O236,11,0)</f>
        <v>255</v>
      </c>
      <c r="S35" s="179">
        <f>VLOOKUP(A35,'OI(Value)'!A35:O236,11,0)</f>
        <v>255</v>
      </c>
    </row>
    <row r="36" spans="1:19" x14ac:dyDescent="0.25">
      <c r="A36" s="105" t="str">
        <f>'Data shares'!C31</f>
        <v>BHARTIARTL</v>
      </c>
      <c r="B36" s="143">
        <f>VLOOKUP($A36,'Data shares'!$C:$FA,118)</f>
        <v>0.48</v>
      </c>
      <c r="C36" s="143">
        <f>VLOOKUP($A36,'Data shares'!$C:$FA,119)</f>
        <v>0.52</v>
      </c>
      <c r="D36" s="143">
        <f>VLOOKUP($A36,'Data shares'!$C:$FA,121)*100</f>
        <v>-7.6899999999999995</v>
      </c>
      <c r="E36" s="143">
        <f>VLOOKUP($A36,'Data shares'!$C:$FA,124)</f>
        <v>0.51</v>
      </c>
      <c r="F36" s="143">
        <f>VLOOKUP($A36,'Data shares'!$C:$FA,125)</f>
        <v>0.52</v>
      </c>
      <c r="G36" s="143">
        <f>VLOOKUP($A36,'Data shares'!$C:$FA,127)*100</f>
        <v>-1.92</v>
      </c>
      <c r="H36" s="103">
        <f>VLOOKUP($A36,'OI(Volume)'!$A$7:$O$427,8)</f>
        <v>12763250</v>
      </c>
      <c r="I36" s="103">
        <f>VLOOKUP($A36,'OI(Volume)'!$A$7:$O$427,9)</f>
        <v>1513350</v>
      </c>
      <c r="J36" s="103">
        <f>VLOOKUP($A36,'OI(Volume)'!$A$7:$O$427,11)</f>
        <v>6094250</v>
      </c>
      <c r="K36" s="103">
        <f>VLOOKUP($A36,'OI(Volume)'!$A$7:$O$427,12)</f>
        <v>203775</v>
      </c>
      <c r="L36" s="103">
        <f>VLOOKUP($A36,'OI(Value)'!$A$7:$O$306,8,0)</f>
        <v>2489</v>
      </c>
      <c r="M36" s="103">
        <f>VLOOKUP($A36,'OI(Value)'!$A$7:$O$306,9,0)</f>
        <v>295</v>
      </c>
      <c r="N36" s="103">
        <f>VLOOKUP($A36,'OI(Value)'!$A$7:$O$306,11,0)</f>
        <v>1189</v>
      </c>
      <c r="O36" s="103">
        <f>VLOOKUP($A36,'OI(Value)'!$A$7:$O$306,12,0)</f>
        <v>40</v>
      </c>
      <c r="P36" s="179">
        <f>VLOOKUP(A36,'OI(Value)'!A36:O237,8,0)</f>
        <v>2489</v>
      </c>
      <c r="Q36" s="179">
        <f>VLOOKUP(A36,'OI(Value)'!A36:O237,9,0)</f>
        <v>295</v>
      </c>
      <c r="R36" s="179">
        <f>VLOOKUP(A36,'OI(Value)'!A36:O237,11,0)</f>
        <v>1189</v>
      </c>
      <c r="S36" s="179">
        <f>VLOOKUP(A36,'OI(Value)'!A36:O237,11,0)</f>
        <v>1189</v>
      </c>
    </row>
    <row r="37" spans="1:19" x14ac:dyDescent="0.25">
      <c r="A37" s="105" t="str">
        <f>'Data shares'!C32</f>
        <v>BHEL</v>
      </c>
      <c r="B37" s="143">
        <f>VLOOKUP($A37,'Data shares'!$C:$FA,118)</f>
        <v>0.7</v>
      </c>
      <c r="C37" s="143">
        <f>VLOOKUP($A37,'Data shares'!$C:$FA,119)</f>
        <v>0.7</v>
      </c>
      <c r="D37" s="143">
        <f>VLOOKUP($A37,'Data shares'!$C:$FA,121)*100</f>
        <v>0</v>
      </c>
      <c r="E37" s="143">
        <f>VLOOKUP($A37,'Data shares'!$C:$FA,124)</f>
        <v>0.54</v>
      </c>
      <c r="F37" s="143">
        <f>VLOOKUP($A37,'Data shares'!$C:$FA,125)</f>
        <v>0.51</v>
      </c>
      <c r="G37" s="143">
        <f>VLOOKUP($A37,'Data shares'!$C:$FA,127)*100</f>
        <v>5.88</v>
      </c>
      <c r="H37" s="103">
        <f>VLOOKUP($A37,'OI(Volume)'!$A$7:$O$427,8)</f>
        <v>21401625</v>
      </c>
      <c r="I37" s="103">
        <f>VLOOKUP($A37,'OI(Volume)'!$A$7:$O$427,9)</f>
        <v>462000</v>
      </c>
      <c r="J37" s="103">
        <f>VLOOKUP($A37,'OI(Volume)'!$A$7:$O$427,11)</f>
        <v>15030750</v>
      </c>
      <c r="K37" s="103">
        <f>VLOOKUP($A37,'OI(Volume)'!$A$7:$O$427,12)</f>
        <v>388500</v>
      </c>
      <c r="L37" s="103">
        <f>VLOOKUP($A37,'OI(Value)'!$A$7:$O$306,8,0)</f>
        <v>514</v>
      </c>
      <c r="M37" s="103">
        <f>VLOOKUP($A37,'OI(Value)'!$A$7:$O$306,9,0)</f>
        <v>11</v>
      </c>
      <c r="N37" s="103">
        <f>VLOOKUP($A37,'OI(Value)'!$A$7:$O$306,11,0)</f>
        <v>361</v>
      </c>
      <c r="O37" s="103">
        <f>VLOOKUP($A37,'OI(Value)'!$A$7:$O$306,12,0)</f>
        <v>9</v>
      </c>
      <c r="P37" s="179">
        <f>VLOOKUP(A37,'OI(Value)'!A37:O238,8,0)</f>
        <v>514</v>
      </c>
      <c r="Q37" s="179">
        <f>VLOOKUP(A37,'OI(Value)'!A37:O238,9,0)</f>
        <v>11</v>
      </c>
      <c r="R37" s="179">
        <f>VLOOKUP(A37,'OI(Value)'!A37:O238,11,0)</f>
        <v>361</v>
      </c>
      <c r="S37" s="179">
        <f>VLOOKUP(A37,'OI(Value)'!A37:O238,11,0)</f>
        <v>361</v>
      </c>
    </row>
    <row r="38" spans="1:19" x14ac:dyDescent="0.25">
      <c r="A38" s="105" t="str">
        <f>'Data shares'!C33</f>
        <v>BIOCON</v>
      </c>
      <c r="B38" s="143">
        <f>VLOOKUP($A38,'Data shares'!$C:$FA,118)</f>
        <v>0.63</v>
      </c>
      <c r="C38" s="143">
        <f>VLOOKUP($A38,'Data shares'!$C:$FA,119)</f>
        <v>0.63</v>
      </c>
      <c r="D38" s="143">
        <f>VLOOKUP($A38,'Data shares'!$C:$FA,121)*100</f>
        <v>0</v>
      </c>
      <c r="E38" s="143">
        <f>VLOOKUP($A38,'Data shares'!$C:$FA,124)</f>
        <v>0.39</v>
      </c>
      <c r="F38" s="143">
        <f>VLOOKUP($A38,'Data shares'!$C:$FA,125)</f>
        <v>0.33</v>
      </c>
      <c r="G38" s="143">
        <f>VLOOKUP($A38,'Data shares'!$C:$FA,127)*100</f>
        <v>18.18</v>
      </c>
      <c r="H38" s="103">
        <f>VLOOKUP($A38,'OI(Volume)'!$A$7:$O$427,8)</f>
        <v>15197500</v>
      </c>
      <c r="I38" s="103">
        <f>VLOOKUP($A38,'OI(Volume)'!$A$7:$O$427,9)</f>
        <v>632500</v>
      </c>
      <c r="J38" s="103">
        <f>VLOOKUP($A38,'OI(Volume)'!$A$7:$O$427,11)</f>
        <v>9632500</v>
      </c>
      <c r="K38" s="103">
        <f>VLOOKUP($A38,'OI(Volume)'!$A$7:$O$427,12)</f>
        <v>500000</v>
      </c>
      <c r="L38" s="103">
        <f>VLOOKUP($A38,'OI(Value)'!$A$7:$O$306,8,0)</f>
        <v>539</v>
      </c>
      <c r="M38" s="103">
        <f>VLOOKUP($A38,'OI(Value)'!$A$7:$O$306,9,0)</f>
        <v>22</v>
      </c>
      <c r="N38" s="103">
        <f>VLOOKUP($A38,'OI(Value)'!$A$7:$O$306,11,0)</f>
        <v>342</v>
      </c>
      <c r="O38" s="103">
        <f>VLOOKUP($A38,'OI(Value)'!$A$7:$O$306,12,0)</f>
        <v>18</v>
      </c>
      <c r="P38" s="179">
        <f>VLOOKUP(A38,'OI(Value)'!A38:O239,8,0)</f>
        <v>539</v>
      </c>
      <c r="Q38" s="179">
        <f>VLOOKUP(A38,'OI(Value)'!A38:O239,9,0)</f>
        <v>22</v>
      </c>
      <c r="R38" s="179">
        <f>VLOOKUP(A38,'OI(Value)'!A38:O239,11,0)</f>
        <v>342</v>
      </c>
      <c r="S38" s="179">
        <f>VLOOKUP(A38,'OI(Value)'!A38:O239,11,0)</f>
        <v>342</v>
      </c>
    </row>
    <row r="39" spans="1:19" x14ac:dyDescent="0.25">
      <c r="A39" s="105" t="str">
        <f>'Data shares'!C34</f>
        <v>BLUESTARCO</v>
      </c>
      <c r="B39" s="143">
        <f>VLOOKUP($A39,'Data shares'!$C:$FA,118)</f>
        <v>0.62</v>
      </c>
      <c r="C39" s="143">
        <f>VLOOKUP($A39,'Data shares'!$C:$FA,119)</f>
        <v>0.72</v>
      </c>
      <c r="D39" s="143">
        <f>VLOOKUP($A39,'Data shares'!$C:$FA,121)*100</f>
        <v>-13.889999999999999</v>
      </c>
      <c r="E39" s="143">
        <f>VLOOKUP($A39,'Data shares'!$C:$FA,124)</f>
        <v>0.28999999999999998</v>
      </c>
      <c r="F39" s="143">
        <f>VLOOKUP($A39,'Data shares'!$C:$FA,125)</f>
        <v>0.44</v>
      </c>
      <c r="G39" s="143">
        <f>VLOOKUP($A39,'Data shares'!$C:$FA,127)*100</f>
        <v>-34.089999999999996</v>
      </c>
      <c r="H39" s="103">
        <f>VLOOKUP($A39,'OI(Volume)'!$A$7:$O$427,8)</f>
        <v>495625</v>
      </c>
      <c r="I39" s="103">
        <f>VLOOKUP($A39,'OI(Volume)'!$A$7:$O$427,9)</f>
        <v>135200</v>
      </c>
      <c r="J39" s="103">
        <f>VLOOKUP($A39,'OI(Volume)'!$A$7:$O$427,11)</f>
        <v>307125</v>
      </c>
      <c r="K39" s="103">
        <f>VLOOKUP($A39,'OI(Volume)'!$A$7:$O$427,12)</f>
        <v>46475</v>
      </c>
      <c r="L39" s="103">
        <f>VLOOKUP($A39,'OI(Value)'!$A$7:$O$306,8,0)</f>
        <v>97</v>
      </c>
      <c r="M39" s="103">
        <f>VLOOKUP($A39,'OI(Value)'!$A$7:$O$306,9,0)</f>
        <v>26</v>
      </c>
      <c r="N39" s="103">
        <f>VLOOKUP($A39,'OI(Value)'!$A$7:$O$306,11,0)</f>
        <v>60</v>
      </c>
      <c r="O39" s="103">
        <f>VLOOKUP($A39,'OI(Value)'!$A$7:$O$306,12,0)</f>
        <v>9</v>
      </c>
      <c r="P39" s="179">
        <f>VLOOKUP(A39,'OI(Value)'!A39:O240,8,0)</f>
        <v>97</v>
      </c>
      <c r="Q39" s="179">
        <f>VLOOKUP(A39,'OI(Value)'!A39:O240,9,0)</f>
        <v>26</v>
      </c>
      <c r="R39" s="179">
        <f>VLOOKUP(A39,'OI(Value)'!A39:O240,11,0)</f>
        <v>60</v>
      </c>
      <c r="S39" s="179">
        <f>VLOOKUP(A39,'OI(Value)'!A39:O240,11,0)</f>
        <v>60</v>
      </c>
    </row>
    <row r="40" spans="1:19" x14ac:dyDescent="0.25">
      <c r="A40" s="105" t="str">
        <f>'Data shares'!C35</f>
        <v>BOSCHLTD</v>
      </c>
      <c r="B40" s="143">
        <f>VLOOKUP($A40,'Data shares'!$C:$FA,118)</f>
        <v>0.6</v>
      </c>
      <c r="C40" s="143">
        <f>VLOOKUP($A40,'Data shares'!$C:$FA,119)</f>
        <v>0.62</v>
      </c>
      <c r="D40" s="143">
        <f>VLOOKUP($A40,'Data shares'!$C:$FA,121)*100</f>
        <v>-3.2300000000000004</v>
      </c>
      <c r="E40" s="143">
        <f>VLOOKUP($A40,'Data shares'!$C:$FA,124)</f>
        <v>0.28999999999999998</v>
      </c>
      <c r="F40" s="143">
        <f>VLOOKUP($A40,'Data shares'!$C:$FA,125)</f>
        <v>1.02</v>
      </c>
      <c r="G40" s="143">
        <f>VLOOKUP($A40,'Data shares'!$C:$FA,127)*100</f>
        <v>-71.569999999999993</v>
      </c>
      <c r="H40" s="103">
        <f>VLOOKUP($A40,'OI(Volume)'!$A$7:$O$427,8)</f>
        <v>64025</v>
      </c>
      <c r="I40" s="103">
        <f>VLOOKUP($A40,'OI(Volume)'!$A$7:$O$427,9)</f>
        <v>3450</v>
      </c>
      <c r="J40" s="103">
        <f>VLOOKUP($A40,'OI(Volume)'!$A$7:$O$427,11)</f>
        <v>38400</v>
      </c>
      <c r="K40" s="103">
        <f>VLOOKUP($A40,'OI(Volume)'!$A$7:$O$427,12)</f>
        <v>725</v>
      </c>
      <c r="L40" s="103">
        <f>VLOOKUP($A40,'OI(Value)'!$A$7:$O$306,8,0)</f>
        <v>248</v>
      </c>
      <c r="M40" s="103">
        <f>VLOOKUP($A40,'OI(Value)'!$A$7:$O$306,9,0)</f>
        <v>13</v>
      </c>
      <c r="N40" s="103">
        <f>VLOOKUP($A40,'OI(Value)'!$A$7:$O$306,11,0)</f>
        <v>149</v>
      </c>
      <c r="O40" s="103">
        <f>VLOOKUP($A40,'OI(Value)'!$A$7:$O$306,12,0)</f>
        <v>3</v>
      </c>
      <c r="P40" s="179">
        <f>VLOOKUP(A40,'OI(Value)'!A40:O241,8,0)</f>
        <v>248</v>
      </c>
      <c r="Q40" s="179">
        <f>VLOOKUP(A40,'OI(Value)'!A40:O241,9,0)</f>
        <v>13</v>
      </c>
      <c r="R40" s="179">
        <f>VLOOKUP(A40,'OI(Value)'!A40:O241,11,0)</f>
        <v>149</v>
      </c>
      <c r="S40" s="179">
        <f>VLOOKUP(A40,'OI(Value)'!A40:O241,11,0)</f>
        <v>149</v>
      </c>
    </row>
    <row r="41" spans="1:19" x14ac:dyDescent="0.25">
      <c r="A41" s="105" t="str">
        <f>'Data shares'!C36</f>
        <v>BPCL</v>
      </c>
      <c r="B41" s="143">
        <f>VLOOKUP($A41,'Data shares'!$C:$FA,118)</f>
        <v>0.78</v>
      </c>
      <c r="C41" s="143">
        <f>VLOOKUP($A41,'Data shares'!$C:$FA,119)</f>
        <v>0.89</v>
      </c>
      <c r="D41" s="143">
        <f>VLOOKUP($A41,'Data shares'!$C:$FA,121)*100</f>
        <v>-12.36</v>
      </c>
      <c r="E41" s="143">
        <f>VLOOKUP($A41,'Data shares'!$C:$FA,124)</f>
        <v>0.55000000000000004</v>
      </c>
      <c r="F41" s="143">
        <f>VLOOKUP($A41,'Data shares'!$C:$FA,125)</f>
        <v>0.41</v>
      </c>
      <c r="G41" s="143">
        <f>VLOOKUP($A41,'Data shares'!$C:$FA,127)*100</f>
        <v>34.150000000000006</v>
      </c>
      <c r="H41" s="103">
        <f>VLOOKUP($A41,'OI(Volume)'!$A$7:$O$427,8)</f>
        <v>13283850</v>
      </c>
      <c r="I41" s="103">
        <f>VLOOKUP($A41,'OI(Volume)'!$A$7:$O$427,9)</f>
        <v>880850</v>
      </c>
      <c r="J41" s="103">
        <f>VLOOKUP($A41,'OI(Volume)'!$A$7:$O$427,11)</f>
        <v>10317400</v>
      </c>
      <c r="K41" s="103">
        <f>VLOOKUP($A41,'OI(Volume)'!$A$7:$O$427,12)</f>
        <v>-716925</v>
      </c>
      <c r="L41" s="103">
        <f>VLOOKUP($A41,'OI(Value)'!$A$7:$O$306,8,0)</f>
        <v>452</v>
      </c>
      <c r="M41" s="103">
        <f>VLOOKUP($A41,'OI(Value)'!$A$7:$O$306,9,0)</f>
        <v>30</v>
      </c>
      <c r="N41" s="103">
        <f>VLOOKUP($A41,'OI(Value)'!$A$7:$O$306,11,0)</f>
        <v>351</v>
      </c>
      <c r="O41" s="103">
        <f>VLOOKUP($A41,'OI(Value)'!$A$7:$O$306,12,0)</f>
        <v>-24</v>
      </c>
      <c r="P41" s="179">
        <f>VLOOKUP(A41,'OI(Value)'!A41:O242,8,0)</f>
        <v>452</v>
      </c>
      <c r="Q41" s="179">
        <f>VLOOKUP(A41,'OI(Value)'!A41:O242,9,0)</f>
        <v>30</v>
      </c>
      <c r="R41" s="179">
        <f>VLOOKUP(A41,'OI(Value)'!A41:O242,11,0)</f>
        <v>351</v>
      </c>
      <c r="S41" s="179">
        <f>VLOOKUP(A41,'OI(Value)'!A41:O242,11,0)</f>
        <v>351</v>
      </c>
    </row>
    <row r="42" spans="1:19" x14ac:dyDescent="0.25">
      <c r="A42" s="105" t="str">
        <f>'Data shares'!C37</f>
        <v>BRITANNIA</v>
      </c>
      <c r="B42" s="143">
        <f>VLOOKUP($A42,'Data shares'!$C:$FA,118)</f>
        <v>0.5</v>
      </c>
      <c r="C42" s="143">
        <f>VLOOKUP($A42,'Data shares'!$C:$FA,119)</f>
        <v>0.51</v>
      </c>
      <c r="D42" s="143">
        <f>VLOOKUP($A42,'Data shares'!$C:$FA,121)*100</f>
        <v>-1.96</v>
      </c>
      <c r="E42" s="143">
        <f>VLOOKUP($A42,'Data shares'!$C:$FA,124)</f>
        <v>0.34</v>
      </c>
      <c r="F42" s="143">
        <f>VLOOKUP($A42,'Data shares'!$C:$FA,125)</f>
        <v>0.34</v>
      </c>
      <c r="G42" s="143">
        <f>VLOOKUP($A42,'Data shares'!$C:$FA,127)*100</f>
        <v>0</v>
      </c>
      <c r="H42" s="103">
        <f>VLOOKUP($A42,'OI(Volume)'!$A$7:$O$427,8)</f>
        <v>1074750</v>
      </c>
      <c r="I42" s="103">
        <f>VLOOKUP($A42,'OI(Volume)'!$A$7:$O$427,9)</f>
        <v>20875</v>
      </c>
      <c r="J42" s="103">
        <f>VLOOKUP($A42,'OI(Volume)'!$A$7:$O$427,11)</f>
        <v>537000</v>
      </c>
      <c r="K42" s="103">
        <f>VLOOKUP($A42,'OI(Volume)'!$A$7:$O$427,12)</f>
        <v>-750</v>
      </c>
      <c r="L42" s="103">
        <f>VLOOKUP($A42,'OI(Value)'!$A$7:$O$306,8,0)</f>
        <v>634</v>
      </c>
      <c r="M42" s="103">
        <f>VLOOKUP($A42,'OI(Value)'!$A$7:$O$306,9,0)</f>
        <v>12</v>
      </c>
      <c r="N42" s="103">
        <f>VLOOKUP($A42,'OI(Value)'!$A$7:$O$306,11,0)</f>
        <v>317</v>
      </c>
      <c r="O42" s="103">
        <f>VLOOKUP($A42,'OI(Value)'!$A$7:$O$306,12,0)</f>
        <v>0</v>
      </c>
      <c r="P42" s="179">
        <f>VLOOKUP(A42,'OI(Value)'!A42:O243,8,0)</f>
        <v>634</v>
      </c>
      <c r="Q42" s="179">
        <f>VLOOKUP(A42,'OI(Value)'!A42:O243,9,0)</f>
        <v>12</v>
      </c>
      <c r="R42" s="179">
        <f>VLOOKUP(A42,'OI(Value)'!A42:O243,11,0)</f>
        <v>317</v>
      </c>
      <c r="S42" s="179">
        <f>VLOOKUP(A42,'OI(Value)'!A42:O243,11,0)</f>
        <v>317</v>
      </c>
    </row>
    <row r="43" spans="1:19" x14ac:dyDescent="0.25">
      <c r="A43" s="105" t="str">
        <f>'Data shares'!C38</f>
        <v>BSE</v>
      </c>
      <c r="B43" s="143">
        <f>VLOOKUP($A43,'Data shares'!$C:$FA,118)</f>
        <v>1.02</v>
      </c>
      <c r="C43" s="143">
        <f>VLOOKUP($A43,'Data shares'!$C:$FA,119)</f>
        <v>1.04</v>
      </c>
      <c r="D43" s="143">
        <f>VLOOKUP($A43,'Data shares'!$C:$FA,121)*100</f>
        <v>-1.92</v>
      </c>
      <c r="E43" s="143">
        <f>VLOOKUP($A43,'Data shares'!$C:$FA,124)</f>
        <v>0.46</v>
      </c>
      <c r="F43" s="143">
        <f>VLOOKUP($A43,'Data shares'!$C:$FA,125)</f>
        <v>0.57999999999999996</v>
      </c>
      <c r="G43" s="143">
        <f>VLOOKUP($A43,'Data shares'!$C:$FA,127)*100</f>
        <v>-20.69</v>
      </c>
      <c r="H43" s="103">
        <f>VLOOKUP($A43,'OI(Volume)'!$A$7:$O$427,8)</f>
        <v>8462625</v>
      </c>
      <c r="I43" s="103">
        <f>VLOOKUP($A43,'OI(Volume)'!$A$7:$O$427,9)</f>
        <v>400500</v>
      </c>
      <c r="J43" s="103">
        <f>VLOOKUP($A43,'OI(Volume)'!$A$7:$O$427,11)</f>
        <v>8670375</v>
      </c>
      <c r="K43" s="103">
        <f>VLOOKUP($A43,'OI(Volume)'!$A$7:$O$427,12)</f>
        <v>286500</v>
      </c>
      <c r="L43" s="103">
        <f>VLOOKUP($A43,'OI(Value)'!$A$7:$O$306,8,0)</f>
        <v>2025</v>
      </c>
      <c r="M43" s="103">
        <f>VLOOKUP($A43,'OI(Value)'!$A$7:$O$306,9,0)</f>
        <v>96</v>
      </c>
      <c r="N43" s="103">
        <f>VLOOKUP($A43,'OI(Value)'!$A$7:$O$306,11,0)</f>
        <v>2075</v>
      </c>
      <c r="O43" s="103">
        <f>VLOOKUP($A43,'OI(Value)'!$A$7:$O$306,12,0)</f>
        <v>69</v>
      </c>
      <c r="P43" s="179">
        <f>VLOOKUP(A43,'OI(Value)'!A43:O244,8,0)</f>
        <v>2025</v>
      </c>
      <c r="Q43" s="179">
        <f>VLOOKUP(A43,'OI(Value)'!A43:O244,9,0)</f>
        <v>96</v>
      </c>
      <c r="R43" s="179">
        <f>VLOOKUP(A43,'OI(Value)'!A43:O244,11,0)</f>
        <v>2075</v>
      </c>
      <c r="S43" s="179">
        <f>VLOOKUP(A43,'OI(Value)'!A43:O244,11,0)</f>
        <v>2075</v>
      </c>
    </row>
    <row r="44" spans="1:19" x14ac:dyDescent="0.25">
      <c r="A44" s="105" t="str">
        <f>'Data shares'!C39</f>
        <v>CAMS</v>
      </c>
      <c r="B44" s="143">
        <f>VLOOKUP($A44,'Data shares'!$C:$FA,118)</f>
        <v>0.62</v>
      </c>
      <c r="C44" s="143">
        <f>VLOOKUP($A44,'Data shares'!$C:$FA,119)</f>
        <v>0.61</v>
      </c>
      <c r="D44" s="143">
        <f>VLOOKUP($A44,'Data shares'!$C:$FA,121)*100</f>
        <v>1.6400000000000001</v>
      </c>
      <c r="E44" s="143">
        <f>VLOOKUP($A44,'Data shares'!$C:$FA,124)</f>
        <v>0.24</v>
      </c>
      <c r="F44" s="143">
        <f>VLOOKUP($A44,'Data shares'!$C:$FA,125)</f>
        <v>0.22</v>
      </c>
      <c r="G44" s="143">
        <f>VLOOKUP($A44,'Data shares'!$C:$FA,127)*100</f>
        <v>9.09</v>
      </c>
      <c r="H44" s="103">
        <f>VLOOKUP($A44,'OI(Volume)'!$A$7:$O$427,8)</f>
        <v>1042350</v>
      </c>
      <c r="I44" s="103">
        <f>VLOOKUP($A44,'OI(Volume)'!$A$7:$O$427,9)</f>
        <v>13800</v>
      </c>
      <c r="J44" s="103">
        <f>VLOOKUP($A44,'OI(Volume)'!$A$7:$O$427,11)</f>
        <v>651450</v>
      </c>
      <c r="K44" s="103">
        <f>VLOOKUP($A44,'OI(Volume)'!$A$7:$O$427,12)</f>
        <v>25050</v>
      </c>
      <c r="L44" s="103">
        <f>VLOOKUP($A44,'OI(Value)'!$A$7:$O$306,8,0)</f>
        <v>404</v>
      </c>
      <c r="M44" s="103">
        <f>VLOOKUP($A44,'OI(Value)'!$A$7:$O$306,9,0)</f>
        <v>5</v>
      </c>
      <c r="N44" s="103">
        <f>VLOOKUP($A44,'OI(Value)'!$A$7:$O$306,11,0)</f>
        <v>252</v>
      </c>
      <c r="O44" s="103">
        <f>VLOOKUP($A44,'OI(Value)'!$A$7:$O$306,12,0)</f>
        <v>10</v>
      </c>
      <c r="P44" s="179">
        <f>VLOOKUP(A44,'OI(Value)'!A44:O245,8,0)</f>
        <v>404</v>
      </c>
      <c r="Q44" s="179">
        <f>VLOOKUP(A44,'OI(Value)'!A44:O245,9,0)</f>
        <v>5</v>
      </c>
      <c r="R44" s="179">
        <f>VLOOKUP(A44,'OI(Value)'!A44:O245,11,0)</f>
        <v>252</v>
      </c>
      <c r="S44" s="179">
        <f>VLOOKUP(A44,'OI(Value)'!A44:O245,11,0)</f>
        <v>252</v>
      </c>
    </row>
    <row r="45" spans="1:19" x14ac:dyDescent="0.25">
      <c r="A45" s="105" t="str">
        <f>'Data shares'!C40</f>
        <v>CANBK</v>
      </c>
      <c r="B45" s="143">
        <f>VLOOKUP($A45,'Data shares'!$C:$FA,118)</f>
        <v>0.85</v>
      </c>
      <c r="C45" s="143">
        <f>VLOOKUP($A45,'Data shares'!$C:$FA,119)</f>
        <v>0.79</v>
      </c>
      <c r="D45" s="143">
        <f>VLOOKUP($A45,'Data shares'!$C:$FA,121)*100</f>
        <v>7.59</v>
      </c>
      <c r="E45" s="143">
        <f>VLOOKUP($A45,'Data shares'!$C:$FA,124)</f>
        <v>0.47</v>
      </c>
      <c r="F45" s="143">
        <f>VLOOKUP($A45,'Data shares'!$C:$FA,125)</f>
        <v>0.54</v>
      </c>
      <c r="G45" s="143">
        <f>VLOOKUP($A45,'Data shares'!$C:$FA,127)*100</f>
        <v>-12.959999999999999</v>
      </c>
      <c r="H45" s="103">
        <f>VLOOKUP($A45,'OI(Volume)'!$A$7:$O$427,8)</f>
        <v>93588750</v>
      </c>
      <c r="I45" s="103">
        <f>VLOOKUP($A45,'OI(Volume)'!$A$7:$O$427,9)</f>
        <v>-7890750</v>
      </c>
      <c r="J45" s="103">
        <f>VLOOKUP($A45,'OI(Volume)'!$A$7:$O$427,11)</f>
        <v>79886250</v>
      </c>
      <c r="K45" s="103">
        <f>VLOOKUP($A45,'OI(Volume)'!$A$7:$O$427,12)</f>
        <v>-6750</v>
      </c>
      <c r="L45" s="103">
        <f>VLOOKUP($A45,'OI(Value)'!$A$7:$O$306,8,0)</f>
        <v>1196</v>
      </c>
      <c r="M45" s="103">
        <f>VLOOKUP($A45,'OI(Value)'!$A$7:$O$306,9,0)</f>
        <v>-101</v>
      </c>
      <c r="N45" s="103">
        <f>VLOOKUP($A45,'OI(Value)'!$A$7:$O$306,11,0)</f>
        <v>1021</v>
      </c>
      <c r="O45" s="103">
        <f>VLOOKUP($A45,'OI(Value)'!$A$7:$O$306,12,0)</f>
        <v>0</v>
      </c>
      <c r="P45" s="179">
        <f>VLOOKUP(A45,'OI(Value)'!A45:O246,8,0)</f>
        <v>1196</v>
      </c>
      <c r="Q45" s="179">
        <f>VLOOKUP(A45,'OI(Value)'!A45:O246,9,0)</f>
        <v>-101</v>
      </c>
      <c r="R45" s="179">
        <f>VLOOKUP(A45,'OI(Value)'!A45:O246,11,0)</f>
        <v>1021</v>
      </c>
      <c r="S45" s="179">
        <f>VLOOKUP(A45,'OI(Value)'!A45:O246,11,0)</f>
        <v>1021</v>
      </c>
    </row>
    <row r="46" spans="1:19" x14ac:dyDescent="0.25">
      <c r="A46" s="105" t="str">
        <f>'Data shares'!C41</f>
        <v>CDSL</v>
      </c>
      <c r="B46" s="143">
        <f>VLOOKUP($A46,'Data shares'!$C:$FA,118)</f>
        <v>0.67</v>
      </c>
      <c r="C46" s="143">
        <f>VLOOKUP($A46,'Data shares'!$C:$FA,119)</f>
        <v>0.65</v>
      </c>
      <c r="D46" s="143">
        <f>VLOOKUP($A46,'Data shares'!$C:$FA,121)*100</f>
        <v>3.08</v>
      </c>
      <c r="E46" s="143">
        <f>VLOOKUP($A46,'Data shares'!$C:$FA,124)</f>
        <v>0.27</v>
      </c>
      <c r="F46" s="143">
        <f>VLOOKUP($A46,'Data shares'!$C:$FA,125)</f>
        <v>0.35</v>
      </c>
      <c r="G46" s="143">
        <f>VLOOKUP($A46,'Data shares'!$C:$FA,127)*100</f>
        <v>-22.86</v>
      </c>
      <c r="H46" s="103">
        <f>VLOOKUP($A46,'OI(Volume)'!$A$7:$O$427,8)</f>
        <v>5362275</v>
      </c>
      <c r="I46" s="103">
        <f>VLOOKUP($A46,'OI(Volume)'!$A$7:$O$427,9)</f>
        <v>-102125</v>
      </c>
      <c r="J46" s="103">
        <f>VLOOKUP($A46,'OI(Volume)'!$A$7:$O$427,11)</f>
        <v>3617125</v>
      </c>
      <c r="K46" s="103">
        <f>VLOOKUP($A46,'OI(Volume)'!$A$7:$O$427,12)</f>
        <v>59375</v>
      </c>
      <c r="L46" s="103">
        <f>VLOOKUP($A46,'OI(Value)'!$A$7:$O$306,8,0)</f>
        <v>866</v>
      </c>
      <c r="M46" s="103">
        <f>VLOOKUP($A46,'OI(Value)'!$A$7:$O$306,9,0)</f>
        <v>-16</v>
      </c>
      <c r="N46" s="103">
        <f>VLOOKUP($A46,'OI(Value)'!$A$7:$O$306,11,0)</f>
        <v>584</v>
      </c>
      <c r="O46" s="103">
        <f>VLOOKUP($A46,'OI(Value)'!$A$7:$O$306,12,0)</f>
        <v>10</v>
      </c>
      <c r="P46" s="179">
        <f>VLOOKUP(A46,'OI(Value)'!A46:O247,8,0)</f>
        <v>866</v>
      </c>
      <c r="Q46" s="179">
        <f>VLOOKUP(A46,'OI(Value)'!A46:O247,9,0)</f>
        <v>-16</v>
      </c>
      <c r="R46" s="179">
        <f>VLOOKUP(A46,'OI(Value)'!A46:O247,11,0)</f>
        <v>584</v>
      </c>
      <c r="S46" s="179">
        <f>VLOOKUP(A46,'OI(Value)'!A46:O247,11,0)</f>
        <v>584</v>
      </c>
    </row>
    <row r="47" spans="1:19" x14ac:dyDescent="0.25">
      <c r="A47" s="105" t="str">
        <f>'Data shares'!C42</f>
        <v>CGPOWER</v>
      </c>
      <c r="B47" s="143">
        <f>VLOOKUP($A47,'Data shares'!$C:$FA,118)</f>
        <v>0.62</v>
      </c>
      <c r="C47" s="143">
        <f>VLOOKUP($A47,'Data shares'!$C:$FA,119)</f>
        <v>0.59</v>
      </c>
      <c r="D47" s="143">
        <f>VLOOKUP($A47,'Data shares'!$C:$FA,121)*100</f>
        <v>5.08</v>
      </c>
      <c r="E47" s="143">
        <f>VLOOKUP($A47,'Data shares'!$C:$FA,124)</f>
        <v>0.39</v>
      </c>
      <c r="F47" s="143">
        <f>VLOOKUP($A47,'Data shares'!$C:$FA,125)</f>
        <v>0.25</v>
      </c>
      <c r="G47" s="143">
        <f>VLOOKUP($A47,'Data shares'!$C:$FA,127)*100</f>
        <v>56.000000000000007</v>
      </c>
      <c r="H47" s="103">
        <f>VLOOKUP($A47,'OI(Volume)'!$A$7:$O$427,8)</f>
        <v>5934700</v>
      </c>
      <c r="I47" s="103">
        <f>VLOOKUP($A47,'OI(Volume)'!$A$7:$O$427,9)</f>
        <v>415650</v>
      </c>
      <c r="J47" s="103">
        <f>VLOOKUP($A47,'OI(Volume)'!$A$7:$O$427,11)</f>
        <v>3682200</v>
      </c>
      <c r="K47" s="103">
        <f>VLOOKUP($A47,'OI(Volume)'!$A$7:$O$427,12)</f>
        <v>431800</v>
      </c>
      <c r="L47" s="103">
        <f>VLOOKUP($A47,'OI(Value)'!$A$7:$O$306,8,0)</f>
        <v>449</v>
      </c>
      <c r="M47" s="103">
        <f>VLOOKUP($A47,'OI(Value)'!$A$7:$O$306,9,0)</f>
        <v>31</v>
      </c>
      <c r="N47" s="103">
        <f>VLOOKUP($A47,'OI(Value)'!$A$7:$O$306,11,0)</f>
        <v>278</v>
      </c>
      <c r="O47" s="103">
        <f>VLOOKUP($A47,'OI(Value)'!$A$7:$O$306,12,0)</f>
        <v>33</v>
      </c>
      <c r="P47" s="179">
        <f>VLOOKUP(A47,'OI(Value)'!A47:O248,8,0)</f>
        <v>449</v>
      </c>
      <c r="Q47" s="179">
        <f>VLOOKUP(A47,'OI(Value)'!A47:O248,9,0)</f>
        <v>31</v>
      </c>
      <c r="R47" s="179">
        <f>VLOOKUP(A47,'OI(Value)'!A47:O248,11,0)</f>
        <v>278</v>
      </c>
      <c r="S47" s="179">
        <f>VLOOKUP(A47,'OI(Value)'!A47:O248,11,0)</f>
        <v>278</v>
      </c>
    </row>
    <row r="48" spans="1:19" x14ac:dyDescent="0.25">
      <c r="A48" s="105" t="str">
        <f>'Data shares'!C43</f>
        <v>CHOLAFIN</v>
      </c>
      <c r="B48" s="143">
        <f>VLOOKUP($A48,'Data shares'!$C:$FA,118)</f>
        <v>0.73</v>
      </c>
      <c r="C48" s="143">
        <f>VLOOKUP($A48,'Data shares'!$C:$FA,119)</f>
        <v>0.73</v>
      </c>
      <c r="D48" s="143">
        <f>VLOOKUP($A48,'Data shares'!$C:$FA,121)*100</f>
        <v>0</v>
      </c>
      <c r="E48" s="143">
        <f>VLOOKUP($A48,'Data shares'!$C:$FA,124)</f>
        <v>0.39</v>
      </c>
      <c r="F48" s="143">
        <f>VLOOKUP($A48,'Data shares'!$C:$FA,125)</f>
        <v>0.47</v>
      </c>
      <c r="G48" s="143">
        <f>VLOOKUP($A48,'Data shares'!$C:$FA,127)*100</f>
        <v>-17.02</v>
      </c>
      <c r="H48" s="103">
        <f>VLOOKUP($A48,'OI(Volume)'!$A$7:$O$427,8)</f>
        <v>2461250</v>
      </c>
      <c r="I48" s="103">
        <f>VLOOKUP($A48,'OI(Volume)'!$A$7:$O$427,9)</f>
        <v>-10000</v>
      </c>
      <c r="J48" s="103">
        <f>VLOOKUP($A48,'OI(Volume)'!$A$7:$O$427,11)</f>
        <v>1785625</v>
      </c>
      <c r="K48" s="103">
        <f>VLOOKUP($A48,'OI(Volume)'!$A$7:$O$427,12)</f>
        <v>-24375</v>
      </c>
      <c r="L48" s="103">
        <f>VLOOKUP($A48,'OI(Value)'!$A$7:$O$306,8,0)</f>
        <v>397</v>
      </c>
      <c r="M48" s="103">
        <f>VLOOKUP($A48,'OI(Value)'!$A$7:$O$306,9,0)</f>
        <v>-2</v>
      </c>
      <c r="N48" s="103">
        <f>VLOOKUP($A48,'OI(Value)'!$A$7:$O$306,11,0)</f>
        <v>288</v>
      </c>
      <c r="O48" s="103">
        <f>VLOOKUP($A48,'OI(Value)'!$A$7:$O$306,12,0)</f>
        <v>-4</v>
      </c>
      <c r="P48" s="179">
        <f>VLOOKUP(A48,'OI(Value)'!A48:O249,8,0)</f>
        <v>397</v>
      </c>
      <c r="Q48" s="179">
        <f>VLOOKUP(A48,'OI(Value)'!A48:O249,9,0)</f>
        <v>-2</v>
      </c>
      <c r="R48" s="179">
        <f>VLOOKUP(A48,'OI(Value)'!A48:O249,11,0)</f>
        <v>288</v>
      </c>
      <c r="S48" s="179">
        <f>VLOOKUP(A48,'OI(Value)'!A48:O249,11,0)</f>
        <v>288</v>
      </c>
    </row>
    <row r="49" spans="1:19" x14ac:dyDescent="0.25">
      <c r="A49" s="105" t="str">
        <f>'Data shares'!C44</f>
        <v>CIPLA</v>
      </c>
      <c r="B49" s="143">
        <f>VLOOKUP($A49,'Data shares'!$C:$FA,118)</f>
        <v>0.8</v>
      </c>
      <c r="C49" s="143">
        <f>VLOOKUP($A49,'Data shares'!$C:$FA,119)</f>
        <v>0.56999999999999995</v>
      </c>
      <c r="D49" s="143">
        <f>VLOOKUP($A49,'Data shares'!$C:$FA,121)*100</f>
        <v>40.35</v>
      </c>
      <c r="E49" s="143">
        <f>VLOOKUP($A49,'Data shares'!$C:$FA,124)</f>
        <v>0.38</v>
      </c>
      <c r="F49" s="143">
        <f>VLOOKUP($A49,'Data shares'!$C:$FA,125)</f>
        <v>0.32</v>
      </c>
      <c r="G49" s="143">
        <f>VLOOKUP($A49,'Data shares'!$C:$FA,127)*100</f>
        <v>18.75</v>
      </c>
      <c r="H49" s="103">
        <f>VLOOKUP($A49,'OI(Volume)'!$A$7:$O$427,8)</f>
        <v>4042125</v>
      </c>
      <c r="I49" s="103">
        <f>VLOOKUP($A49,'OI(Volume)'!$A$7:$O$427,9)</f>
        <v>501000</v>
      </c>
      <c r="J49" s="103">
        <f>VLOOKUP($A49,'OI(Volume)'!$A$7:$O$427,11)</f>
        <v>3231375</v>
      </c>
      <c r="K49" s="103">
        <f>VLOOKUP($A49,'OI(Volume)'!$A$7:$O$427,12)</f>
        <v>1213875</v>
      </c>
      <c r="L49" s="103">
        <f>VLOOKUP($A49,'OI(Value)'!$A$7:$O$306,8,0)</f>
        <v>636</v>
      </c>
      <c r="M49" s="103">
        <f>VLOOKUP($A49,'OI(Value)'!$A$7:$O$306,9,0)</f>
        <v>79</v>
      </c>
      <c r="N49" s="103">
        <f>VLOOKUP($A49,'OI(Value)'!$A$7:$O$306,11,0)</f>
        <v>508</v>
      </c>
      <c r="O49" s="103">
        <f>VLOOKUP($A49,'OI(Value)'!$A$7:$O$306,12,0)</f>
        <v>191</v>
      </c>
      <c r="P49" s="179">
        <f>VLOOKUP(A49,'OI(Value)'!A49:O250,8,0)</f>
        <v>636</v>
      </c>
      <c r="Q49" s="179">
        <f>VLOOKUP(A49,'OI(Value)'!A49:O250,9,0)</f>
        <v>79</v>
      </c>
      <c r="R49" s="179">
        <f>VLOOKUP(A49,'OI(Value)'!A49:O250,11,0)</f>
        <v>508</v>
      </c>
      <c r="S49" s="179">
        <f>VLOOKUP(A49,'OI(Value)'!A49:O250,11,0)</f>
        <v>508</v>
      </c>
    </row>
    <row r="50" spans="1:19" x14ac:dyDescent="0.25">
      <c r="A50" s="105" t="str">
        <f>'Data shares'!C45</f>
        <v>COALINDIA</v>
      </c>
      <c r="B50" s="143">
        <f>VLOOKUP($A50,'Data shares'!$C:$FA,118)</f>
        <v>0.66</v>
      </c>
      <c r="C50" s="143">
        <f>VLOOKUP($A50,'Data shares'!$C:$FA,119)</f>
        <v>0.67</v>
      </c>
      <c r="D50" s="143">
        <f>VLOOKUP($A50,'Data shares'!$C:$FA,121)*100</f>
        <v>-1.49</v>
      </c>
      <c r="E50" s="143">
        <f>VLOOKUP($A50,'Data shares'!$C:$FA,124)</f>
        <v>0.47</v>
      </c>
      <c r="F50" s="143">
        <f>VLOOKUP($A50,'Data shares'!$C:$FA,125)</f>
        <v>0.45</v>
      </c>
      <c r="G50" s="143">
        <f>VLOOKUP($A50,'Data shares'!$C:$FA,127)*100</f>
        <v>4.4400000000000004</v>
      </c>
      <c r="H50" s="103">
        <f>VLOOKUP($A50,'OI(Volume)'!$A$7:$O$427,8)</f>
        <v>29917350</v>
      </c>
      <c r="I50" s="103">
        <f>VLOOKUP($A50,'OI(Volume)'!$A$7:$O$427,9)</f>
        <v>1391850</v>
      </c>
      <c r="J50" s="103">
        <f>VLOOKUP($A50,'OI(Volume)'!$A$7:$O$427,11)</f>
        <v>19711350</v>
      </c>
      <c r="K50" s="103">
        <f>VLOOKUP($A50,'OI(Volume)'!$A$7:$O$427,12)</f>
        <v>600750</v>
      </c>
      <c r="L50" s="103">
        <f>VLOOKUP($A50,'OI(Value)'!$A$7:$O$306,8,0)</f>
        <v>1154</v>
      </c>
      <c r="M50" s="103">
        <f>VLOOKUP($A50,'OI(Value)'!$A$7:$O$306,9,0)</f>
        <v>54</v>
      </c>
      <c r="N50" s="103">
        <f>VLOOKUP($A50,'OI(Value)'!$A$7:$O$306,11,0)</f>
        <v>760</v>
      </c>
      <c r="O50" s="103">
        <f>VLOOKUP($A50,'OI(Value)'!$A$7:$O$306,12,0)</f>
        <v>23</v>
      </c>
      <c r="P50" s="179">
        <f>VLOOKUP(A50,'OI(Value)'!A50:O251,8,0)</f>
        <v>1154</v>
      </c>
      <c r="Q50" s="179">
        <f>VLOOKUP(A50,'OI(Value)'!A50:O251,9,0)</f>
        <v>54</v>
      </c>
      <c r="R50" s="179">
        <f>VLOOKUP(A50,'OI(Value)'!A50:O251,11,0)</f>
        <v>760</v>
      </c>
      <c r="S50" s="179">
        <f>VLOOKUP(A50,'OI(Value)'!A50:O251,11,0)</f>
        <v>760</v>
      </c>
    </row>
    <row r="51" spans="1:19" x14ac:dyDescent="0.25">
      <c r="A51" s="105" t="str">
        <f>'Data shares'!C46</f>
        <v>COFORGE</v>
      </c>
      <c r="B51" s="143">
        <f>VLOOKUP($A51,'Data shares'!$C:$FA,118)</f>
        <v>0.69</v>
      </c>
      <c r="C51" s="143">
        <f>VLOOKUP($A51,'Data shares'!$C:$FA,119)</f>
        <v>0.63</v>
      </c>
      <c r="D51" s="143">
        <f>VLOOKUP($A51,'Data shares'!$C:$FA,121)*100</f>
        <v>9.5200000000000014</v>
      </c>
      <c r="E51" s="143">
        <f>VLOOKUP($A51,'Data shares'!$C:$FA,124)</f>
        <v>0.52</v>
      </c>
      <c r="F51" s="143">
        <f>VLOOKUP($A51,'Data shares'!$C:$FA,125)</f>
        <v>0.56000000000000005</v>
      </c>
      <c r="G51" s="143">
        <f>VLOOKUP($A51,'Data shares'!$C:$FA,127)*100</f>
        <v>-7.1400000000000006</v>
      </c>
      <c r="H51" s="103">
        <f>VLOOKUP($A51,'OI(Volume)'!$A$7:$O$427,8)</f>
        <v>4197375</v>
      </c>
      <c r="I51" s="103">
        <f>VLOOKUP($A51,'OI(Volume)'!$A$7:$O$427,9)</f>
        <v>-401625</v>
      </c>
      <c r="J51" s="103">
        <f>VLOOKUP($A51,'OI(Volume)'!$A$7:$O$427,11)</f>
        <v>2914500</v>
      </c>
      <c r="K51" s="103">
        <f>VLOOKUP($A51,'OI(Volume)'!$A$7:$O$427,12)</f>
        <v>-5250</v>
      </c>
      <c r="L51" s="103">
        <f>VLOOKUP($A51,'OI(Value)'!$A$7:$O$306,8,0)</f>
        <v>727</v>
      </c>
      <c r="M51" s="103">
        <f>VLOOKUP($A51,'OI(Value)'!$A$7:$O$306,9,0)</f>
        <v>-70</v>
      </c>
      <c r="N51" s="103">
        <f>VLOOKUP($A51,'OI(Value)'!$A$7:$O$306,11,0)</f>
        <v>505</v>
      </c>
      <c r="O51" s="103">
        <f>VLOOKUP($A51,'OI(Value)'!$A$7:$O$306,12,0)</f>
        <v>-1</v>
      </c>
      <c r="P51" s="179">
        <f>VLOOKUP(A51,'OI(Value)'!A51:O252,8,0)</f>
        <v>727</v>
      </c>
      <c r="Q51" s="179">
        <f>VLOOKUP(A51,'OI(Value)'!A51:O252,9,0)</f>
        <v>-70</v>
      </c>
      <c r="R51" s="179">
        <f>VLOOKUP(A51,'OI(Value)'!A51:O252,11,0)</f>
        <v>505</v>
      </c>
      <c r="S51" s="179">
        <f>VLOOKUP(A51,'OI(Value)'!A51:O252,11,0)</f>
        <v>505</v>
      </c>
    </row>
    <row r="52" spans="1:19" x14ac:dyDescent="0.25">
      <c r="A52" s="105" t="str">
        <f>'Data shares'!C47</f>
        <v>COLPAL</v>
      </c>
      <c r="B52" s="143">
        <f>VLOOKUP($A52,'Data shares'!$C:$FA,118)</f>
        <v>0.81</v>
      </c>
      <c r="C52" s="143">
        <f>VLOOKUP($A52,'Data shares'!$C:$FA,119)</f>
        <v>0.78</v>
      </c>
      <c r="D52" s="143">
        <f>VLOOKUP($A52,'Data shares'!$C:$FA,121)*100</f>
        <v>3.85</v>
      </c>
      <c r="E52" s="143">
        <f>VLOOKUP($A52,'Data shares'!$C:$FA,124)</f>
        <v>0.3</v>
      </c>
      <c r="F52" s="143">
        <f>VLOOKUP($A52,'Data shares'!$C:$FA,125)</f>
        <v>0.28999999999999998</v>
      </c>
      <c r="G52" s="143">
        <f>VLOOKUP($A52,'Data shares'!$C:$FA,127)*100</f>
        <v>3.45</v>
      </c>
      <c r="H52" s="103">
        <f>VLOOKUP($A52,'OI(Volume)'!$A$7:$O$427,8)</f>
        <v>1654650</v>
      </c>
      <c r="I52" s="103">
        <f>VLOOKUP($A52,'OI(Volume)'!$A$7:$O$427,9)</f>
        <v>18675</v>
      </c>
      <c r="J52" s="103">
        <f>VLOOKUP($A52,'OI(Volume)'!$A$7:$O$427,11)</f>
        <v>1336725</v>
      </c>
      <c r="K52" s="103">
        <f>VLOOKUP($A52,'OI(Volume)'!$A$7:$O$427,12)</f>
        <v>56250</v>
      </c>
      <c r="L52" s="103">
        <f>VLOOKUP($A52,'OI(Value)'!$A$7:$O$306,8,0)</f>
        <v>370</v>
      </c>
      <c r="M52" s="103">
        <f>VLOOKUP($A52,'OI(Value)'!$A$7:$O$306,9,0)</f>
        <v>4</v>
      </c>
      <c r="N52" s="103">
        <f>VLOOKUP($A52,'OI(Value)'!$A$7:$O$306,11,0)</f>
        <v>299</v>
      </c>
      <c r="O52" s="103">
        <f>VLOOKUP($A52,'OI(Value)'!$A$7:$O$306,12,0)</f>
        <v>13</v>
      </c>
      <c r="P52" s="179">
        <f>VLOOKUP(A52,'OI(Value)'!A52:O253,8,0)</f>
        <v>370</v>
      </c>
      <c r="Q52" s="179">
        <f>VLOOKUP(A52,'OI(Value)'!A52:O253,9,0)</f>
        <v>4</v>
      </c>
      <c r="R52" s="179">
        <f>VLOOKUP(A52,'OI(Value)'!A52:O253,11,0)</f>
        <v>299</v>
      </c>
      <c r="S52" s="179">
        <f>VLOOKUP(A52,'OI(Value)'!A52:O253,11,0)</f>
        <v>299</v>
      </c>
    </row>
    <row r="53" spans="1:19" x14ac:dyDescent="0.25">
      <c r="A53" s="105" t="str">
        <f>'Data shares'!C48</f>
        <v>CONCOR</v>
      </c>
      <c r="B53" s="143">
        <f>VLOOKUP($A53,'Data shares'!$C:$FA,118)</f>
        <v>0.74</v>
      </c>
      <c r="C53" s="143">
        <f>VLOOKUP($A53,'Data shares'!$C:$FA,119)</f>
        <v>0.72</v>
      </c>
      <c r="D53" s="143">
        <f>VLOOKUP($A53,'Data shares'!$C:$FA,121)*100</f>
        <v>2.78</v>
      </c>
      <c r="E53" s="143">
        <f>VLOOKUP($A53,'Data shares'!$C:$FA,124)</f>
        <v>0.3</v>
      </c>
      <c r="F53" s="143">
        <f>VLOOKUP($A53,'Data shares'!$C:$FA,125)</f>
        <v>0.33</v>
      </c>
      <c r="G53" s="143">
        <f>VLOOKUP($A53,'Data shares'!$C:$FA,127)*100</f>
        <v>-9.09</v>
      </c>
      <c r="H53" s="103">
        <f>VLOOKUP($A53,'OI(Volume)'!$A$7:$O$427,8)</f>
        <v>10057500</v>
      </c>
      <c r="I53" s="103">
        <f>VLOOKUP($A53,'OI(Volume)'!$A$7:$O$427,9)</f>
        <v>-35000</v>
      </c>
      <c r="J53" s="103">
        <f>VLOOKUP($A53,'OI(Volume)'!$A$7:$O$427,11)</f>
        <v>7422500</v>
      </c>
      <c r="K53" s="103">
        <f>VLOOKUP($A53,'OI(Volume)'!$A$7:$O$427,12)</f>
        <v>120000</v>
      </c>
      <c r="L53" s="103">
        <f>VLOOKUP($A53,'OI(Value)'!$A$7:$O$306,8,0)</f>
        <v>546</v>
      </c>
      <c r="M53" s="103">
        <f>VLOOKUP($A53,'OI(Value)'!$A$7:$O$306,9,0)</f>
        <v>-2</v>
      </c>
      <c r="N53" s="103">
        <f>VLOOKUP($A53,'OI(Value)'!$A$7:$O$306,11,0)</f>
        <v>403</v>
      </c>
      <c r="O53" s="103">
        <f>VLOOKUP($A53,'OI(Value)'!$A$7:$O$306,12,0)</f>
        <v>7</v>
      </c>
      <c r="P53" s="179">
        <f>VLOOKUP(A53,'OI(Value)'!A53:O254,8,0)</f>
        <v>546</v>
      </c>
      <c r="Q53" s="179">
        <f>VLOOKUP(A53,'OI(Value)'!A53:O254,9,0)</f>
        <v>-2</v>
      </c>
      <c r="R53" s="179">
        <f>VLOOKUP(A53,'OI(Value)'!A53:O254,11,0)</f>
        <v>403</v>
      </c>
      <c r="S53" s="179">
        <f>VLOOKUP(A53,'OI(Value)'!A53:O254,11,0)</f>
        <v>403</v>
      </c>
    </row>
    <row r="54" spans="1:19" x14ac:dyDescent="0.25">
      <c r="A54" s="105" t="str">
        <f>'Data shares'!C49</f>
        <v>CROMPTON</v>
      </c>
      <c r="B54" s="143">
        <f>VLOOKUP($A54,'Data shares'!$C:$FA,118)</f>
        <v>0.56999999999999995</v>
      </c>
      <c r="C54" s="143">
        <f>VLOOKUP($A54,'Data shares'!$C:$FA,119)</f>
        <v>0.55000000000000004</v>
      </c>
      <c r="D54" s="143">
        <f>VLOOKUP($A54,'Data shares'!$C:$FA,121)*100</f>
        <v>3.64</v>
      </c>
      <c r="E54" s="143">
        <f>VLOOKUP($A54,'Data shares'!$C:$FA,124)</f>
        <v>0.26</v>
      </c>
      <c r="F54" s="143">
        <f>VLOOKUP($A54,'Data shares'!$C:$FA,125)</f>
        <v>0.26</v>
      </c>
      <c r="G54" s="143">
        <f>VLOOKUP($A54,'Data shares'!$C:$FA,127)*100</f>
        <v>0</v>
      </c>
      <c r="H54" s="103">
        <f>VLOOKUP($A54,'OI(Volume)'!$A$7:$O$427,8)</f>
        <v>18300600</v>
      </c>
      <c r="I54" s="103">
        <f>VLOOKUP($A54,'OI(Volume)'!$A$7:$O$427,9)</f>
        <v>-117000</v>
      </c>
      <c r="J54" s="103">
        <f>VLOOKUP($A54,'OI(Volume)'!$A$7:$O$427,11)</f>
        <v>10377000</v>
      </c>
      <c r="K54" s="103">
        <f>VLOOKUP($A54,'OI(Volume)'!$A$7:$O$427,12)</f>
        <v>244800</v>
      </c>
      <c r="L54" s="103">
        <f>VLOOKUP($A54,'OI(Value)'!$A$7:$O$306,8,0)</f>
        <v>529</v>
      </c>
      <c r="M54" s="103">
        <f>VLOOKUP($A54,'OI(Value)'!$A$7:$O$306,9,0)</f>
        <v>-3</v>
      </c>
      <c r="N54" s="103">
        <f>VLOOKUP($A54,'OI(Value)'!$A$7:$O$306,11,0)</f>
        <v>300</v>
      </c>
      <c r="O54" s="103">
        <f>VLOOKUP($A54,'OI(Value)'!$A$7:$O$306,12,0)</f>
        <v>7</v>
      </c>
      <c r="P54" s="179">
        <f>VLOOKUP(A54,'OI(Value)'!A54:O255,8,0)</f>
        <v>529</v>
      </c>
      <c r="Q54" s="179">
        <f>VLOOKUP(A54,'OI(Value)'!A54:O255,9,0)</f>
        <v>-3</v>
      </c>
      <c r="R54" s="179">
        <f>VLOOKUP(A54,'OI(Value)'!A54:O255,11,0)</f>
        <v>300</v>
      </c>
      <c r="S54" s="179">
        <f>VLOOKUP(A54,'OI(Value)'!A54:O255,11,0)</f>
        <v>300</v>
      </c>
    </row>
    <row r="55" spans="1:19" x14ac:dyDescent="0.25">
      <c r="A55" s="105" t="str">
        <f>'Data shares'!C50</f>
        <v>CUMMINSIND</v>
      </c>
      <c r="B55" s="143">
        <f>VLOOKUP($A55,'Data shares'!$C:$FA,118)</f>
        <v>0.69</v>
      </c>
      <c r="C55" s="143">
        <f>VLOOKUP($A55,'Data shares'!$C:$FA,119)</f>
        <v>0.74</v>
      </c>
      <c r="D55" s="143">
        <f>VLOOKUP($A55,'Data shares'!$C:$FA,121)*100</f>
        <v>-6.76</v>
      </c>
      <c r="E55" s="143">
        <f>VLOOKUP($A55,'Data shares'!$C:$FA,124)</f>
        <v>0.27</v>
      </c>
      <c r="F55" s="143">
        <f>VLOOKUP($A55,'Data shares'!$C:$FA,125)</f>
        <v>0.27</v>
      </c>
      <c r="G55" s="143">
        <f>VLOOKUP($A55,'Data shares'!$C:$FA,127)*100</f>
        <v>0</v>
      </c>
      <c r="H55" s="103">
        <f>VLOOKUP($A55,'OI(Volume)'!$A$7:$O$427,8)</f>
        <v>742800</v>
      </c>
      <c r="I55" s="103">
        <f>VLOOKUP($A55,'OI(Volume)'!$A$7:$O$427,9)</f>
        <v>55600</v>
      </c>
      <c r="J55" s="103">
        <f>VLOOKUP($A55,'OI(Volume)'!$A$7:$O$427,11)</f>
        <v>512200</v>
      </c>
      <c r="K55" s="103">
        <f>VLOOKUP($A55,'OI(Volume)'!$A$7:$O$427,12)</f>
        <v>6000</v>
      </c>
      <c r="L55" s="103">
        <f>VLOOKUP($A55,'OI(Value)'!$A$7:$O$306,8,0)</f>
        <v>296</v>
      </c>
      <c r="M55" s="103">
        <f>VLOOKUP($A55,'OI(Value)'!$A$7:$O$306,9,0)</f>
        <v>22</v>
      </c>
      <c r="N55" s="103">
        <f>VLOOKUP($A55,'OI(Value)'!$A$7:$O$306,11,0)</f>
        <v>204</v>
      </c>
      <c r="O55" s="103">
        <f>VLOOKUP($A55,'OI(Value)'!$A$7:$O$306,12,0)</f>
        <v>2</v>
      </c>
      <c r="P55" s="179">
        <f>VLOOKUP(A55,'OI(Value)'!A55:O256,8,0)</f>
        <v>296</v>
      </c>
      <c r="Q55" s="179">
        <f>VLOOKUP(A55,'OI(Value)'!A55:O256,9,0)</f>
        <v>22</v>
      </c>
      <c r="R55" s="179">
        <f>VLOOKUP(A55,'OI(Value)'!A55:O256,11,0)</f>
        <v>204</v>
      </c>
      <c r="S55" s="179">
        <f>VLOOKUP(A55,'OI(Value)'!A55:O256,11,0)</f>
        <v>204</v>
      </c>
    </row>
    <row r="56" spans="1:19" x14ac:dyDescent="0.25">
      <c r="A56" s="105" t="str">
        <f>'Data shares'!C51</f>
        <v>CYIENT</v>
      </c>
      <c r="B56" s="143">
        <f>VLOOKUP($A56,'Data shares'!$C:$FA,118)</f>
        <v>0.54</v>
      </c>
      <c r="C56" s="143">
        <f>VLOOKUP($A56,'Data shares'!$C:$FA,119)</f>
        <v>0.63</v>
      </c>
      <c r="D56" s="143">
        <f>VLOOKUP($A56,'Data shares'!$C:$FA,121)*100</f>
        <v>-14.29</v>
      </c>
      <c r="E56" s="143">
        <f>VLOOKUP($A56,'Data shares'!$C:$FA,124)</f>
        <v>0.19</v>
      </c>
      <c r="F56" s="143">
        <f>VLOOKUP($A56,'Data shares'!$C:$FA,125)</f>
        <v>0.45</v>
      </c>
      <c r="G56" s="143">
        <f>VLOOKUP($A56,'Data shares'!$C:$FA,127)*100</f>
        <v>-57.78</v>
      </c>
      <c r="H56" s="103">
        <f>VLOOKUP($A56,'OI(Volume)'!$A$7:$O$427,8)</f>
        <v>2066350</v>
      </c>
      <c r="I56" s="103">
        <f>VLOOKUP($A56,'OI(Volume)'!$A$7:$O$427,9)</f>
        <v>364225</v>
      </c>
      <c r="J56" s="103">
        <f>VLOOKUP($A56,'OI(Volume)'!$A$7:$O$427,11)</f>
        <v>1116900</v>
      </c>
      <c r="K56" s="103">
        <f>VLOOKUP($A56,'OI(Volume)'!$A$7:$O$427,12)</f>
        <v>42925</v>
      </c>
      <c r="L56" s="103">
        <f>VLOOKUP($A56,'OI(Value)'!$A$7:$O$306,8,0)</f>
        <v>244</v>
      </c>
      <c r="M56" s="103">
        <f>VLOOKUP($A56,'OI(Value)'!$A$7:$O$306,9,0)</f>
        <v>43</v>
      </c>
      <c r="N56" s="103">
        <f>VLOOKUP($A56,'OI(Value)'!$A$7:$O$306,11,0)</f>
        <v>132</v>
      </c>
      <c r="O56" s="103">
        <f>VLOOKUP($A56,'OI(Value)'!$A$7:$O$306,12,0)</f>
        <v>5</v>
      </c>
      <c r="P56" s="179">
        <f>VLOOKUP(A56,'OI(Value)'!A56:O257,8,0)</f>
        <v>244</v>
      </c>
      <c r="Q56" s="179">
        <f>VLOOKUP(A56,'OI(Value)'!A56:O257,9,0)</f>
        <v>43</v>
      </c>
      <c r="R56" s="179">
        <f>VLOOKUP(A56,'OI(Value)'!A56:O257,11,0)</f>
        <v>132</v>
      </c>
      <c r="S56" s="179">
        <f>VLOOKUP(A56,'OI(Value)'!A56:O257,11,0)</f>
        <v>132</v>
      </c>
    </row>
    <row r="57" spans="1:19" x14ac:dyDescent="0.25">
      <c r="A57" s="105" t="str">
        <f>'Data shares'!C52</f>
        <v>DABUR</v>
      </c>
      <c r="B57" s="143">
        <f>VLOOKUP($A57,'Data shares'!$C:$FA,118)</f>
        <v>0.44</v>
      </c>
      <c r="C57" s="143">
        <f>VLOOKUP($A57,'Data shares'!$C:$FA,119)</f>
        <v>0.43</v>
      </c>
      <c r="D57" s="143">
        <f>VLOOKUP($A57,'Data shares'!$C:$FA,121)*100</f>
        <v>2.33</v>
      </c>
      <c r="E57" s="143">
        <f>VLOOKUP($A57,'Data shares'!$C:$FA,124)</f>
        <v>0.39</v>
      </c>
      <c r="F57" s="143">
        <f>VLOOKUP($A57,'Data shares'!$C:$FA,125)</f>
        <v>0.43</v>
      </c>
      <c r="G57" s="143">
        <f>VLOOKUP($A57,'Data shares'!$C:$FA,127)*100</f>
        <v>-9.3000000000000007</v>
      </c>
      <c r="H57" s="103">
        <f>VLOOKUP($A57,'OI(Volume)'!$A$7:$O$427,8)</f>
        <v>18765000</v>
      </c>
      <c r="I57" s="103">
        <f>VLOOKUP($A57,'OI(Volume)'!$A$7:$O$427,9)</f>
        <v>-201250</v>
      </c>
      <c r="J57" s="103">
        <f>VLOOKUP($A57,'OI(Volume)'!$A$7:$O$427,11)</f>
        <v>8303750</v>
      </c>
      <c r="K57" s="103">
        <f>VLOOKUP($A57,'OI(Volume)'!$A$7:$O$427,12)</f>
        <v>206250</v>
      </c>
      <c r="L57" s="103">
        <f>VLOOKUP($A57,'OI(Value)'!$A$7:$O$306,8,0)</f>
        <v>922</v>
      </c>
      <c r="M57" s="103">
        <f>VLOOKUP($A57,'OI(Value)'!$A$7:$O$306,9,0)</f>
        <v>-10</v>
      </c>
      <c r="N57" s="103">
        <f>VLOOKUP($A57,'OI(Value)'!$A$7:$O$306,11,0)</f>
        <v>408</v>
      </c>
      <c r="O57" s="103">
        <f>VLOOKUP($A57,'OI(Value)'!$A$7:$O$306,12,0)</f>
        <v>10</v>
      </c>
      <c r="P57" s="179">
        <f>VLOOKUP(A57,'OI(Value)'!A57:O258,8,0)</f>
        <v>922</v>
      </c>
      <c r="Q57" s="179">
        <f>VLOOKUP(A57,'OI(Value)'!A57:O258,9,0)</f>
        <v>-10</v>
      </c>
      <c r="R57" s="179">
        <f>VLOOKUP(A57,'OI(Value)'!A57:O258,11,0)</f>
        <v>408</v>
      </c>
      <c r="S57" s="179">
        <f>VLOOKUP(A57,'OI(Value)'!A57:O258,11,0)</f>
        <v>408</v>
      </c>
    </row>
    <row r="58" spans="1:19" x14ac:dyDescent="0.25">
      <c r="A58" s="105" t="str">
        <f>'Data shares'!C53</f>
        <v>DALBHARAT</v>
      </c>
      <c r="B58" s="143">
        <f>VLOOKUP($A58,'Data shares'!$C:$FA,118)</f>
        <v>0.63</v>
      </c>
      <c r="C58" s="143">
        <f>VLOOKUP($A58,'Data shares'!$C:$FA,119)</f>
        <v>0.64</v>
      </c>
      <c r="D58" s="143">
        <f>VLOOKUP($A58,'Data shares'!$C:$FA,121)*100</f>
        <v>-1.5599999999999998</v>
      </c>
      <c r="E58" s="143">
        <f>VLOOKUP($A58,'Data shares'!$C:$FA,124)</f>
        <v>0.72</v>
      </c>
      <c r="F58" s="143">
        <f>VLOOKUP($A58,'Data shares'!$C:$FA,125)</f>
        <v>1.1100000000000001</v>
      </c>
      <c r="G58" s="143">
        <f>VLOOKUP($A58,'Data shares'!$C:$FA,127)*100</f>
        <v>-35.14</v>
      </c>
      <c r="H58" s="103">
        <f>VLOOKUP($A58,'OI(Volume)'!$A$7:$O$427,8)</f>
        <v>420225</v>
      </c>
      <c r="I58" s="103">
        <f>VLOOKUP($A58,'OI(Volume)'!$A$7:$O$427,9)</f>
        <v>13975</v>
      </c>
      <c r="J58" s="103">
        <f>VLOOKUP($A58,'OI(Volume)'!$A$7:$O$427,11)</f>
        <v>266500</v>
      </c>
      <c r="K58" s="103">
        <f>VLOOKUP($A58,'OI(Volume)'!$A$7:$O$427,12)</f>
        <v>7800</v>
      </c>
      <c r="L58" s="103">
        <f>VLOOKUP($A58,'OI(Value)'!$A$7:$O$306,8,0)</f>
        <v>94</v>
      </c>
      <c r="M58" s="103">
        <f>VLOOKUP($A58,'OI(Value)'!$A$7:$O$306,9,0)</f>
        <v>3</v>
      </c>
      <c r="N58" s="103">
        <f>VLOOKUP($A58,'OI(Value)'!$A$7:$O$306,11,0)</f>
        <v>60</v>
      </c>
      <c r="O58" s="103">
        <f>VLOOKUP($A58,'OI(Value)'!$A$7:$O$306,12,0)</f>
        <v>2</v>
      </c>
      <c r="P58" s="179">
        <f>VLOOKUP(A58,'OI(Value)'!A58:O259,8,0)</f>
        <v>94</v>
      </c>
      <c r="Q58" s="179">
        <f>VLOOKUP(A58,'OI(Value)'!A58:O259,9,0)</f>
        <v>3</v>
      </c>
      <c r="R58" s="179">
        <f>VLOOKUP(A58,'OI(Value)'!A58:O259,11,0)</f>
        <v>60</v>
      </c>
      <c r="S58" s="179">
        <f>VLOOKUP(A58,'OI(Value)'!A58:O259,11,0)</f>
        <v>60</v>
      </c>
    </row>
    <row r="59" spans="1:19" x14ac:dyDescent="0.25">
      <c r="A59" s="105" t="str">
        <f>'Data shares'!C54</f>
        <v>DELHIVERY</v>
      </c>
      <c r="B59" s="143">
        <f>VLOOKUP($A59,'Data shares'!$C:$FA,118)</f>
        <v>0.78</v>
      </c>
      <c r="C59" s="143">
        <f>VLOOKUP($A59,'Data shares'!$C:$FA,119)</f>
        <v>0.83</v>
      </c>
      <c r="D59" s="143">
        <f>VLOOKUP($A59,'Data shares'!$C:$FA,121)*100</f>
        <v>-6.02</v>
      </c>
      <c r="E59" s="143">
        <f>VLOOKUP($A59,'Data shares'!$C:$FA,124)</f>
        <v>0.6</v>
      </c>
      <c r="F59" s="143">
        <f>VLOOKUP($A59,'Data shares'!$C:$FA,125)</f>
        <v>0.49</v>
      </c>
      <c r="G59" s="143">
        <f>VLOOKUP($A59,'Data shares'!$C:$FA,127)*100</f>
        <v>22.45</v>
      </c>
      <c r="H59" s="103">
        <f>VLOOKUP($A59,'OI(Volume)'!$A$7:$O$427,8)</f>
        <v>7194025</v>
      </c>
      <c r="I59" s="103">
        <f>VLOOKUP($A59,'OI(Volume)'!$A$7:$O$427,9)</f>
        <v>585150</v>
      </c>
      <c r="J59" s="103">
        <f>VLOOKUP($A59,'OI(Volume)'!$A$7:$O$427,11)</f>
        <v>5614950</v>
      </c>
      <c r="K59" s="103">
        <f>VLOOKUP($A59,'OI(Volume)'!$A$7:$O$427,12)</f>
        <v>120350</v>
      </c>
      <c r="L59" s="103">
        <f>VLOOKUP($A59,'OI(Value)'!$A$7:$O$306,8,0)</f>
        <v>336</v>
      </c>
      <c r="M59" s="103">
        <f>VLOOKUP($A59,'OI(Value)'!$A$7:$O$306,9,0)</f>
        <v>27</v>
      </c>
      <c r="N59" s="103">
        <f>VLOOKUP($A59,'OI(Value)'!$A$7:$O$306,11,0)</f>
        <v>263</v>
      </c>
      <c r="O59" s="103">
        <f>VLOOKUP($A59,'OI(Value)'!$A$7:$O$306,12,0)</f>
        <v>6</v>
      </c>
      <c r="P59" s="179">
        <f>VLOOKUP(A59,'OI(Value)'!A59:O260,8,0)</f>
        <v>336</v>
      </c>
      <c r="Q59" s="179">
        <f>VLOOKUP(A59,'OI(Value)'!A59:O260,9,0)</f>
        <v>27</v>
      </c>
      <c r="R59" s="179">
        <f>VLOOKUP(A59,'OI(Value)'!A59:O260,11,0)</f>
        <v>263</v>
      </c>
      <c r="S59" s="179">
        <f>VLOOKUP(A59,'OI(Value)'!A59:O260,11,0)</f>
        <v>263</v>
      </c>
    </row>
    <row r="60" spans="1:19" x14ac:dyDescent="0.25">
      <c r="A60" s="105" t="str">
        <f>'Data shares'!C55</f>
        <v>DIVISLAB</v>
      </c>
      <c r="B60" s="143">
        <f>VLOOKUP($A60,'Data shares'!$C:$FA,118)</f>
        <v>0.91</v>
      </c>
      <c r="C60" s="143">
        <f>VLOOKUP($A60,'Data shares'!$C:$FA,119)</f>
        <v>0.86</v>
      </c>
      <c r="D60" s="143">
        <f>VLOOKUP($A60,'Data shares'!$C:$FA,121)*100</f>
        <v>5.81</v>
      </c>
      <c r="E60" s="143">
        <f>VLOOKUP($A60,'Data shares'!$C:$FA,124)</f>
        <v>0.39</v>
      </c>
      <c r="F60" s="143">
        <f>VLOOKUP($A60,'Data shares'!$C:$FA,125)</f>
        <v>0.46</v>
      </c>
      <c r="G60" s="143">
        <f>VLOOKUP($A60,'Data shares'!$C:$FA,127)*100</f>
        <v>-15.22</v>
      </c>
      <c r="H60" s="103">
        <f>VLOOKUP($A60,'OI(Volume)'!$A$7:$O$427,8)</f>
        <v>1718200</v>
      </c>
      <c r="I60" s="103">
        <f>VLOOKUP($A60,'OI(Volume)'!$A$7:$O$427,9)</f>
        <v>696400</v>
      </c>
      <c r="J60" s="103">
        <f>VLOOKUP($A60,'OI(Volume)'!$A$7:$O$427,11)</f>
        <v>1571500</v>
      </c>
      <c r="K60" s="103">
        <f>VLOOKUP($A60,'OI(Volume)'!$A$7:$O$427,12)</f>
        <v>693500</v>
      </c>
      <c r="L60" s="103">
        <f>VLOOKUP($A60,'OI(Value)'!$A$7:$O$306,8,0)</f>
        <v>1117</v>
      </c>
      <c r="M60" s="103">
        <f>VLOOKUP($A60,'OI(Value)'!$A$7:$O$306,9,0)</f>
        <v>453</v>
      </c>
      <c r="N60" s="103">
        <f>VLOOKUP($A60,'OI(Value)'!$A$7:$O$306,11,0)</f>
        <v>1021</v>
      </c>
      <c r="O60" s="103">
        <f>VLOOKUP($A60,'OI(Value)'!$A$7:$O$306,12,0)</f>
        <v>451</v>
      </c>
      <c r="P60" s="179">
        <f>VLOOKUP(A60,'OI(Value)'!A60:O261,8,0)</f>
        <v>1117</v>
      </c>
      <c r="Q60" s="179">
        <f>VLOOKUP(A60,'OI(Value)'!A60:O261,9,0)</f>
        <v>453</v>
      </c>
      <c r="R60" s="179">
        <f>VLOOKUP(A60,'OI(Value)'!A60:O261,11,0)</f>
        <v>1021</v>
      </c>
      <c r="S60" s="179">
        <f>VLOOKUP(A60,'OI(Value)'!A60:O261,11,0)</f>
        <v>1021</v>
      </c>
    </row>
    <row r="61" spans="1:19" x14ac:dyDescent="0.25">
      <c r="A61" s="105" t="str">
        <f>'Data shares'!C56</f>
        <v>DIXON</v>
      </c>
      <c r="B61" s="143">
        <f>VLOOKUP($A61,'Data shares'!$C:$FA,118)</f>
        <v>0.96</v>
      </c>
      <c r="C61" s="143">
        <f>VLOOKUP($A61,'Data shares'!$C:$FA,119)</f>
        <v>0.82</v>
      </c>
      <c r="D61" s="143">
        <f>VLOOKUP($A61,'Data shares'!$C:$FA,121)*100</f>
        <v>17.07</v>
      </c>
      <c r="E61" s="143">
        <f>VLOOKUP($A61,'Data shares'!$C:$FA,124)</f>
        <v>0.53</v>
      </c>
      <c r="F61" s="143">
        <f>VLOOKUP($A61,'Data shares'!$C:$FA,125)</f>
        <v>0.64</v>
      </c>
      <c r="G61" s="143">
        <f>VLOOKUP($A61,'Data shares'!$C:$FA,127)*100</f>
        <v>-17.190000000000001</v>
      </c>
      <c r="H61" s="103">
        <f>VLOOKUP($A61,'OI(Volume)'!$A$7:$O$427,8)</f>
        <v>797950</v>
      </c>
      <c r="I61" s="103">
        <f>VLOOKUP($A61,'OI(Volume)'!$A$7:$O$427,9)</f>
        <v>-99650</v>
      </c>
      <c r="J61" s="103">
        <f>VLOOKUP($A61,'OI(Volume)'!$A$7:$O$427,11)</f>
        <v>766700</v>
      </c>
      <c r="K61" s="103">
        <f>VLOOKUP($A61,'OI(Volume)'!$A$7:$O$427,12)</f>
        <v>32950</v>
      </c>
      <c r="L61" s="103">
        <f>VLOOKUP($A61,'OI(Value)'!$A$7:$O$306,8,0)</f>
        <v>1396</v>
      </c>
      <c r="M61" s="103">
        <f>VLOOKUP($A61,'OI(Value)'!$A$7:$O$306,9,0)</f>
        <v>-174</v>
      </c>
      <c r="N61" s="103">
        <f>VLOOKUP($A61,'OI(Value)'!$A$7:$O$306,11,0)</f>
        <v>1341</v>
      </c>
      <c r="O61" s="103">
        <f>VLOOKUP($A61,'OI(Value)'!$A$7:$O$306,12,0)</f>
        <v>58</v>
      </c>
      <c r="P61" s="179">
        <f>VLOOKUP(A61,'OI(Value)'!A61:O262,8,0)</f>
        <v>1396</v>
      </c>
      <c r="Q61" s="179">
        <f>VLOOKUP(A61,'OI(Value)'!A61:O262,9,0)</f>
        <v>-174</v>
      </c>
      <c r="R61" s="179">
        <f>VLOOKUP(A61,'OI(Value)'!A61:O262,11,0)</f>
        <v>1341</v>
      </c>
      <c r="S61" s="179">
        <f>VLOOKUP(A61,'OI(Value)'!A61:O262,11,0)</f>
        <v>1341</v>
      </c>
    </row>
    <row r="62" spans="1:19" x14ac:dyDescent="0.25">
      <c r="A62" s="105" t="str">
        <f>'Data shares'!C57</f>
        <v>DLF</v>
      </c>
      <c r="B62" s="143">
        <f>VLOOKUP($A62,'Data shares'!$C:$FA,118)</f>
        <v>0.65</v>
      </c>
      <c r="C62" s="143">
        <f>VLOOKUP($A62,'Data shares'!$C:$FA,119)</f>
        <v>0.64</v>
      </c>
      <c r="D62" s="143">
        <f>VLOOKUP($A62,'Data shares'!$C:$FA,121)*100</f>
        <v>1.5599999999999998</v>
      </c>
      <c r="E62" s="143">
        <f>VLOOKUP($A62,'Data shares'!$C:$FA,124)</f>
        <v>0.4</v>
      </c>
      <c r="F62" s="143">
        <f>VLOOKUP($A62,'Data shares'!$C:$FA,125)</f>
        <v>0.33</v>
      </c>
      <c r="G62" s="143">
        <f>VLOOKUP($A62,'Data shares'!$C:$FA,127)*100</f>
        <v>21.21</v>
      </c>
      <c r="H62" s="103">
        <f>VLOOKUP($A62,'OI(Volume)'!$A$7:$O$427,8)</f>
        <v>16212900</v>
      </c>
      <c r="I62" s="103">
        <f>VLOOKUP($A62,'OI(Volume)'!$A$7:$O$427,9)</f>
        <v>-89100</v>
      </c>
      <c r="J62" s="103">
        <f>VLOOKUP($A62,'OI(Volume)'!$A$7:$O$427,11)</f>
        <v>10488225</v>
      </c>
      <c r="K62" s="103">
        <f>VLOOKUP($A62,'OI(Volume)'!$A$7:$O$427,12)</f>
        <v>47850</v>
      </c>
      <c r="L62" s="103">
        <f>VLOOKUP($A62,'OI(Value)'!$A$7:$O$306,8,0)</f>
        <v>1204</v>
      </c>
      <c r="M62" s="103">
        <f>VLOOKUP($A62,'OI(Value)'!$A$7:$O$306,9,0)</f>
        <v>-7</v>
      </c>
      <c r="N62" s="103">
        <f>VLOOKUP($A62,'OI(Value)'!$A$7:$O$306,11,0)</f>
        <v>779</v>
      </c>
      <c r="O62" s="103">
        <f>VLOOKUP($A62,'OI(Value)'!$A$7:$O$306,12,0)</f>
        <v>4</v>
      </c>
      <c r="P62" s="179">
        <f>VLOOKUP(A62,'OI(Value)'!A62:O263,8,0)</f>
        <v>1204</v>
      </c>
      <c r="Q62" s="179">
        <f>VLOOKUP(A62,'OI(Value)'!A62:O263,9,0)</f>
        <v>-7</v>
      </c>
      <c r="R62" s="179">
        <f>VLOOKUP(A62,'OI(Value)'!A62:O263,11,0)</f>
        <v>779</v>
      </c>
      <c r="S62" s="179">
        <f>VLOOKUP(A62,'OI(Value)'!A62:O263,11,0)</f>
        <v>779</v>
      </c>
    </row>
    <row r="63" spans="1:19" x14ac:dyDescent="0.25">
      <c r="A63" s="105" t="str">
        <f>'Data shares'!C58</f>
        <v>DMART</v>
      </c>
      <c r="B63" s="143">
        <f>VLOOKUP($A63,'Data shares'!$C:$FA,118)</f>
        <v>0.56999999999999995</v>
      </c>
      <c r="C63" s="143">
        <f>VLOOKUP($A63,'Data shares'!$C:$FA,119)</f>
        <v>0.56000000000000005</v>
      </c>
      <c r="D63" s="143">
        <f>VLOOKUP($A63,'Data shares'!$C:$FA,121)*100</f>
        <v>1.79</v>
      </c>
      <c r="E63" s="143">
        <f>VLOOKUP($A63,'Data shares'!$C:$FA,124)</f>
        <v>0.44</v>
      </c>
      <c r="F63" s="143">
        <f>VLOOKUP($A63,'Data shares'!$C:$FA,125)</f>
        <v>0.38</v>
      </c>
      <c r="G63" s="143">
        <f>VLOOKUP($A63,'Data shares'!$C:$FA,127)*100</f>
        <v>15.790000000000001</v>
      </c>
      <c r="H63" s="103">
        <f>VLOOKUP($A63,'OI(Volume)'!$A$7:$O$427,8)</f>
        <v>2814000</v>
      </c>
      <c r="I63" s="103">
        <f>VLOOKUP($A63,'OI(Volume)'!$A$7:$O$427,9)</f>
        <v>772200</v>
      </c>
      <c r="J63" s="103">
        <f>VLOOKUP($A63,'OI(Volume)'!$A$7:$O$427,11)</f>
        <v>1608600</v>
      </c>
      <c r="K63" s="103">
        <f>VLOOKUP($A63,'OI(Volume)'!$A$7:$O$427,12)</f>
        <v>465150</v>
      </c>
      <c r="L63" s="103">
        <f>VLOOKUP($A63,'OI(Value)'!$A$7:$O$306,8,0)</f>
        <v>1221</v>
      </c>
      <c r="M63" s="103">
        <f>VLOOKUP($A63,'OI(Value)'!$A$7:$O$306,9,0)</f>
        <v>335</v>
      </c>
      <c r="N63" s="103">
        <f>VLOOKUP($A63,'OI(Value)'!$A$7:$O$306,11,0)</f>
        <v>698</v>
      </c>
      <c r="O63" s="103">
        <f>VLOOKUP($A63,'OI(Value)'!$A$7:$O$306,12,0)</f>
        <v>202</v>
      </c>
      <c r="P63" s="179">
        <f>VLOOKUP(A63,'OI(Value)'!A63:O264,8,0)</f>
        <v>1221</v>
      </c>
      <c r="Q63" s="179">
        <f>VLOOKUP(A63,'OI(Value)'!A63:O264,9,0)</f>
        <v>335</v>
      </c>
      <c r="R63" s="179">
        <f>VLOOKUP(A63,'OI(Value)'!A63:O264,11,0)</f>
        <v>698</v>
      </c>
      <c r="S63" s="179">
        <f>VLOOKUP(A63,'OI(Value)'!A63:O264,11,0)</f>
        <v>698</v>
      </c>
    </row>
    <row r="64" spans="1:19" x14ac:dyDescent="0.25">
      <c r="A64" s="105" t="str">
        <f>'Data shares'!C59</f>
        <v>DRREDDY</v>
      </c>
      <c r="B64" s="143">
        <f>VLOOKUP($A64,'Data shares'!$C:$FA,118)</f>
        <v>0.56000000000000005</v>
      </c>
      <c r="C64" s="143">
        <f>VLOOKUP($A64,'Data shares'!$C:$FA,119)</f>
        <v>0.55000000000000004</v>
      </c>
      <c r="D64" s="143">
        <f>VLOOKUP($A64,'Data shares'!$C:$FA,121)*100</f>
        <v>1.82</v>
      </c>
      <c r="E64" s="143">
        <f>VLOOKUP($A64,'Data shares'!$C:$FA,124)</f>
        <v>0.36</v>
      </c>
      <c r="F64" s="143">
        <f>VLOOKUP($A64,'Data shares'!$C:$FA,125)</f>
        <v>0.28000000000000003</v>
      </c>
      <c r="G64" s="143">
        <f>VLOOKUP($A64,'Data shares'!$C:$FA,127)*100</f>
        <v>28.57</v>
      </c>
      <c r="H64" s="103">
        <f>VLOOKUP($A64,'OI(Volume)'!$A$7:$O$427,8)</f>
        <v>5405625</v>
      </c>
      <c r="I64" s="103">
        <f>VLOOKUP($A64,'OI(Volume)'!$A$7:$O$427,9)</f>
        <v>-165625</v>
      </c>
      <c r="J64" s="103">
        <f>VLOOKUP($A64,'OI(Volume)'!$A$7:$O$427,11)</f>
        <v>3009375</v>
      </c>
      <c r="K64" s="103">
        <f>VLOOKUP($A64,'OI(Volume)'!$A$7:$O$427,12)</f>
        <v>-53125</v>
      </c>
      <c r="L64" s="103">
        <f>VLOOKUP($A64,'OI(Value)'!$A$7:$O$306,8,0)</f>
        <v>687</v>
      </c>
      <c r="M64" s="103">
        <f>VLOOKUP($A64,'OI(Value)'!$A$7:$O$306,9,0)</f>
        <v>-21</v>
      </c>
      <c r="N64" s="103">
        <f>VLOOKUP($A64,'OI(Value)'!$A$7:$O$306,11,0)</f>
        <v>382</v>
      </c>
      <c r="O64" s="103">
        <f>VLOOKUP($A64,'OI(Value)'!$A$7:$O$306,12,0)</f>
        <v>-7</v>
      </c>
      <c r="P64" s="179">
        <f>VLOOKUP(A64,'OI(Value)'!A64:O265,8,0)</f>
        <v>687</v>
      </c>
      <c r="Q64" s="179">
        <f>VLOOKUP(A64,'OI(Value)'!A64:O265,9,0)</f>
        <v>-21</v>
      </c>
      <c r="R64" s="179">
        <f>VLOOKUP(A64,'OI(Value)'!A64:O265,11,0)</f>
        <v>382</v>
      </c>
      <c r="S64" s="179">
        <f>VLOOKUP(A64,'OI(Value)'!A64:O265,11,0)</f>
        <v>382</v>
      </c>
    </row>
    <row r="65" spans="1:19" x14ac:dyDescent="0.25">
      <c r="A65" s="105" t="str">
        <f>'Data shares'!C60</f>
        <v>EICHERMOT</v>
      </c>
      <c r="B65" s="143">
        <f>VLOOKUP($A65,'Data shares'!$C:$FA,118)</f>
        <v>0.78</v>
      </c>
      <c r="C65" s="143">
        <f>VLOOKUP($A65,'Data shares'!$C:$FA,119)</f>
        <v>0.75</v>
      </c>
      <c r="D65" s="143">
        <f>VLOOKUP($A65,'Data shares'!$C:$FA,121)*100</f>
        <v>4</v>
      </c>
      <c r="E65" s="143">
        <f>VLOOKUP($A65,'Data shares'!$C:$FA,124)</f>
        <v>0.56999999999999995</v>
      </c>
      <c r="F65" s="143">
        <f>VLOOKUP($A65,'Data shares'!$C:$FA,125)</f>
        <v>0.77</v>
      </c>
      <c r="G65" s="143">
        <f>VLOOKUP($A65,'Data shares'!$C:$FA,127)*100</f>
        <v>-25.97</v>
      </c>
      <c r="H65" s="103">
        <f>VLOOKUP($A65,'OI(Volume)'!$A$7:$O$427,8)</f>
        <v>1846600</v>
      </c>
      <c r="I65" s="103">
        <f>VLOOKUP($A65,'OI(Volume)'!$A$7:$O$427,9)</f>
        <v>-31150</v>
      </c>
      <c r="J65" s="103">
        <f>VLOOKUP($A65,'OI(Volume)'!$A$7:$O$427,11)</f>
        <v>1441300</v>
      </c>
      <c r="K65" s="103">
        <f>VLOOKUP($A65,'OI(Volume)'!$A$7:$O$427,12)</f>
        <v>24850</v>
      </c>
      <c r="L65" s="103">
        <f>VLOOKUP($A65,'OI(Value)'!$A$7:$O$306,8,0)</f>
        <v>1290</v>
      </c>
      <c r="M65" s="103">
        <f>VLOOKUP($A65,'OI(Value)'!$A$7:$O$306,9,0)</f>
        <v>-22</v>
      </c>
      <c r="N65" s="103">
        <f>VLOOKUP($A65,'OI(Value)'!$A$7:$O$306,11,0)</f>
        <v>1007</v>
      </c>
      <c r="O65" s="103">
        <f>VLOOKUP($A65,'OI(Value)'!$A$7:$O$306,12,0)</f>
        <v>17</v>
      </c>
      <c r="P65" s="179">
        <f>VLOOKUP(A65,'OI(Value)'!A65:O266,8,0)</f>
        <v>1290</v>
      </c>
      <c r="Q65" s="179">
        <f>VLOOKUP(A65,'OI(Value)'!A65:O266,9,0)</f>
        <v>-22</v>
      </c>
      <c r="R65" s="179">
        <f>VLOOKUP(A65,'OI(Value)'!A65:O266,11,0)</f>
        <v>1007</v>
      </c>
      <c r="S65" s="179">
        <f>VLOOKUP(A65,'OI(Value)'!A65:O266,11,0)</f>
        <v>1007</v>
      </c>
    </row>
    <row r="66" spans="1:19" x14ac:dyDescent="0.25">
      <c r="A66" s="105" t="str">
        <f>'Data shares'!C61</f>
        <v>ETERNAL</v>
      </c>
      <c r="B66" s="143">
        <f>VLOOKUP($A66,'Data shares'!$C:$FA,118)</f>
        <v>0.74</v>
      </c>
      <c r="C66" s="143">
        <f>VLOOKUP($A66,'Data shares'!$C:$FA,119)</f>
        <v>0.7</v>
      </c>
      <c r="D66" s="143">
        <f>VLOOKUP($A66,'Data shares'!$C:$FA,121)*100</f>
        <v>5.71</v>
      </c>
      <c r="E66" s="143">
        <f>VLOOKUP($A66,'Data shares'!$C:$FA,124)</f>
        <v>0.69</v>
      </c>
      <c r="F66" s="143">
        <f>VLOOKUP($A66,'Data shares'!$C:$FA,125)</f>
        <v>0.57999999999999996</v>
      </c>
      <c r="G66" s="143">
        <f>VLOOKUP($A66,'Data shares'!$C:$FA,127)*100</f>
        <v>18.970000000000002</v>
      </c>
      <c r="H66" s="103">
        <f>VLOOKUP($A66,'OI(Volume)'!$A$7:$O$427,8)</f>
        <v>51938650</v>
      </c>
      <c r="I66" s="103">
        <f>VLOOKUP($A66,'OI(Volume)'!$A$7:$O$427,9)</f>
        <v>-1176125</v>
      </c>
      <c r="J66" s="103">
        <f>VLOOKUP($A66,'OI(Volume)'!$A$7:$O$427,11)</f>
        <v>38268925</v>
      </c>
      <c r="K66" s="103">
        <f>VLOOKUP($A66,'OI(Volume)'!$A$7:$O$427,12)</f>
        <v>1275550</v>
      </c>
      <c r="L66" s="103">
        <f>VLOOKUP($A66,'OI(Value)'!$A$7:$O$306,8,0)</f>
        <v>1815</v>
      </c>
      <c r="M66" s="103">
        <f>VLOOKUP($A66,'OI(Value)'!$A$7:$O$306,9,0)</f>
        <v>-41</v>
      </c>
      <c r="N66" s="103">
        <f>VLOOKUP($A66,'OI(Value)'!$A$7:$O$306,11,0)</f>
        <v>1337</v>
      </c>
      <c r="O66" s="103">
        <f>VLOOKUP($A66,'OI(Value)'!$A$7:$O$306,12,0)</f>
        <v>45</v>
      </c>
      <c r="P66" s="179">
        <f>VLOOKUP(A66,'OI(Value)'!A66:O267,8,0)</f>
        <v>1815</v>
      </c>
      <c r="Q66" s="179">
        <f>VLOOKUP(A66,'OI(Value)'!A66:O267,9,0)</f>
        <v>-41</v>
      </c>
      <c r="R66" s="179">
        <f>VLOOKUP(A66,'OI(Value)'!A66:O267,11,0)</f>
        <v>1337</v>
      </c>
      <c r="S66" s="179">
        <f>VLOOKUP(A66,'OI(Value)'!A66:O267,11,0)</f>
        <v>1337</v>
      </c>
    </row>
    <row r="67" spans="1:19" x14ac:dyDescent="0.25">
      <c r="A67" s="105" t="str">
        <f>'Data shares'!C62</f>
        <v>EXIDEIND</v>
      </c>
      <c r="B67" s="143">
        <f>VLOOKUP($A67,'Data shares'!$C:$FA,118)</f>
        <v>0.84</v>
      </c>
      <c r="C67" s="143">
        <f>VLOOKUP($A67,'Data shares'!$C:$FA,119)</f>
        <v>0.76</v>
      </c>
      <c r="D67" s="143">
        <f>VLOOKUP($A67,'Data shares'!$C:$FA,121)*100</f>
        <v>10.530000000000001</v>
      </c>
      <c r="E67" s="143">
        <f>VLOOKUP($A67,'Data shares'!$C:$FA,124)</f>
        <v>0.9</v>
      </c>
      <c r="F67" s="143">
        <f>VLOOKUP($A67,'Data shares'!$C:$FA,125)</f>
        <v>0.89</v>
      </c>
      <c r="G67" s="143">
        <f>VLOOKUP($A67,'Data shares'!$C:$FA,127)*100</f>
        <v>1.1199999999999999</v>
      </c>
      <c r="H67" s="103">
        <f>VLOOKUP($A67,'OI(Volume)'!$A$7:$O$427,8)</f>
        <v>10866600</v>
      </c>
      <c r="I67" s="103">
        <f>VLOOKUP($A67,'OI(Volume)'!$A$7:$O$427,9)</f>
        <v>291600</v>
      </c>
      <c r="J67" s="103">
        <f>VLOOKUP($A67,'OI(Volume)'!$A$7:$O$427,11)</f>
        <v>9093600</v>
      </c>
      <c r="K67" s="103">
        <f>VLOOKUP($A67,'OI(Volume)'!$A$7:$O$427,12)</f>
        <v>1006200</v>
      </c>
      <c r="L67" s="103">
        <f>VLOOKUP($A67,'OI(Value)'!$A$7:$O$306,8,0)</f>
        <v>438</v>
      </c>
      <c r="M67" s="103">
        <f>VLOOKUP($A67,'OI(Value)'!$A$7:$O$306,9,0)</f>
        <v>12</v>
      </c>
      <c r="N67" s="103">
        <f>VLOOKUP($A67,'OI(Value)'!$A$7:$O$306,11,0)</f>
        <v>366</v>
      </c>
      <c r="O67" s="103">
        <f>VLOOKUP($A67,'OI(Value)'!$A$7:$O$306,12,0)</f>
        <v>41</v>
      </c>
      <c r="P67" s="179">
        <f>VLOOKUP(A67,'OI(Value)'!A67:O268,8,0)</f>
        <v>438</v>
      </c>
      <c r="Q67" s="179">
        <f>VLOOKUP(A67,'OI(Value)'!A67:O268,9,0)</f>
        <v>12</v>
      </c>
      <c r="R67" s="179">
        <f>VLOOKUP(A67,'OI(Value)'!A67:O268,11,0)</f>
        <v>366</v>
      </c>
      <c r="S67" s="179">
        <f>VLOOKUP(A67,'OI(Value)'!A67:O268,11,0)</f>
        <v>366</v>
      </c>
    </row>
    <row r="68" spans="1:19" x14ac:dyDescent="0.25">
      <c r="A68" s="105" t="str">
        <f>'Data shares'!C63</f>
        <v>FEDERALBNK</v>
      </c>
      <c r="B68" s="143">
        <f>VLOOKUP($A68,'Data shares'!$C:$FA,118)</f>
        <v>0.83</v>
      </c>
      <c r="C68" s="143">
        <f>VLOOKUP($A68,'Data shares'!$C:$FA,119)</f>
        <v>0.81</v>
      </c>
      <c r="D68" s="143">
        <f>VLOOKUP($A68,'Data shares'!$C:$FA,121)*100</f>
        <v>2.4699999999999998</v>
      </c>
      <c r="E68" s="143">
        <f>VLOOKUP($A68,'Data shares'!$C:$FA,124)</f>
        <v>0.64</v>
      </c>
      <c r="F68" s="143">
        <f>VLOOKUP($A68,'Data shares'!$C:$FA,125)</f>
        <v>0.45</v>
      </c>
      <c r="G68" s="143">
        <f>VLOOKUP($A68,'Data shares'!$C:$FA,127)*100</f>
        <v>42.22</v>
      </c>
      <c r="H68" s="103">
        <f>VLOOKUP($A68,'OI(Volume)'!$A$7:$O$427,8)</f>
        <v>45125000</v>
      </c>
      <c r="I68" s="103">
        <f>VLOOKUP($A68,'OI(Volume)'!$A$7:$O$427,9)</f>
        <v>-180000</v>
      </c>
      <c r="J68" s="103">
        <f>VLOOKUP($A68,'OI(Volume)'!$A$7:$O$427,11)</f>
        <v>37390000</v>
      </c>
      <c r="K68" s="103">
        <f>VLOOKUP($A68,'OI(Volume)'!$A$7:$O$427,12)</f>
        <v>495000</v>
      </c>
      <c r="L68" s="103">
        <f>VLOOKUP($A68,'OI(Value)'!$A$7:$O$306,8,0)</f>
        <v>944</v>
      </c>
      <c r="M68" s="103">
        <f>VLOOKUP($A68,'OI(Value)'!$A$7:$O$306,9,0)</f>
        <v>-4</v>
      </c>
      <c r="N68" s="103">
        <f>VLOOKUP($A68,'OI(Value)'!$A$7:$O$306,11,0)</f>
        <v>783</v>
      </c>
      <c r="O68" s="103">
        <f>VLOOKUP($A68,'OI(Value)'!$A$7:$O$306,12,0)</f>
        <v>10</v>
      </c>
      <c r="P68" s="179">
        <f>VLOOKUP(A68,'OI(Value)'!A68:O269,8,0)</f>
        <v>944</v>
      </c>
      <c r="Q68" s="179">
        <f>VLOOKUP(A68,'OI(Value)'!A68:O269,9,0)</f>
        <v>-4</v>
      </c>
      <c r="R68" s="179">
        <f>VLOOKUP(A68,'OI(Value)'!A68:O269,11,0)</f>
        <v>783</v>
      </c>
      <c r="S68" s="179">
        <f>VLOOKUP(A68,'OI(Value)'!A68:O269,11,0)</f>
        <v>783</v>
      </c>
    </row>
    <row r="69" spans="1:19" x14ac:dyDescent="0.25">
      <c r="A69" s="105" t="str">
        <f>'Data shares'!C64</f>
        <v>FINNIFTY</v>
      </c>
      <c r="B69" s="143">
        <f>VLOOKUP($A69,'Data shares'!$C:$FA,118)</f>
        <v>0.67</v>
      </c>
      <c r="C69" s="143">
        <f>VLOOKUP($A69,'Data shares'!$C:$FA,119)</f>
        <v>0.6</v>
      </c>
      <c r="D69" s="143">
        <f>VLOOKUP($A69,'Data shares'!$C:$FA,121)*100</f>
        <v>11.67</v>
      </c>
      <c r="E69" s="143">
        <f>VLOOKUP($A69,'Data shares'!$C:$FA,124)</f>
        <v>0.52</v>
      </c>
      <c r="F69" s="143">
        <f>VLOOKUP($A69,'Data shares'!$C:$FA,125)</f>
        <v>0.63</v>
      </c>
      <c r="G69" s="143">
        <f>VLOOKUP($A69,'Data shares'!$C:$FA,127)*100</f>
        <v>-17.46</v>
      </c>
      <c r="H69" s="103">
        <f>VLOOKUP($A69,'OI(Volume)'!$A$7:$O$427,8)</f>
        <v>1154790</v>
      </c>
      <c r="I69" s="103">
        <f>VLOOKUP($A69,'OI(Volume)'!$A$7:$O$427,9)</f>
        <v>22490</v>
      </c>
      <c r="J69" s="103">
        <f>VLOOKUP($A69,'OI(Volume)'!$A$7:$O$427,11)</f>
        <v>774605</v>
      </c>
      <c r="K69" s="103">
        <f>VLOOKUP($A69,'OI(Volume)'!$A$7:$O$427,12)</f>
        <v>98735</v>
      </c>
      <c r="L69" s="103">
        <f>VLOOKUP($A69,'OI(Value)'!$A$7:$O$306,8,0)</f>
        <v>3114</v>
      </c>
      <c r="M69" s="103">
        <f>VLOOKUP($A69,'OI(Value)'!$A$7:$O$306,9,0)</f>
        <v>61</v>
      </c>
      <c r="N69" s="103">
        <f>VLOOKUP($A69,'OI(Value)'!$A$7:$O$306,11,0)</f>
        <v>2089</v>
      </c>
      <c r="O69" s="103">
        <f>VLOOKUP($A69,'OI(Value)'!$A$7:$O$306,12,0)</f>
        <v>266</v>
      </c>
      <c r="P69" s="179">
        <f>VLOOKUP(A69,'OI(Value)'!A69:O270,8,0)</f>
        <v>3114</v>
      </c>
      <c r="Q69" s="179">
        <f>VLOOKUP(A69,'OI(Value)'!A69:O270,9,0)</f>
        <v>61</v>
      </c>
      <c r="R69" s="179">
        <f>VLOOKUP(A69,'OI(Value)'!A69:O270,11,0)</f>
        <v>2089</v>
      </c>
      <c r="S69" s="179">
        <f>VLOOKUP(A69,'OI(Value)'!A69:O270,11,0)</f>
        <v>2089</v>
      </c>
    </row>
    <row r="70" spans="1:19" x14ac:dyDescent="0.25">
      <c r="A70" s="105" t="str">
        <f>'Data shares'!C65</f>
        <v>FORTIS</v>
      </c>
      <c r="B70" s="143">
        <f>VLOOKUP($A70,'Data shares'!$C:$FA,118)</f>
        <v>0.85</v>
      </c>
      <c r="C70" s="143">
        <f>VLOOKUP($A70,'Data shares'!$C:$FA,119)</f>
        <v>0.85</v>
      </c>
      <c r="D70" s="143">
        <f>VLOOKUP($A70,'Data shares'!$C:$FA,121)*100</f>
        <v>0</v>
      </c>
      <c r="E70" s="143">
        <f>VLOOKUP($A70,'Data shares'!$C:$FA,124)</f>
        <v>0.69</v>
      </c>
      <c r="F70" s="143">
        <f>VLOOKUP($A70,'Data shares'!$C:$FA,125)</f>
        <v>0.48</v>
      </c>
      <c r="G70" s="143">
        <f>VLOOKUP($A70,'Data shares'!$C:$FA,127)*100</f>
        <v>43.75</v>
      </c>
      <c r="H70" s="103">
        <f>VLOOKUP($A70,'OI(Volume)'!$A$7:$O$427,8)</f>
        <v>3379775</v>
      </c>
      <c r="I70" s="103">
        <f>VLOOKUP($A70,'OI(Volume)'!$A$7:$O$427,9)</f>
        <v>-164300</v>
      </c>
      <c r="J70" s="103">
        <f>VLOOKUP($A70,'OI(Volume)'!$A$7:$O$427,11)</f>
        <v>2882225</v>
      </c>
      <c r="K70" s="103">
        <f>VLOOKUP($A70,'OI(Volume)'!$A$7:$O$427,12)</f>
        <v>-133300</v>
      </c>
      <c r="L70" s="103">
        <f>VLOOKUP($A70,'OI(Value)'!$A$7:$O$306,8,0)</f>
        <v>361</v>
      </c>
      <c r="M70" s="103">
        <f>VLOOKUP($A70,'OI(Value)'!$A$7:$O$306,9,0)</f>
        <v>-18</v>
      </c>
      <c r="N70" s="103">
        <f>VLOOKUP($A70,'OI(Value)'!$A$7:$O$306,11,0)</f>
        <v>307</v>
      </c>
      <c r="O70" s="103">
        <f>VLOOKUP($A70,'OI(Value)'!$A$7:$O$306,12,0)</f>
        <v>-14</v>
      </c>
      <c r="P70" s="179">
        <f>VLOOKUP(A70,'OI(Value)'!A70:O271,8,0)</f>
        <v>361</v>
      </c>
      <c r="Q70" s="179">
        <f>VLOOKUP(A70,'OI(Value)'!A70:O271,9,0)</f>
        <v>-18</v>
      </c>
      <c r="R70" s="179">
        <f>VLOOKUP(A70,'OI(Value)'!A70:O271,11,0)</f>
        <v>307</v>
      </c>
      <c r="S70" s="179">
        <f>VLOOKUP(A70,'OI(Value)'!A70:O271,11,0)</f>
        <v>307</v>
      </c>
    </row>
    <row r="71" spans="1:19" x14ac:dyDescent="0.25">
      <c r="A71" s="105" t="str">
        <f>'Data shares'!C66</f>
        <v>GAIL</v>
      </c>
      <c r="B71" s="143">
        <f>VLOOKUP($A71,'Data shares'!$C:$FA,118)</f>
        <v>0.67</v>
      </c>
      <c r="C71" s="143">
        <f>VLOOKUP($A71,'Data shares'!$C:$FA,119)</f>
        <v>0.65</v>
      </c>
      <c r="D71" s="143">
        <f>VLOOKUP($A71,'Data shares'!$C:$FA,121)*100</f>
        <v>3.08</v>
      </c>
      <c r="E71" s="143">
        <f>VLOOKUP($A71,'Data shares'!$C:$FA,124)</f>
        <v>0.42</v>
      </c>
      <c r="F71" s="143">
        <f>VLOOKUP($A71,'Data shares'!$C:$FA,125)</f>
        <v>0.37</v>
      </c>
      <c r="G71" s="143">
        <f>VLOOKUP($A71,'Data shares'!$C:$FA,127)*100</f>
        <v>13.51</v>
      </c>
      <c r="H71" s="103">
        <f>VLOOKUP($A71,'OI(Volume)'!$A$7:$O$427,8)</f>
        <v>38634750</v>
      </c>
      <c r="I71" s="103">
        <f>VLOOKUP($A71,'OI(Volume)'!$A$7:$O$427,9)</f>
        <v>-689850</v>
      </c>
      <c r="J71" s="103">
        <f>VLOOKUP($A71,'OI(Volume)'!$A$7:$O$427,11)</f>
        <v>25707150</v>
      </c>
      <c r="K71" s="103">
        <f>VLOOKUP($A71,'OI(Volume)'!$A$7:$O$427,12)</f>
        <v>66150</v>
      </c>
      <c r="L71" s="103">
        <f>VLOOKUP($A71,'OI(Value)'!$A$7:$O$306,8,0)</f>
        <v>694</v>
      </c>
      <c r="M71" s="103">
        <f>VLOOKUP($A71,'OI(Value)'!$A$7:$O$306,9,0)</f>
        <v>-12</v>
      </c>
      <c r="N71" s="103">
        <f>VLOOKUP($A71,'OI(Value)'!$A$7:$O$306,11,0)</f>
        <v>462</v>
      </c>
      <c r="O71" s="103">
        <f>VLOOKUP($A71,'OI(Value)'!$A$7:$O$306,12,0)</f>
        <v>1</v>
      </c>
      <c r="P71" s="179">
        <f>VLOOKUP(A71,'OI(Value)'!A71:O272,8,0)</f>
        <v>694</v>
      </c>
      <c r="Q71" s="179">
        <f>VLOOKUP(A71,'OI(Value)'!A71:O272,9,0)</f>
        <v>-12</v>
      </c>
      <c r="R71" s="179">
        <f>VLOOKUP(A71,'OI(Value)'!A71:O272,11,0)</f>
        <v>462</v>
      </c>
      <c r="S71" s="179">
        <f>VLOOKUP(A71,'OI(Value)'!A71:O272,11,0)</f>
        <v>462</v>
      </c>
    </row>
    <row r="72" spans="1:19" x14ac:dyDescent="0.25">
      <c r="A72" s="105" t="str">
        <f>'Data shares'!C67</f>
        <v>GLENMARK</v>
      </c>
      <c r="B72" s="143">
        <f>VLOOKUP($A72,'Data shares'!$C:$FA,118)</f>
        <v>0.61</v>
      </c>
      <c r="C72" s="143">
        <f>VLOOKUP($A72,'Data shares'!$C:$FA,119)</f>
        <v>0.62</v>
      </c>
      <c r="D72" s="143">
        <f>VLOOKUP($A72,'Data shares'!$C:$FA,121)*100</f>
        <v>-1.6099999999999999</v>
      </c>
      <c r="E72" s="143">
        <f>VLOOKUP($A72,'Data shares'!$C:$FA,124)</f>
        <v>0.34</v>
      </c>
      <c r="F72" s="143">
        <f>VLOOKUP($A72,'Data shares'!$C:$FA,125)</f>
        <v>0.27</v>
      </c>
      <c r="G72" s="143">
        <f>VLOOKUP($A72,'Data shares'!$C:$FA,127)*100</f>
        <v>25.929999999999996</v>
      </c>
      <c r="H72" s="103">
        <f>VLOOKUP($A72,'OI(Volume)'!$A$7:$O$427,8)</f>
        <v>1767000</v>
      </c>
      <c r="I72" s="103">
        <f>VLOOKUP($A72,'OI(Volume)'!$A$7:$O$427,9)</f>
        <v>84375</v>
      </c>
      <c r="J72" s="103">
        <f>VLOOKUP($A72,'OI(Volume)'!$A$7:$O$427,11)</f>
        <v>1081125</v>
      </c>
      <c r="K72" s="103">
        <f>VLOOKUP($A72,'OI(Volume)'!$A$7:$O$427,12)</f>
        <v>37500</v>
      </c>
      <c r="L72" s="103">
        <f>VLOOKUP($A72,'OI(Value)'!$A$7:$O$306,8,0)</f>
        <v>345</v>
      </c>
      <c r="M72" s="103">
        <f>VLOOKUP($A72,'OI(Value)'!$A$7:$O$306,9,0)</f>
        <v>16</v>
      </c>
      <c r="N72" s="103">
        <f>VLOOKUP($A72,'OI(Value)'!$A$7:$O$306,11,0)</f>
        <v>211</v>
      </c>
      <c r="O72" s="103">
        <f>VLOOKUP($A72,'OI(Value)'!$A$7:$O$306,12,0)</f>
        <v>7</v>
      </c>
      <c r="P72" s="179">
        <f>VLOOKUP(A72,'OI(Value)'!A72:O273,8,0)</f>
        <v>345</v>
      </c>
      <c r="Q72" s="179">
        <f>VLOOKUP(A72,'OI(Value)'!A72:O273,9,0)</f>
        <v>16</v>
      </c>
      <c r="R72" s="179">
        <f>VLOOKUP(A72,'OI(Value)'!A72:O273,11,0)</f>
        <v>211</v>
      </c>
      <c r="S72" s="179">
        <f>VLOOKUP(A72,'OI(Value)'!A72:O273,11,0)</f>
        <v>211</v>
      </c>
    </row>
    <row r="73" spans="1:19" x14ac:dyDescent="0.25">
      <c r="A73" s="105" t="str">
        <f>'Data shares'!C68</f>
        <v>GMRAIRPORT</v>
      </c>
      <c r="B73" s="143">
        <f>VLOOKUP($A73,'Data shares'!$C:$FA,118)</f>
        <v>0.51</v>
      </c>
      <c r="C73" s="143">
        <f>VLOOKUP($A73,'Data shares'!$C:$FA,119)</f>
        <v>0.51</v>
      </c>
      <c r="D73" s="143">
        <f>VLOOKUP($A73,'Data shares'!$C:$FA,121)*100</f>
        <v>0</v>
      </c>
      <c r="E73" s="143">
        <f>VLOOKUP($A73,'Data shares'!$C:$FA,124)</f>
        <v>0.33</v>
      </c>
      <c r="F73" s="143">
        <f>VLOOKUP($A73,'Data shares'!$C:$FA,125)</f>
        <v>0.42</v>
      </c>
      <c r="G73" s="143">
        <f>VLOOKUP($A73,'Data shares'!$C:$FA,127)*100</f>
        <v>-21.43</v>
      </c>
      <c r="H73" s="103">
        <f>VLOOKUP($A73,'OI(Volume)'!$A$7:$O$427,8)</f>
        <v>71249625</v>
      </c>
      <c r="I73" s="103">
        <f>VLOOKUP($A73,'OI(Volume)'!$A$7:$O$427,9)</f>
        <v>-474300</v>
      </c>
      <c r="J73" s="103">
        <f>VLOOKUP($A73,'OI(Volume)'!$A$7:$O$427,11)</f>
        <v>36004950</v>
      </c>
      <c r="K73" s="103">
        <f>VLOOKUP($A73,'OI(Volume)'!$A$7:$O$427,12)</f>
        <v>-279000</v>
      </c>
      <c r="L73" s="103">
        <f>VLOOKUP($A73,'OI(Value)'!$A$7:$O$306,8,0)</f>
        <v>646</v>
      </c>
      <c r="M73" s="103">
        <f>VLOOKUP($A73,'OI(Value)'!$A$7:$O$306,9,0)</f>
        <v>-4</v>
      </c>
      <c r="N73" s="103">
        <f>VLOOKUP($A73,'OI(Value)'!$A$7:$O$306,11,0)</f>
        <v>326</v>
      </c>
      <c r="O73" s="103">
        <f>VLOOKUP($A73,'OI(Value)'!$A$7:$O$306,12,0)</f>
        <v>-3</v>
      </c>
      <c r="P73" s="179">
        <f>VLOOKUP(A73,'OI(Value)'!A73:O274,8,0)</f>
        <v>646</v>
      </c>
      <c r="Q73" s="179">
        <f>VLOOKUP(A73,'OI(Value)'!A73:O274,9,0)</f>
        <v>-4</v>
      </c>
      <c r="R73" s="179">
        <f>VLOOKUP(A73,'OI(Value)'!A73:O274,11,0)</f>
        <v>326</v>
      </c>
      <c r="S73" s="179">
        <f>VLOOKUP(A73,'OI(Value)'!A73:O274,11,0)</f>
        <v>326</v>
      </c>
    </row>
    <row r="74" spans="1:19" x14ac:dyDescent="0.25">
      <c r="A74" s="105" t="str">
        <f>'Data shares'!C69</f>
        <v>GODREJCP</v>
      </c>
      <c r="B74" s="143">
        <f>VLOOKUP($A74,'Data shares'!$C:$FA,118)</f>
        <v>0.51</v>
      </c>
      <c r="C74" s="143">
        <f>VLOOKUP($A74,'Data shares'!$C:$FA,119)</f>
        <v>0.55000000000000004</v>
      </c>
      <c r="D74" s="143">
        <f>VLOOKUP($A74,'Data shares'!$C:$FA,121)*100</f>
        <v>-7.2700000000000005</v>
      </c>
      <c r="E74" s="143">
        <f>VLOOKUP($A74,'Data shares'!$C:$FA,124)</f>
        <v>0.22</v>
      </c>
      <c r="F74" s="143">
        <f>VLOOKUP($A74,'Data shares'!$C:$FA,125)</f>
        <v>0.32</v>
      </c>
      <c r="G74" s="143">
        <f>VLOOKUP($A74,'Data shares'!$C:$FA,127)*100</f>
        <v>-31.25</v>
      </c>
      <c r="H74" s="103">
        <f>VLOOKUP($A74,'OI(Volume)'!$A$7:$O$427,8)</f>
        <v>3821500</v>
      </c>
      <c r="I74" s="103">
        <f>VLOOKUP($A74,'OI(Volume)'!$A$7:$O$427,9)</f>
        <v>301500</v>
      </c>
      <c r="J74" s="103">
        <f>VLOOKUP($A74,'OI(Volume)'!$A$7:$O$427,11)</f>
        <v>1964000</v>
      </c>
      <c r="K74" s="103">
        <f>VLOOKUP($A74,'OI(Volume)'!$A$7:$O$427,12)</f>
        <v>29000</v>
      </c>
      <c r="L74" s="103">
        <f>VLOOKUP($A74,'OI(Value)'!$A$7:$O$306,8,0)</f>
        <v>434</v>
      </c>
      <c r="M74" s="103">
        <f>VLOOKUP($A74,'OI(Value)'!$A$7:$O$306,9,0)</f>
        <v>34</v>
      </c>
      <c r="N74" s="103">
        <f>VLOOKUP($A74,'OI(Value)'!$A$7:$O$306,11,0)</f>
        <v>223</v>
      </c>
      <c r="O74" s="103">
        <f>VLOOKUP($A74,'OI(Value)'!$A$7:$O$306,12,0)</f>
        <v>3</v>
      </c>
      <c r="P74" s="179">
        <f>VLOOKUP(A74,'OI(Value)'!A74:O275,8,0)</f>
        <v>434</v>
      </c>
      <c r="Q74" s="179">
        <f>VLOOKUP(A74,'OI(Value)'!A74:O275,9,0)</f>
        <v>34</v>
      </c>
      <c r="R74" s="179">
        <f>VLOOKUP(A74,'OI(Value)'!A74:O275,11,0)</f>
        <v>223</v>
      </c>
      <c r="S74" s="179">
        <f>VLOOKUP(A74,'OI(Value)'!A74:O275,11,0)</f>
        <v>223</v>
      </c>
    </row>
    <row r="75" spans="1:19" x14ac:dyDescent="0.25">
      <c r="A75" s="105" t="str">
        <f>'Data shares'!C70</f>
        <v>GODREJPROP</v>
      </c>
      <c r="B75" s="143">
        <f>VLOOKUP($A75,'Data shares'!$C:$FA,118)</f>
        <v>0.66</v>
      </c>
      <c r="C75" s="143">
        <f>VLOOKUP($A75,'Data shares'!$C:$FA,119)</f>
        <v>0.62</v>
      </c>
      <c r="D75" s="143">
        <f>VLOOKUP($A75,'Data shares'!$C:$FA,121)*100</f>
        <v>6.45</v>
      </c>
      <c r="E75" s="143">
        <f>VLOOKUP($A75,'Data shares'!$C:$FA,124)</f>
        <v>0.33</v>
      </c>
      <c r="F75" s="143">
        <f>VLOOKUP($A75,'Data shares'!$C:$FA,125)</f>
        <v>0.41</v>
      </c>
      <c r="G75" s="143">
        <f>VLOOKUP($A75,'Data shares'!$C:$FA,127)*100</f>
        <v>-19.509999999999998</v>
      </c>
      <c r="H75" s="103">
        <f>VLOOKUP($A75,'OI(Volume)'!$A$7:$O$427,8)</f>
        <v>2746150</v>
      </c>
      <c r="I75" s="103">
        <f>VLOOKUP($A75,'OI(Volume)'!$A$7:$O$427,9)</f>
        <v>-51975</v>
      </c>
      <c r="J75" s="103">
        <f>VLOOKUP($A75,'OI(Volume)'!$A$7:$O$427,11)</f>
        <v>1807300</v>
      </c>
      <c r="K75" s="103">
        <f>VLOOKUP($A75,'OI(Volume)'!$A$7:$O$427,12)</f>
        <v>81950</v>
      </c>
      <c r="L75" s="103">
        <f>VLOOKUP($A75,'OI(Value)'!$A$7:$O$306,8,0)</f>
        <v>577</v>
      </c>
      <c r="M75" s="103">
        <f>VLOOKUP($A75,'OI(Value)'!$A$7:$O$306,9,0)</f>
        <v>-11</v>
      </c>
      <c r="N75" s="103">
        <f>VLOOKUP($A75,'OI(Value)'!$A$7:$O$306,11,0)</f>
        <v>380</v>
      </c>
      <c r="O75" s="103">
        <f>VLOOKUP($A75,'OI(Value)'!$A$7:$O$306,12,0)</f>
        <v>17</v>
      </c>
      <c r="P75" s="179">
        <f>VLOOKUP(A75,'OI(Value)'!A75:O276,8,0)</f>
        <v>577</v>
      </c>
      <c r="Q75" s="179">
        <f>VLOOKUP(A75,'OI(Value)'!A75:O276,9,0)</f>
        <v>-11</v>
      </c>
      <c r="R75" s="179">
        <f>VLOOKUP(A75,'OI(Value)'!A75:O276,11,0)</f>
        <v>380</v>
      </c>
      <c r="S75" s="179">
        <f>VLOOKUP(A75,'OI(Value)'!A75:O276,11,0)</f>
        <v>380</v>
      </c>
    </row>
    <row r="76" spans="1:19" x14ac:dyDescent="0.25">
      <c r="A76" s="105" t="str">
        <f>'Data shares'!C71</f>
        <v>GRASIM</v>
      </c>
      <c r="B76" s="143">
        <f>VLOOKUP($A76,'Data shares'!$C:$FA,118)</f>
        <v>0.6</v>
      </c>
      <c r="C76" s="143">
        <f>VLOOKUP($A76,'Data shares'!$C:$FA,119)</f>
        <v>0.59</v>
      </c>
      <c r="D76" s="143">
        <f>VLOOKUP($A76,'Data shares'!$C:$FA,121)*100</f>
        <v>1.69</v>
      </c>
      <c r="E76" s="143">
        <f>VLOOKUP($A76,'Data shares'!$C:$FA,124)</f>
        <v>0.37</v>
      </c>
      <c r="F76" s="143">
        <f>VLOOKUP($A76,'Data shares'!$C:$FA,125)</f>
        <v>0.38</v>
      </c>
      <c r="G76" s="143">
        <f>VLOOKUP($A76,'Data shares'!$C:$FA,127)*100</f>
        <v>-2.63</v>
      </c>
      <c r="H76" s="103">
        <f>VLOOKUP($A76,'OI(Volume)'!$A$7:$O$427,8)</f>
        <v>1699250</v>
      </c>
      <c r="I76" s="103">
        <f>VLOOKUP($A76,'OI(Volume)'!$A$7:$O$427,9)</f>
        <v>-31000</v>
      </c>
      <c r="J76" s="103">
        <f>VLOOKUP($A76,'OI(Volume)'!$A$7:$O$427,11)</f>
        <v>1011500</v>
      </c>
      <c r="K76" s="103">
        <f>VLOOKUP($A76,'OI(Volume)'!$A$7:$O$427,12)</f>
        <v>-9000</v>
      </c>
      <c r="L76" s="103">
        <f>VLOOKUP($A76,'OI(Value)'!$A$7:$O$306,8,0)</f>
        <v>480</v>
      </c>
      <c r="M76" s="103">
        <f>VLOOKUP($A76,'OI(Value)'!$A$7:$O$306,9,0)</f>
        <v>-9</v>
      </c>
      <c r="N76" s="103">
        <f>VLOOKUP($A76,'OI(Value)'!$A$7:$O$306,11,0)</f>
        <v>286</v>
      </c>
      <c r="O76" s="103">
        <f>VLOOKUP($A76,'OI(Value)'!$A$7:$O$306,12,0)</f>
        <v>-3</v>
      </c>
      <c r="P76" s="179">
        <f>VLOOKUP(A76,'OI(Value)'!A76:O277,8,0)</f>
        <v>480</v>
      </c>
      <c r="Q76" s="179">
        <f>VLOOKUP(A76,'OI(Value)'!A76:O277,9,0)</f>
        <v>-9</v>
      </c>
      <c r="R76" s="179">
        <f>VLOOKUP(A76,'OI(Value)'!A76:O277,11,0)</f>
        <v>286</v>
      </c>
      <c r="S76" s="179">
        <f>VLOOKUP(A76,'OI(Value)'!A76:O277,11,0)</f>
        <v>286</v>
      </c>
    </row>
    <row r="77" spans="1:19" x14ac:dyDescent="0.25">
      <c r="A77" s="105" t="str">
        <f>'Data shares'!C72</f>
        <v>HAL</v>
      </c>
      <c r="B77" s="143">
        <f>VLOOKUP($A77,'Data shares'!$C:$FA,118)</f>
        <v>0.61</v>
      </c>
      <c r="C77" s="143">
        <f>VLOOKUP($A77,'Data shares'!$C:$FA,119)</f>
        <v>0.67</v>
      </c>
      <c r="D77" s="143">
        <f>VLOOKUP($A77,'Data shares'!$C:$FA,121)*100</f>
        <v>-8.9599999999999991</v>
      </c>
      <c r="E77" s="143">
        <f>VLOOKUP($A77,'Data shares'!$C:$FA,124)</f>
        <v>0.38</v>
      </c>
      <c r="F77" s="143">
        <f>VLOOKUP($A77,'Data shares'!$C:$FA,125)</f>
        <v>0.35</v>
      </c>
      <c r="G77" s="143">
        <f>VLOOKUP($A77,'Data shares'!$C:$FA,127)*100</f>
        <v>8.57</v>
      </c>
      <c r="H77" s="103">
        <f>VLOOKUP($A77,'OI(Volume)'!$A$7:$O$427,8)</f>
        <v>4205850</v>
      </c>
      <c r="I77" s="103">
        <f>VLOOKUP($A77,'OI(Volume)'!$A$7:$O$427,9)</f>
        <v>327150</v>
      </c>
      <c r="J77" s="103">
        <f>VLOOKUP($A77,'OI(Volume)'!$A$7:$O$427,11)</f>
        <v>2578500</v>
      </c>
      <c r="K77" s="103">
        <f>VLOOKUP($A77,'OI(Volume)'!$A$7:$O$427,12)</f>
        <v>-12750</v>
      </c>
      <c r="L77" s="103">
        <f>VLOOKUP($A77,'OI(Value)'!$A$7:$O$306,8,0)</f>
        <v>2044</v>
      </c>
      <c r="M77" s="103">
        <f>VLOOKUP($A77,'OI(Value)'!$A$7:$O$306,9,0)</f>
        <v>159</v>
      </c>
      <c r="N77" s="103">
        <f>VLOOKUP($A77,'OI(Value)'!$A$7:$O$306,11,0)</f>
        <v>1253</v>
      </c>
      <c r="O77" s="103">
        <f>VLOOKUP($A77,'OI(Value)'!$A$7:$O$306,12,0)</f>
        <v>-6</v>
      </c>
      <c r="P77" s="179">
        <f>VLOOKUP(A77,'OI(Value)'!A77:O278,8,0)</f>
        <v>2044</v>
      </c>
      <c r="Q77" s="179">
        <f>VLOOKUP(A77,'OI(Value)'!A77:O278,9,0)</f>
        <v>159</v>
      </c>
      <c r="R77" s="179">
        <f>VLOOKUP(A77,'OI(Value)'!A77:O278,11,0)</f>
        <v>1253</v>
      </c>
      <c r="S77" s="179">
        <f>VLOOKUP(A77,'OI(Value)'!A77:O278,11,0)</f>
        <v>1253</v>
      </c>
    </row>
    <row r="78" spans="1:19" x14ac:dyDescent="0.25">
      <c r="A78" s="105" t="str">
        <f>'Data shares'!C73</f>
        <v>HAVELLS</v>
      </c>
      <c r="B78" s="143">
        <f>VLOOKUP($A78,'Data shares'!$C:$FA,118)</f>
        <v>0.61</v>
      </c>
      <c r="C78" s="143">
        <f>VLOOKUP($A78,'Data shares'!$C:$FA,119)</f>
        <v>0.56999999999999995</v>
      </c>
      <c r="D78" s="143">
        <f>VLOOKUP($A78,'Data shares'!$C:$FA,121)*100</f>
        <v>7.02</v>
      </c>
      <c r="E78" s="143">
        <f>VLOOKUP($A78,'Data shares'!$C:$FA,124)</f>
        <v>0.38</v>
      </c>
      <c r="F78" s="143">
        <f>VLOOKUP($A78,'Data shares'!$C:$FA,125)</f>
        <v>0.53</v>
      </c>
      <c r="G78" s="143">
        <f>VLOOKUP($A78,'Data shares'!$C:$FA,127)*100</f>
        <v>-28.299999999999997</v>
      </c>
      <c r="H78" s="103">
        <f>VLOOKUP($A78,'OI(Volume)'!$A$7:$O$427,8)</f>
        <v>2586000</v>
      </c>
      <c r="I78" s="103">
        <f>VLOOKUP($A78,'OI(Volume)'!$A$7:$O$427,9)</f>
        <v>-179000</v>
      </c>
      <c r="J78" s="103">
        <f>VLOOKUP($A78,'OI(Volume)'!$A$7:$O$427,11)</f>
        <v>1589000</v>
      </c>
      <c r="K78" s="103">
        <f>VLOOKUP($A78,'OI(Volume)'!$A$7:$O$427,12)</f>
        <v>9500</v>
      </c>
      <c r="L78" s="103">
        <f>VLOOKUP($A78,'OI(Value)'!$A$7:$O$306,8,0)</f>
        <v>389</v>
      </c>
      <c r="M78" s="103">
        <f>VLOOKUP($A78,'OI(Value)'!$A$7:$O$306,9,0)</f>
        <v>-27</v>
      </c>
      <c r="N78" s="103">
        <f>VLOOKUP($A78,'OI(Value)'!$A$7:$O$306,11,0)</f>
        <v>239</v>
      </c>
      <c r="O78" s="103">
        <f>VLOOKUP($A78,'OI(Value)'!$A$7:$O$306,12,0)</f>
        <v>1</v>
      </c>
      <c r="P78" s="179">
        <f>VLOOKUP(A78,'OI(Value)'!A78:O279,8,0)</f>
        <v>389</v>
      </c>
      <c r="Q78" s="179">
        <f>VLOOKUP(A78,'OI(Value)'!A78:O279,9,0)</f>
        <v>-27</v>
      </c>
      <c r="R78" s="179">
        <f>VLOOKUP(A78,'OI(Value)'!A78:O279,11,0)</f>
        <v>239</v>
      </c>
      <c r="S78" s="179">
        <f>VLOOKUP(A78,'OI(Value)'!A78:O279,11,0)</f>
        <v>239</v>
      </c>
    </row>
    <row r="79" spans="1:19" x14ac:dyDescent="0.25">
      <c r="A79" s="105" t="str">
        <f>'Data shares'!C74</f>
        <v>HCLTECH</v>
      </c>
      <c r="B79" s="143">
        <f>VLOOKUP($A79,'Data shares'!$C:$FA,118)</f>
        <v>0.82</v>
      </c>
      <c r="C79" s="143">
        <f>VLOOKUP($A79,'Data shares'!$C:$FA,119)</f>
        <v>0.83</v>
      </c>
      <c r="D79" s="143">
        <f>VLOOKUP($A79,'Data shares'!$C:$FA,121)*100</f>
        <v>-1.2</v>
      </c>
      <c r="E79" s="143">
        <f>VLOOKUP($A79,'Data shares'!$C:$FA,124)</f>
        <v>0.62</v>
      </c>
      <c r="F79" s="143">
        <f>VLOOKUP($A79,'Data shares'!$C:$FA,125)</f>
        <v>0.57999999999999996</v>
      </c>
      <c r="G79" s="143">
        <f>VLOOKUP($A79,'Data shares'!$C:$FA,127)*100</f>
        <v>6.9</v>
      </c>
      <c r="H79" s="103">
        <f>VLOOKUP($A79,'OI(Volume)'!$A$7:$O$427,8)</f>
        <v>6230350</v>
      </c>
      <c r="I79" s="103">
        <f>VLOOKUP($A79,'OI(Volume)'!$A$7:$O$427,9)</f>
        <v>642600</v>
      </c>
      <c r="J79" s="103">
        <f>VLOOKUP($A79,'OI(Volume)'!$A$7:$O$427,11)</f>
        <v>5113500</v>
      </c>
      <c r="K79" s="103">
        <f>VLOOKUP($A79,'OI(Volume)'!$A$7:$O$427,12)</f>
        <v>480550</v>
      </c>
      <c r="L79" s="103">
        <f>VLOOKUP($A79,'OI(Value)'!$A$7:$O$306,8,0)</f>
        <v>927</v>
      </c>
      <c r="M79" s="103">
        <f>VLOOKUP($A79,'OI(Value)'!$A$7:$O$306,9,0)</f>
        <v>96</v>
      </c>
      <c r="N79" s="103">
        <f>VLOOKUP($A79,'OI(Value)'!$A$7:$O$306,11,0)</f>
        <v>761</v>
      </c>
      <c r="O79" s="103">
        <f>VLOOKUP($A79,'OI(Value)'!$A$7:$O$306,12,0)</f>
        <v>71</v>
      </c>
      <c r="P79" s="179">
        <f>VLOOKUP(A79,'OI(Value)'!A79:O280,8,0)</f>
        <v>927</v>
      </c>
      <c r="Q79" s="179">
        <f>VLOOKUP(A79,'OI(Value)'!A79:O280,9,0)</f>
        <v>96</v>
      </c>
      <c r="R79" s="179">
        <f>VLOOKUP(A79,'OI(Value)'!A79:O280,11,0)</f>
        <v>761</v>
      </c>
      <c r="S79" s="179">
        <f>VLOOKUP(A79,'OI(Value)'!A79:O280,11,0)</f>
        <v>761</v>
      </c>
    </row>
    <row r="80" spans="1:19" x14ac:dyDescent="0.25">
      <c r="A80" s="105" t="str">
        <f>'Data shares'!C75</f>
        <v>HDFCAMC</v>
      </c>
      <c r="B80" s="143">
        <f>VLOOKUP($A80,'Data shares'!$C:$FA,118)</f>
        <v>0.76</v>
      </c>
      <c r="C80" s="143">
        <f>VLOOKUP($A80,'Data shares'!$C:$FA,119)</f>
        <v>0.75</v>
      </c>
      <c r="D80" s="143">
        <f>VLOOKUP($A80,'Data shares'!$C:$FA,121)*100</f>
        <v>1.3299999999999998</v>
      </c>
      <c r="E80" s="143">
        <f>VLOOKUP($A80,'Data shares'!$C:$FA,124)</f>
        <v>0.34</v>
      </c>
      <c r="F80" s="143">
        <f>VLOOKUP($A80,'Data shares'!$C:$FA,125)</f>
        <v>0.47</v>
      </c>
      <c r="G80" s="143">
        <f>VLOOKUP($A80,'Data shares'!$C:$FA,127)*100</f>
        <v>-27.66</v>
      </c>
      <c r="H80" s="103">
        <f>VLOOKUP($A80,'OI(Volume)'!$A$7:$O$427,8)</f>
        <v>769200</v>
      </c>
      <c r="I80" s="103">
        <f>VLOOKUP($A80,'OI(Volume)'!$A$7:$O$427,9)</f>
        <v>19350</v>
      </c>
      <c r="J80" s="103">
        <f>VLOOKUP($A80,'OI(Volume)'!$A$7:$O$427,11)</f>
        <v>586350</v>
      </c>
      <c r="K80" s="103">
        <f>VLOOKUP($A80,'OI(Volume)'!$A$7:$O$427,12)</f>
        <v>26250</v>
      </c>
      <c r="L80" s="103">
        <f>VLOOKUP($A80,'OI(Value)'!$A$7:$O$306,8,0)</f>
        <v>427</v>
      </c>
      <c r="M80" s="103">
        <f>VLOOKUP($A80,'OI(Value)'!$A$7:$O$306,9,0)</f>
        <v>11</v>
      </c>
      <c r="N80" s="103">
        <f>VLOOKUP($A80,'OI(Value)'!$A$7:$O$306,11,0)</f>
        <v>325</v>
      </c>
      <c r="O80" s="103">
        <f>VLOOKUP($A80,'OI(Value)'!$A$7:$O$306,12,0)</f>
        <v>15</v>
      </c>
      <c r="P80" s="179">
        <f>VLOOKUP(A80,'OI(Value)'!A80:O281,8,0)</f>
        <v>427</v>
      </c>
      <c r="Q80" s="179">
        <f>VLOOKUP(A80,'OI(Value)'!A80:O281,9,0)</f>
        <v>11</v>
      </c>
      <c r="R80" s="179">
        <f>VLOOKUP(A80,'OI(Value)'!A80:O281,11,0)</f>
        <v>325</v>
      </c>
      <c r="S80" s="179">
        <f>VLOOKUP(A80,'OI(Value)'!A80:O281,11,0)</f>
        <v>325</v>
      </c>
    </row>
    <row r="81" spans="1:19" x14ac:dyDescent="0.25">
      <c r="A81" s="105" t="str">
        <f>'Data shares'!C76</f>
        <v>HDFCBANK</v>
      </c>
      <c r="B81" s="143">
        <f>VLOOKUP($A81,'Data shares'!$C:$FA,118)</f>
        <v>0.77</v>
      </c>
      <c r="C81" s="143">
        <f>VLOOKUP($A81,'Data shares'!$C:$FA,119)</f>
        <v>0.77</v>
      </c>
      <c r="D81" s="143">
        <f>VLOOKUP($A81,'Data shares'!$C:$FA,121)*100</f>
        <v>0</v>
      </c>
      <c r="E81" s="143">
        <f>VLOOKUP($A81,'Data shares'!$C:$FA,124)</f>
        <v>0.52</v>
      </c>
      <c r="F81" s="143">
        <f>VLOOKUP($A81,'Data shares'!$C:$FA,125)</f>
        <v>0.67</v>
      </c>
      <c r="G81" s="143">
        <f>VLOOKUP($A81,'Data shares'!$C:$FA,127)*100</f>
        <v>-22.39</v>
      </c>
      <c r="H81" s="103">
        <f>VLOOKUP($A81,'OI(Volume)'!$A$7:$O$427,8)</f>
        <v>31808700</v>
      </c>
      <c r="I81" s="103">
        <f>VLOOKUP($A81,'OI(Volume)'!$A$7:$O$427,9)</f>
        <v>-202400</v>
      </c>
      <c r="J81" s="103">
        <f>VLOOKUP($A81,'OI(Volume)'!$A$7:$O$427,11)</f>
        <v>24380400</v>
      </c>
      <c r="K81" s="103">
        <f>VLOOKUP($A81,'OI(Volume)'!$A$7:$O$427,12)</f>
        <v>-224400</v>
      </c>
      <c r="L81" s="103">
        <f>VLOOKUP($A81,'OI(Value)'!$A$7:$O$306,8,0)</f>
        <v>3136</v>
      </c>
      <c r="M81" s="103">
        <f>VLOOKUP($A81,'OI(Value)'!$A$7:$O$306,9,0)</f>
        <v>-20</v>
      </c>
      <c r="N81" s="103">
        <f>VLOOKUP($A81,'OI(Value)'!$A$7:$O$306,11,0)</f>
        <v>2404</v>
      </c>
      <c r="O81" s="103">
        <f>VLOOKUP($A81,'OI(Value)'!$A$7:$O$306,12,0)</f>
        <v>-22</v>
      </c>
      <c r="P81" s="179">
        <f>VLOOKUP(A81,'OI(Value)'!A81:O282,8,0)</f>
        <v>3136</v>
      </c>
      <c r="Q81" s="179">
        <f>VLOOKUP(A81,'OI(Value)'!A81:O282,9,0)</f>
        <v>-20</v>
      </c>
      <c r="R81" s="179">
        <f>VLOOKUP(A81,'OI(Value)'!A81:O282,11,0)</f>
        <v>2404</v>
      </c>
      <c r="S81" s="179">
        <f>VLOOKUP(A81,'OI(Value)'!A81:O282,11,0)</f>
        <v>2404</v>
      </c>
    </row>
    <row r="82" spans="1:19" x14ac:dyDescent="0.25">
      <c r="A82" s="105" t="str">
        <f>'Data shares'!C77</f>
        <v>HDFCLIFE</v>
      </c>
      <c r="B82" s="143">
        <f>VLOOKUP($A82,'Data shares'!$C:$FA,118)</f>
        <v>0.55000000000000004</v>
      </c>
      <c r="C82" s="143">
        <f>VLOOKUP($A82,'Data shares'!$C:$FA,119)</f>
        <v>0.61</v>
      </c>
      <c r="D82" s="143">
        <f>VLOOKUP($A82,'Data shares'!$C:$FA,121)*100</f>
        <v>-9.84</v>
      </c>
      <c r="E82" s="143">
        <f>VLOOKUP($A82,'Data shares'!$C:$FA,124)</f>
        <v>0.47</v>
      </c>
      <c r="F82" s="143">
        <f>VLOOKUP($A82,'Data shares'!$C:$FA,125)</f>
        <v>0.52</v>
      </c>
      <c r="G82" s="143">
        <f>VLOOKUP($A82,'Data shares'!$C:$FA,127)*100</f>
        <v>-9.6199999999999992</v>
      </c>
      <c r="H82" s="103">
        <f>VLOOKUP($A82,'OI(Volume)'!$A$7:$O$427,8)</f>
        <v>9483100</v>
      </c>
      <c r="I82" s="103">
        <f>VLOOKUP($A82,'OI(Volume)'!$A$7:$O$427,9)</f>
        <v>1120900</v>
      </c>
      <c r="J82" s="103">
        <f>VLOOKUP($A82,'OI(Volume)'!$A$7:$O$427,11)</f>
        <v>5207400</v>
      </c>
      <c r="K82" s="103">
        <f>VLOOKUP($A82,'OI(Volume)'!$A$7:$O$427,12)</f>
        <v>111100</v>
      </c>
      <c r="L82" s="103">
        <f>VLOOKUP($A82,'OI(Value)'!$A$7:$O$306,8,0)</f>
        <v>711</v>
      </c>
      <c r="M82" s="103">
        <f>VLOOKUP($A82,'OI(Value)'!$A$7:$O$306,9,0)</f>
        <v>84</v>
      </c>
      <c r="N82" s="103">
        <f>VLOOKUP($A82,'OI(Value)'!$A$7:$O$306,11,0)</f>
        <v>391</v>
      </c>
      <c r="O82" s="103">
        <f>VLOOKUP($A82,'OI(Value)'!$A$7:$O$306,12,0)</f>
        <v>8</v>
      </c>
      <c r="P82" s="179">
        <f>VLOOKUP(A82,'OI(Value)'!A82:O283,8,0)</f>
        <v>711</v>
      </c>
      <c r="Q82" s="179">
        <f>VLOOKUP(A82,'OI(Value)'!A82:O283,9,0)</f>
        <v>84</v>
      </c>
      <c r="R82" s="179">
        <f>VLOOKUP(A82,'OI(Value)'!A82:O283,11,0)</f>
        <v>391</v>
      </c>
      <c r="S82" s="179">
        <f>VLOOKUP(A82,'OI(Value)'!A82:O283,11,0)</f>
        <v>391</v>
      </c>
    </row>
    <row r="83" spans="1:19" x14ac:dyDescent="0.25">
      <c r="A83" s="105" t="str">
        <f>'Data shares'!C78</f>
        <v>HEROMOTOCO</v>
      </c>
      <c r="B83" s="143">
        <f>VLOOKUP($A83,'Data shares'!$C:$FA,118)</f>
        <v>0.62</v>
      </c>
      <c r="C83" s="143">
        <f>VLOOKUP($A83,'Data shares'!$C:$FA,119)</f>
        <v>0.7</v>
      </c>
      <c r="D83" s="143">
        <f>VLOOKUP($A83,'Data shares'!$C:$FA,121)*100</f>
        <v>-11.43</v>
      </c>
      <c r="E83" s="143">
        <f>VLOOKUP($A83,'Data shares'!$C:$FA,124)</f>
        <v>0.31</v>
      </c>
      <c r="F83" s="143">
        <f>VLOOKUP($A83,'Data shares'!$C:$FA,125)</f>
        <v>0.49</v>
      </c>
      <c r="G83" s="143">
        <f>VLOOKUP($A83,'Data shares'!$C:$FA,127)*100</f>
        <v>-36.730000000000004</v>
      </c>
      <c r="H83" s="103">
        <f>VLOOKUP($A83,'OI(Volume)'!$A$7:$O$427,8)</f>
        <v>2717400</v>
      </c>
      <c r="I83" s="103">
        <f>VLOOKUP($A83,'OI(Volume)'!$A$7:$O$427,9)</f>
        <v>382350</v>
      </c>
      <c r="J83" s="103">
        <f>VLOOKUP($A83,'OI(Volume)'!$A$7:$O$427,11)</f>
        <v>1686300</v>
      </c>
      <c r="K83" s="103">
        <f>VLOOKUP($A83,'OI(Volume)'!$A$7:$O$427,12)</f>
        <v>62250</v>
      </c>
      <c r="L83" s="103">
        <f>VLOOKUP($A83,'OI(Value)'!$A$7:$O$306,8,0)</f>
        <v>1502</v>
      </c>
      <c r="M83" s="103">
        <f>VLOOKUP($A83,'OI(Value)'!$A$7:$O$306,9,0)</f>
        <v>211</v>
      </c>
      <c r="N83" s="103">
        <f>VLOOKUP($A83,'OI(Value)'!$A$7:$O$306,11,0)</f>
        <v>932</v>
      </c>
      <c r="O83" s="103">
        <f>VLOOKUP($A83,'OI(Value)'!$A$7:$O$306,12,0)</f>
        <v>34</v>
      </c>
      <c r="P83" s="179">
        <f>VLOOKUP(A83,'OI(Value)'!A83:O284,8,0)</f>
        <v>1502</v>
      </c>
      <c r="Q83" s="179">
        <f>VLOOKUP(A83,'OI(Value)'!A83:O284,9,0)</f>
        <v>211</v>
      </c>
      <c r="R83" s="179">
        <f>VLOOKUP(A83,'OI(Value)'!A83:O284,11,0)</f>
        <v>932</v>
      </c>
      <c r="S83" s="179">
        <f>VLOOKUP(A83,'OI(Value)'!A83:O284,11,0)</f>
        <v>932</v>
      </c>
    </row>
    <row r="84" spans="1:19" x14ac:dyDescent="0.25">
      <c r="A84" s="105" t="str">
        <f>'Data shares'!C79</f>
        <v>HFCL</v>
      </c>
      <c r="B84" s="143">
        <f>VLOOKUP($A84,'Data shares'!$C:$FA,118)</f>
        <v>0.56999999999999995</v>
      </c>
      <c r="C84" s="143">
        <f>VLOOKUP($A84,'Data shares'!$C:$FA,119)</f>
        <v>0.54</v>
      </c>
      <c r="D84" s="143">
        <f>VLOOKUP($A84,'Data shares'!$C:$FA,121)*100</f>
        <v>5.56</v>
      </c>
      <c r="E84" s="143">
        <f>VLOOKUP($A84,'Data shares'!$C:$FA,124)</f>
        <v>0.31</v>
      </c>
      <c r="F84" s="143">
        <f>VLOOKUP($A84,'Data shares'!$C:$FA,125)</f>
        <v>0.39</v>
      </c>
      <c r="G84" s="143">
        <f>VLOOKUP($A84,'Data shares'!$C:$FA,127)*100</f>
        <v>-20.51</v>
      </c>
      <c r="H84" s="103">
        <f>VLOOKUP($A84,'OI(Volume)'!$A$7:$O$427,8)</f>
        <v>38783850</v>
      </c>
      <c r="I84" s="103">
        <f>VLOOKUP($A84,'OI(Volume)'!$A$7:$O$427,9)</f>
        <v>909450</v>
      </c>
      <c r="J84" s="103">
        <f>VLOOKUP($A84,'OI(Volume)'!$A$7:$O$427,11)</f>
        <v>22123500</v>
      </c>
      <c r="K84" s="103">
        <f>VLOOKUP($A84,'OI(Volume)'!$A$7:$O$427,12)</f>
        <v>1793100</v>
      </c>
      <c r="L84" s="103">
        <f>VLOOKUP($A84,'OI(Value)'!$A$7:$O$306,8,0)</f>
        <v>296</v>
      </c>
      <c r="M84" s="103">
        <f>VLOOKUP($A84,'OI(Value)'!$A$7:$O$306,9,0)</f>
        <v>7</v>
      </c>
      <c r="N84" s="103">
        <f>VLOOKUP($A84,'OI(Value)'!$A$7:$O$306,11,0)</f>
        <v>169</v>
      </c>
      <c r="O84" s="103">
        <f>VLOOKUP($A84,'OI(Value)'!$A$7:$O$306,12,0)</f>
        <v>14</v>
      </c>
      <c r="P84" s="179">
        <f>VLOOKUP(A84,'OI(Value)'!A84:O285,8,0)</f>
        <v>296</v>
      </c>
      <c r="Q84" s="179">
        <f>VLOOKUP(A84,'OI(Value)'!A84:O285,9,0)</f>
        <v>7</v>
      </c>
      <c r="R84" s="179">
        <f>VLOOKUP(A84,'OI(Value)'!A84:O285,11,0)</f>
        <v>169</v>
      </c>
      <c r="S84" s="179">
        <f>VLOOKUP(A84,'OI(Value)'!A84:O285,11,0)</f>
        <v>169</v>
      </c>
    </row>
    <row r="85" spans="1:19" x14ac:dyDescent="0.25">
      <c r="A85" s="105" t="str">
        <f>'Data shares'!C80</f>
        <v>HINDALCO</v>
      </c>
      <c r="B85" s="143">
        <f>VLOOKUP($A85,'Data shares'!$C:$FA,118)</f>
        <v>0.72</v>
      </c>
      <c r="C85" s="143">
        <f>VLOOKUP($A85,'Data shares'!$C:$FA,119)</f>
        <v>0.72</v>
      </c>
      <c r="D85" s="143">
        <f>VLOOKUP($A85,'Data shares'!$C:$FA,121)*100</f>
        <v>0</v>
      </c>
      <c r="E85" s="143">
        <f>VLOOKUP($A85,'Data shares'!$C:$FA,124)</f>
        <v>0.52</v>
      </c>
      <c r="F85" s="143">
        <f>VLOOKUP($A85,'Data shares'!$C:$FA,125)</f>
        <v>0.39</v>
      </c>
      <c r="G85" s="143">
        <f>VLOOKUP($A85,'Data shares'!$C:$FA,127)*100</f>
        <v>33.33</v>
      </c>
      <c r="H85" s="103">
        <f>VLOOKUP($A85,'OI(Volume)'!$A$7:$O$427,8)</f>
        <v>18086600</v>
      </c>
      <c r="I85" s="103">
        <f>VLOOKUP($A85,'OI(Volume)'!$A$7:$O$427,9)</f>
        <v>539000</v>
      </c>
      <c r="J85" s="103">
        <f>VLOOKUP($A85,'OI(Volume)'!$A$7:$O$427,11)</f>
        <v>12986400</v>
      </c>
      <c r="K85" s="103">
        <f>VLOOKUP($A85,'OI(Volume)'!$A$7:$O$427,12)</f>
        <v>303800</v>
      </c>
      <c r="L85" s="103">
        <f>VLOOKUP($A85,'OI(Value)'!$A$7:$O$306,8,0)</f>
        <v>1406</v>
      </c>
      <c r="M85" s="103">
        <f>VLOOKUP($A85,'OI(Value)'!$A$7:$O$306,9,0)</f>
        <v>42</v>
      </c>
      <c r="N85" s="103">
        <f>VLOOKUP($A85,'OI(Value)'!$A$7:$O$306,11,0)</f>
        <v>1009</v>
      </c>
      <c r="O85" s="103">
        <f>VLOOKUP($A85,'OI(Value)'!$A$7:$O$306,12,0)</f>
        <v>24</v>
      </c>
      <c r="P85" s="179">
        <f>VLOOKUP(A85,'OI(Value)'!A85:O286,8,0)</f>
        <v>1406</v>
      </c>
      <c r="Q85" s="179">
        <f>VLOOKUP(A85,'OI(Value)'!A85:O286,9,0)</f>
        <v>42</v>
      </c>
      <c r="R85" s="179">
        <f>VLOOKUP(A85,'OI(Value)'!A85:O286,11,0)</f>
        <v>1009</v>
      </c>
      <c r="S85" s="179">
        <f>VLOOKUP(A85,'OI(Value)'!A85:O286,11,0)</f>
        <v>1009</v>
      </c>
    </row>
    <row r="86" spans="1:19" x14ac:dyDescent="0.25">
      <c r="A86" s="105" t="str">
        <f>'Data shares'!C81</f>
        <v>HINDPETRO</v>
      </c>
      <c r="B86" s="143">
        <f>VLOOKUP($A86,'Data shares'!$C:$FA,118)</f>
        <v>0.46</v>
      </c>
      <c r="C86" s="143">
        <f>VLOOKUP($A86,'Data shares'!$C:$FA,119)</f>
        <v>0.49</v>
      </c>
      <c r="D86" s="143">
        <f>VLOOKUP($A86,'Data shares'!$C:$FA,121)*100</f>
        <v>-6.12</v>
      </c>
      <c r="E86" s="143">
        <f>VLOOKUP($A86,'Data shares'!$C:$FA,124)</f>
        <v>0.57999999999999996</v>
      </c>
      <c r="F86" s="143">
        <f>VLOOKUP($A86,'Data shares'!$C:$FA,125)</f>
        <v>0.47</v>
      </c>
      <c r="G86" s="143">
        <f>VLOOKUP($A86,'Data shares'!$C:$FA,127)*100</f>
        <v>23.400000000000002</v>
      </c>
      <c r="H86" s="103">
        <f>VLOOKUP($A86,'OI(Volume)'!$A$7:$O$427,8)</f>
        <v>24808275</v>
      </c>
      <c r="I86" s="103">
        <f>VLOOKUP($A86,'OI(Volume)'!$A$7:$O$427,9)</f>
        <v>2065500</v>
      </c>
      <c r="J86" s="103">
        <f>VLOOKUP($A86,'OI(Volume)'!$A$7:$O$427,11)</f>
        <v>11467575</v>
      </c>
      <c r="K86" s="103">
        <f>VLOOKUP($A86,'OI(Volume)'!$A$7:$O$427,12)</f>
        <v>354375</v>
      </c>
      <c r="L86" s="103">
        <f>VLOOKUP($A86,'OI(Value)'!$A$7:$O$306,8,0)</f>
        <v>1129</v>
      </c>
      <c r="M86" s="103">
        <f>VLOOKUP($A86,'OI(Value)'!$A$7:$O$306,9,0)</f>
        <v>94</v>
      </c>
      <c r="N86" s="103">
        <f>VLOOKUP($A86,'OI(Value)'!$A$7:$O$306,11,0)</f>
        <v>522</v>
      </c>
      <c r="O86" s="103">
        <f>VLOOKUP($A86,'OI(Value)'!$A$7:$O$306,12,0)</f>
        <v>16</v>
      </c>
      <c r="P86" s="179">
        <f>VLOOKUP(A86,'OI(Value)'!A86:O287,8,0)</f>
        <v>1129</v>
      </c>
      <c r="Q86" s="179">
        <f>VLOOKUP(A86,'OI(Value)'!A86:O287,9,0)</f>
        <v>94</v>
      </c>
      <c r="R86" s="179">
        <f>VLOOKUP(A86,'OI(Value)'!A86:O287,11,0)</f>
        <v>522</v>
      </c>
      <c r="S86" s="179">
        <f>VLOOKUP(A86,'OI(Value)'!A86:O287,11,0)</f>
        <v>522</v>
      </c>
    </row>
    <row r="87" spans="1:19" x14ac:dyDescent="0.25">
      <c r="A87" s="105" t="str">
        <f>'Data shares'!C82</f>
        <v>HINDUNILVR</v>
      </c>
      <c r="B87" s="143">
        <f>VLOOKUP($A87,'Data shares'!$C:$FA,118)</f>
        <v>0.56000000000000005</v>
      </c>
      <c r="C87" s="143">
        <f>VLOOKUP($A87,'Data shares'!$C:$FA,119)</f>
        <v>0.59</v>
      </c>
      <c r="D87" s="143">
        <f>VLOOKUP($A87,'Data shares'!$C:$FA,121)*100</f>
        <v>-5.08</v>
      </c>
      <c r="E87" s="143">
        <f>VLOOKUP($A87,'Data shares'!$C:$FA,124)</f>
        <v>0.54</v>
      </c>
      <c r="F87" s="143">
        <f>VLOOKUP($A87,'Data shares'!$C:$FA,125)</f>
        <v>0.46</v>
      </c>
      <c r="G87" s="143">
        <f>VLOOKUP($A87,'Data shares'!$C:$FA,127)*100</f>
        <v>17.39</v>
      </c>
      <c r="H87" s="103">
        <f>VLOOKUP($A87,'OI(Volume)'!$A$7:$O$427,8)</f>
        <v>4868400</v>
      </c>
      <c r="I87" s="103">
        <f>VLOOKUP($A87,'OI(Volume)'!$A$7:$O$427,9)</f>
        <v>265200</v>
      </c>
      <c r="J87" s="103">
        <f>VLOOKUP($A87,'OI(Volume)'!$A$7:$O$427,11)</f>
        <v>2747100</v>
      </c>
      <c r="K87" s="103">
        <f>VLOOKUP($A87,'OI(Volume)'!$A$7:$O$427,12)</f>
        <v>10800</v>
      </c>
      <c r="L87" s="103">
        <f>VLOOKUP($A87,'OI(Value)'!$A$7:$O$306,8,0)</f>
        <v>1234</v>
      </c>
      <c r="M87" s="103">
        <f>VLOOKUP($A87,'OI(Value)'!$A$7:$O$306,9,0)</f>
        <v>67</v>
      </c>
      <c r="N87" s="103">
        <f>VLOOKUP($A87,'OI(Value)'!$A$7:$O$306,11,0)</f>
        <v>696</v>
      </c>
      <c r="O87" s="103">
        <f>VLOOKUP($A87,'OI(Value)'!$A$7:$O$306,12,0)</f>
        <v>3</v>
      </c>
      <c r="P87" s="179">
        <f>VLOOKUP(A87,'OI(Value)'!A87:O288,8,0)</f>
        <v>1234</v>
      </c>
      <c r="Q87" s="179">
        <f>VLOOKUP(A87,'OI(Value)'!A87:O288,9,0)</f>
        <v>67</v>
      </c>
      <c r="R87" s="179">
        <f>VLOOKUP(A87,'OI(Value)'!A87:O288,11,0)</f>
        <v>696</v>
      </c>
      <c r="S87" s="179">
        <f>VLOOKUP(A87,'OI(Value)'!A87:O288,11,0)</f>
        <v>696</v>
      </c>
    </row>
    <row r="88" spans="1:19" x14ac:dyDescent="0.25">
      <c r="A88" s="105" t="str">
        <f>'Data shares'!C83</f>
        <v>HINDZINC</v>
      </c>
      <c r="B88" s="143">
        <f>VLOOKUP($A88,'Data shares'!$C:$FA,118)</f>
        <v>0.59</v>
      </c>
      <c r="C88" s="143">
        <f>VLOOKUP($A88,'Data shares'!$C:$FA,119)</f>
        <v>0.74</v>
      </c>
      <c r="D88" s="143">
        <f>VLOOKUP($A88,'Data shares'!$C:$FA,121)*100</f>
        <v>-20.27</v>
      </c>
      <c r="E88" s="143">
        <f>VLOOKUP($A88,'Data shares'!$C:$FA,124)</f>
        <v>0.44</v>
      </c>
      <c r="F88" s="143">
        <f>VLOOKUP($A88,'Data shares'!$C:$FA,125)</f>
        <v>0.31</v>
      </c>
      <c r="G88" s="143">
        <f>VLOOKUP($A88,'Data shares'!$C:$FA,127)*100</f>
        <v>41.94</v>
      </c>
      <c r="H88" s="103">
        <f>VLOOKUP($A88,'OI(Volume)'!$A$7:$O$427,8)</f>
        <v>20588575</v>
      </c>
      <c r="I88" s="103">
        <f>VLOOKUP($A88,'OI(Volume)'!$A$7:$O$427,9)</f>
        <v>5909400</v>
      </c>
      <c r="J88" s="103">
        <f>VLOOKUP($A88,'OI(Volume)'!$A$7:$O$427,11)</f>
        <v>12111575</v>
      </c>
      <c r="K88" s="103">
        <f>VLOOKUP($A88,'OI(Volume)'!$A$7:$O$427,12)</f>
        <v>1187025</v>
      </c>
      <c r="L88" s="103">
        <f>VLOOKUP($A88,'OI(Value)'!$A$7:$O$306,8,0)</f>
        <v>1030</v>
      </c>
      <c r="M88" s="103">
        <f>VLOOKUP($A88,'OI(Value)'!$A$7:$O$306,9,0)</f>
        <v>296</v>
      </c>
      <c r="N88" s="103">
        <f>VLOOKUP($A88,'OI(Value)'!$A$7:$O$306,11,0)</f>
        <v>606</v>
      </c>
      <c r="O88" s="103">
        <f>VLOOKUP($A88,'OI(Value)'!$A$7:$O$306,12,0)</f>
        <v>59</v>
      </c>
      <c r="P88" s="179">
        <f>VLOOKUP(A88,'OI(Value)'!A88:O289,8,0)</f>
        <v>1030</v>
      </c>
      <c r="Q88" s="179">
        <f>VLOOKUP(A88,'OI(Value)'!A88:O289,9,0)</f>
        <v>296</v>
      </c>
      <c r="R88" s="179">
        <f>VLOOKUP(A88,'OI(Value)'!A88:O289,11,0)</f>
        <v>606</v>
      </c>
      <c r="S88" s="179">
        <f>VLOOKUP(A88,'OI(Value)'!A88:O289,11,0)</f>
        <v>606</v>
      </c>
    </row>
    <row r="89" spans="1:19" x14ac:dyDescent="0.25">
      <c r="A89" s="105" t="str">
        <f>'Data shares'!C84</f>
        <v>HUDCO</v>
      </c>
      <c r="B89" s="143">
        <f>VLOOKUP($A89,'Data shares'!$C:$FA,118)</f>
        <v>0.59</v>
      </c>
      <c r="C89" s="143">
        <f>VLOOKUP($A89,'Data shares'!$C:$FA,119)</f>
        <v>0.59</v>
      </c>
      <c r="D89" s="143">
        <f>VLOOKUP($A89,'Data shares'!$C:$FA,121)*100</f>
        <v>0</v>
      </c>
      <c r="E89" s="143">
        <f>VLOOKUP($A89,'Data shares'!$C:$FA,124)</f>
        <v>0.47</v>
      </c>
      <c r="F89" s="143">
        <f>VLOOKUP($A89,'Data shares'!$C:$FA,125)</f>
        <v>0.37</v>
      </c>
      <c r="G89" s="143">
        <f>VLOOKUP($A89,'Data shares'!$C:$FA,127)*100</f>
        <v>27.029999999999998</v>
      </c>
      <c r="H89" s="103">
        <f>VLOOKUP($A89,'OI(Volume)'!$A$7:$O$427,8)</f>
        <v>14435550</v>
      </c>
      <c r="I89" s="103">
        <f>VLOOKUP($A89,'OI(Volume)'!$A$7:$O$427,9)</f>
        <v>249750</v>
      </c>
      <c r="J89" s="103">
        <f>VLOOKUP($A89,'OI(Volume)'!$A$7:$O$427,11)</f>
        <v>8469300</v>
      </c>
      <c r="K89" s="103">
        <f>VLOOKUP($A89,'OI(Volume)'!$A$7:$O$427,12)</f>
        <v>41625</v>
      </c>
      <c r="L89" s="103">
        <f>VLOOKUP($A89,'OI(Value)'!$A$7:$O$306,8,0)</f>
        <v>338</v>
      </c>
      <c r="M89" s="103">
        <f>VLOOKUP($A89,'OI(Value)'!$A$7:$O$306,9,0)</f>
        <v>6</v>
      </c>
      <c r="N89" s="103">
        <f>VLOOKUP($A89,'OI(Value)'!$A$7:$O$306,11,0)</f>
        <v>198</v>
      </c>
      <c r="O89" s="103">
        <f>VLOOKUP($A89,'OI(Value)'!$A$7:$O$306,12,0)</f>
        <v>1</v>
      </c>
      <c r="P89" s="179">
        <f>VLOOKUP(A89,'OI(Value)'!A89:O290,8,0)</f>
        <v>338</v>
      </c>
      <c r="Q89" s="179">
        <f>VLOOKUP(A89,'OI(Value)'!A89:O290,9,0)</f>
        <v>6</v>
      </c>
      <c r="R89" s="179">
        <f>VLOOKUP(A89,'OI(Value)'!A89:O290,11,0)</f>
        <v>198</v>
      </c>
      <c r="S89" s="179">
        <f>VLOOKUP(A89,'OI(Value)'!A89:O290,11,0)</f>
        <v>198</v>
      </c>
    </row>
    <row r="90" spans="1:19" x14ac:dyDescent="0.25">
      <c r="A90" s="105" t="str">
        <f>'Data shares'!C85</f>
        <v>ICICIBANK</v>
      </c>
      <c r="B90" s="143">
        <f>VLOOKUP($A90,'Data shares'!$C:$FA,118)</f>
        <v>0.73</v>
      </c>
      <c r="C90" s="143">
        <f>VLOOKUP($A90,'Data shares'!$C:$FA,119)</f>
        <v>0.73</v>
      </c>
      <c r="D90" s="143">
        <f>VLOOKUP($A90,'Data shares'!$C:$FA,121)*100</f>
        <v>0</v>
      </c>
      <c r="E90" s="143">
        <f>VLOOKUP($A90,'Data shares'!$C:$FA,124)</f>
        <v>0.5</v>
      </c>
      <c r="F90" s="143">
        <f>VLOOKUP($A90,'Data shares'!$C:$FA,125)</f>
        <v>0.56000000000000005</v>
      </c>
      <c r="G90" s="143">
        <f>VLOOKUP($A90,'Data shares'!$C:$FA,127)*100</f>
        <v>-10.71</v>
      </c>
      <c r="H90" s="103">
        <f>VLOOKUP($A90,'OI(Volume)'!$A$7:$O$427,8)</f>
        <v>23599100</v>
      </c>
      <c r="I90" s="103">
        <f>VLOOKUP($A90,'OI(Volume)'!$A$7:$O$427,9)</f>
        <v>404600</v>
      </c>
      <c r="J90" s="103">
        <f>VLOOKUP($A90,'OI(Volume)'!$A$7:$O$427,11)</f>
        <v>17271100</v>
      </c>
      <c r="K90" s="103">
        <f>VLOOKUP($A90,'OI(Volume)'!$A$7:$O$427,12)</f>
        <v>387800</v>
      </c>
      <c r="L90" s="103">
        <f>VLOOKUP($A90,'OI(Value)'!$A$7:$O$306,8,0)</f>
        <v>3275</v>
      </c>
      <c r="M90" s="103">
        <f>VLOOKUP($A90,'OI(Value)'!$A$7:$O$306,9,0)</f>
        <v>56</v>
      </c>
      <c r="N90" s="103">
        <f>VLOOKUP($A90,'OI(Value)'!$A$7:$O$306,11,0)</f>
        <v>2397</v>
      </c>
      <c r="O90" s="103">
        <f>VLOOKUP($A90,'OI(Value)'!$A$7:$O$306,12,0)</f>
        <v>54</v>
      </c>
      <c r="P90" s="179">
        <f>VLOOKUP(A90,'OI(Value)'!A90:O291,8,0)</f>
        <v>3275</v>
      </c>
      <c r="Q90" s="179">
        <f>VLOOKUP(A90,'OI(Value)'!A90:O291,9,0)</f>
        <v>56</v>
      </c>
      <c r="R90" s="179">
        <f>VLOOKUP(A90,'OI(Value)'!A90:O291,11,0)</f>
        <v>2397</v>
      </c>
      <c r="S90" s="179">
        <f>VLOOKUP(A90,'OI(Value)'!A90:O291,11,0)</f>
        <v>2397</v>
      </c>
    </row>
    <row r="91" spans="1:19" x14ac:dyDescent="0.25">
      <c r="A91" s="105" t="str">
        <f>'Data shares'!C86</f>
        <v>ICICIGI</v>
      </c>
      <c r="B91" s="143">
        <f>VLOOKUP($A91,'Data shares'!$C:$FA,118)</f>
        <v>0.64</v>
      </c>
      <c r="C91" s="143">
        <f>VLOOKUP($A91,'Data shares'!$C:$FA,119)</f>
        <v>0.68</v>
      </c>
      <c r="D91" s="143">
        <f>VLOOKUP($A91,'Data shares'!$C:$FA,121)*100</f>
        <v>-5.88</v>
      </c>
      <c r="E91" s="143">
        <f>VLOOKUP($A91,'Data shares'!$C:$FA,124)</f>
        <v>0.56999999999999995</v>
      </c>
      <c r="F91" s="143">
        <f>VLOOKUP($A91,'Data shares'!$C:$FA,125)</f>
        <v>0.46</v>
      </c>
      <c r="G91" s="143">
        <f>VLOOKUP($A91,'Data shares'!$C:$FA,127)*100</f>
        <v>23.91</v>
      </c>
      <c r="H91" s="103">
        <f>VLOOKUP($A91,'OI(Volume)'!$A$7:$O$427,8)</f>
        <v>1104025</v>
      </c>
      <c r="I91" s="103">
        <f>VLOOKUP($A91,'OI(Volume)'!$A$7:$O$427,9)</f>
        <v>93925</v>
      </c>
      <c r="J91" s="103">
        <f>VLOOKUP($A91,'OI(Volume)'!$A$7:$O$427,11)</f>
        <v>701350</v>
      </c>
      <c r="K91" s="103">
        <f>VLOOKUP($A91,'OI(Volume)'!$A$7:$O$427,12)</f>
        <v>13650</v>
      </c>
      <c r="L91" s="103">
        <f>VLOOKUP($A91,'OI(Value)'!$A$7:$O$306,8,0)</f>
        <v>206</v>
      </c>
      <c r="M91" s="103">
        <f>VLOOKUP($A91,'OI(Value)'!$A$7:$O$306,9,0)</f>
        <v>18</v>
      </c>
      <c r="N91" s="103">
        <f>VLOOKUP($A91,'OI(Value)'!$A$7:$O$306,11,0)</f>
        <v>131</v>
      </c>
      <c r="O91" s="103">
        <f>VLOOKUP($A91,'OI(Value)'!$A$7:$O$306,12,0)</f>
        <v>3</v>
      </c>
      <c r="P91" s="179">
        <f>VLOOKUP(A91,'OI(Value)'!A91:O292,8,0)</f>
        <v>206</v>
      </c>
      <c r="Q91" s="179">
        <f>VLOOKUP(A91,'OI(Value)'!A91:O292,9,0)</f>
        <v>18</v>
      </c>
      <c r="R91" s="179">
        <f>VLOOKUP(A91,'OI(Value)'!A91:O292,11,0)</f>
        <v>131</v>
      </c>
      <c r="S91" s="179">
        <f>VLOOKUP(A91,'OI(Value)'!A91:O292,11,0)</f>
        <v>131</v>
      </c>
    </row>
    <row r="92" spans="1:19" x14ac:dyDescent="0.25">
      <c r="A92" s="105" t="str">
        <f>'Data shares'!C87</f>
        <v>ICICIPRULI</v>
      </c>
      <c r="B92" s="143">
        <f>VLOOKUP($A92,'Data shares'!$C:$FA,118)</f>
        <v>0.61</v>
      </c>
      <c r="C92" s="143">
        <f>VLOOKUP($A92,'Data shares'!$C:$FA,119)</f>
        <v>0.69</v>
      </c>
      <c r="D92" s="143">
        <f>VLOOKUP($A92,'Data shares'!$C:$FA,121)*100</f>
        <v>-11.59</v>
      </c>
      <c r="E92" s="143">
        <f>VLOOKUP($A92,'Data shares'!$C:$FA,124)</f>
        <v>0.37</v>
      </c>
      <c r="F92" s="143">
        <f>VLOOKUP($A92,'Data shares'!$C:$FA,125)</f>
        <v>0.33</v>
      </c>
      <c r="G92" s="143">
        <f>VLOOKUP($A92,'Data shares'!$C:$FA,127)*100</f>
        <v>12.120000000000001</v>
      </c>
      <c r="H92" s="103">
        <f>VLOOKUP($A92,'OI(Volume)'!$A$7:$O$427,8)</f>
        <v>3251375</v>
      </c>
      <c r="I92" s="103">
        <f>VLOOKUP($A92,'OI(Volume)'!$A$7:$O$427,9)</f>
        <v>262700</v>
      </c>
      <c r="J92" s="103">
        <f>VLOOKUP($A92,'OI(Volume)'!$A$7:$O$427,11)</f>
        <v>1978575</v>
      </c>
      <c r="K92" s="103">
        <f>VLOOKUP($A92,'OI(Volume)'!$A$7:$O$427,12)</f>
        <v>-70300</v>
      </c>
      <c r="L92" s="103">
        <f>VLOOKUP($A92,'OI(Value)'!$A$7:$O$306,8,0)</f>
        <v>195</v>
      </c>
      <c r="M92" s="103">
        <f>VLOOKUP($A92,'OI(Value)'!$A$7:$O$306,9,0)</f>
        <v>16</v>
      </c>
      <c r="N92" s="103">
        <f>VLOOKUP($A92,'OI(Value)'!$A$7:$O$306,11,0)</f>
        <v>119</v>
      </c>
      <c r="O92" s="103">
        <f>VLOOKUP($A92,'OI(Value)'!$A$7:$O$306,12,0)</f>
        <v>-4</v>
      </c>
      <c r="P92" s="179">
        <f>VLOOKUP(A92,'OI(Value)'!A92:O293,8,0)</f>
        <v>195</v>
      </c>
      <c r="Q92" s="179">
        <f>VLOOKUP(A92,'OI(Value)'!A92:O293,9,0)</f>
        <v>16</v>
      </c>
      <c r="R92" s="179">
        <f>VLOOKUP(A92,'OI(Value)'!A92:O293,11,0)</f>
        <v>119</v>
      </c>
      <c r="S92" s="179">
        <f>VLOOKUP(A92,'OI(Value)'!A92:O293,11,0)</f>
        <v>119</v>
      </c>
    </row>
    <row r="93" spans="1:19" x14ac:dyDescent="0.25">
      <c r="A93" s="105" t="str">
        <f>'Data shares'!C88</f>
        <v>IDEA</v>
      </c>
      <c r="B93" s="143">
        <f>VLOOKUP($A93,'Data shares'!$C:$FA,118)</f>
        <v>0.55000000000000004</v>
      </c>
      <c r="C93" s="143">
        <f>VLOOKUP($A93,'Data shares'!$C:$FA,119)</f>
        <v>0.56999999999999995</v>
      </c>
      <c r="D93" s="143">
        <f>VLOOKUP($A93,'Data shares'!$C:$FA,121)*100</f>
        <v>-3.51</v>
      </c>
      <c r="E93" s="143">
        <f>VLOOKUP($A93,'Data shares'!$C:$FA,124)</f>
        <v>0.32</v>
      </c>
      <c r="F93" s="143">
        <f>VLOOKUP($A93,'Data shares'!$C:$FA,125)</f>
        <v>0.33</v>
      </c>
      <c r="G93" s="143">
        <f>VLOOKUP($A93,'Data shares'!$C:$FA,127)*100</f>
        <v>-3.0300000000000002</v>
      </c>
      <c r="H93" s="103">
        <f>VLOOKUP($A93,'OI(Volume)'!$A$7:$O$427,8)</f>
        <v>2232593100</v>
      </c>
      <c r="I93" s="103">
        <f>VLOOKUP($A93,'OI(Volume)'!$A$7:$O$427,9)</f>
        <v>99850575</v>
      </c>
      <c r="J93" s="103">
        <f>VLOOKUP($A93,'OI(Volume)'!$A$7:$O$427,11)</f>
        <v>1233729975</v>
      </c>
      <c r="K93" s="103">
        <f>VLOOKUP($A93,'OI(Volume)'!$A$7:$O$427,12)</f>
        <v>25373625</v>
      </c>
      <c r="L93" s="103">
        <f>VLOOKUP($A93,'OI(Value)'!$A$7:$O$306,8,0)</f>
        <v>2027</v>
      </c>
      <c r="M93" s="103">
        <f>VLOOKUP($A93,'OI(Value)'!$A$7:$O$306,9,0)</f>
        <v>91</v>
      </c>
      <c r="N93" s="103">
        <f>VLOOKUP($A93,'OI(Value)'!$A$7:$O$306,11,0)</f>
        <v>1120</v>
      </c>
      <c r="O93" s="103">
        <f>VLOOKUP($A93,'OI(Value)'!$A$7:$O$306,12,0)</f>
        <v>23</v>
      </c>
      <c r="P93" s="179">
        <f>VLOOKUP(A93,'OI(Value)'!A93:O294,8,0)</f>
        <v>2027</v>
      </c>
      <c r="Q93" s="179">
        <f>VLOOKUP(A93,'OI(Value)'!A93:O294,9,0)</f>
        <v>91</v>
      </c>
      <c r="R93" s="179">
        <f>VLOOKUP(A93,'OI(Value)'!A93:O294,11,0)</f>
        <v>1120</v>
      </c>
      <c r="S93" s="179">
        <f>VLOOKUP(A93,'OI(Value)'!A93:O294,11,0)</f>
        <v>1120</v>
      </c>
    </row>
    <row r="94" spans="1:19" x14ac:dyDescent="0.25">
      <c r="A94" s="105" t="str">
        <f>'Data shares'!C89</f>
        <v>IDFCFIRSTB</v>
      </c>
      <c r="B94" s="143">
        <f>VLOOKUP($A94,'Data shares'!$C:$FA,118)</f>
        <v>0.7</v>
      </c>
      <c r="C94" s="143">
        <f>VLOOKUP($A94,'Data shares'!$C:$FA,119)</f>
        <v>0.78</v>
      </c>
      <c r="D94" s="143">
        <f>VLOOKUP($A94,'Data shares'!$C:$FA,121)*100</f>
        <v>-10.26</v>
      </c>
      <c r="E94" s="143">
        <f>VLOOKUP($A94,'Data shares'!$C:$FA,124)</f>
        <v>0.37</v>
      </c>
      <c r="F94" s="143">
        <f>VLOOKUP($A94,'Data shares'!$C:$FA,125)</f>
        <v>0.74</v>
      </c>
      <c r="G94" s="143">
        <f>VLOOKUP($A94,'Data shares'!$C:$FA,127)*100</f>
        <v>-50</v>
      </c>
      <c r="H94" s="103">
        <f>VLOOKUP($A94,'OI(Volume)'!$A$7:$O$427,8)</f>
        <v>136147725</v>
      </c>
      <c r="I94" s="103">
        <f>VLOOKUP($A94,'OI(Volume)'!$A$7:$O$427,9)</f>
        <v>13745550</v>
      </c>
      <c r="J94" s="103">
        <f>VLOOKUP($A94,'OI(Volume)'!$A$7:$O$427,11)</f>
        <v>94707025</v>
      </c>
      <c r="K94" s="103">
        <f>VLOOKUP($A94,'OI(Volume)'!$A$7:$O$427,12)</f>
        <v>-398825</v>
      </c>
      <c r="L94" s="103">
        <f>VLOOKUP($A94,'OI(Value)'!$A$7:$O$306,8,0)</f>
        <v>1016</v>
      </c>
      <c r="M94" s="103">
        <f>VLOOKUP($A94,'OI(Value)'!$A$7:$O$306,9,0)</f>
        <v>103</v>
      </c>
      <c r="N94" s="103">
        <f>VLOOKUP($A94,'OI(Value)'!$A$7:$O$306,11,0)</f>
        <v>707</v>
      </c>
      <c r="O94" s="103">
        <f>VLOOKUP($A94,'OI(Value)'!$A$7:$O$306,12,0)</f>
        <v>-3</v>
      </c>
      <c r="P94" s="179">
        <f>VLOOKUP(A94,'OI(Value)'!A94:O295,8,0)</f>
        <v>1016</v>
      </c>
      <c r="Q94" s="179">
        <f>VLOOKUP(A94,'OI(Value)'!A94:O295,9,0)</f>
        <v>103</v>
      </c>
      <c r="R94" s="179">
        <f>VLOOKUP(A94,'OI(Value)'!A94:O295,11,0)</f>
        <v>707</v>
      </c>
      <c r="S94" s="179">
        <f>VLOOKUP(A94,'OI(Value)'!A94:O295,11,0)</f>
        <v>707</v>
      </c>
    </row>
    <row r="95" spans="1:19" x14ac:dyDescent="0.25">
      <c r="A95" s="105" t="str">
        <f>'Data shares'!C90</f>
        <v>IEX</v>
      </c>
      <c r="B95" s="143">
        <f>VLOOKUP($A95,'Data shares'!$C:$FA,118)</f>
        <v>0.7</v>
      </c>
      <c r="C95" s="143">
        <f>VLOOKUP($A95,'Data shares'!$C:$FA,119)</f>
        <v>0.71</v>
      </c>
      <c r="D95" s="143">
        <f>VLOOKUP($A95,'Data shares'!$C:$FA,121)*100</f>
        <v>-1.41</v>
      </c>
      <c r="E95" s="143">
        <f>VLOOKUP($A95,'Data shares'!$C:$FA,124)</f>
        <v>0.43</v>
      </c>
      <c r="F95" s="143">
        <f>VLOOKUP($A95,'Data shares'!$C:$FA,125)</f>
        <v>0.5</v>
      </c>
      <c r="G95" s="143">
        <f>VLOOKUP($A95,'Data shares'!$C:$FA,127)*100</f>
        <v>-14.000000000000002</v>
      </c>
      <c r="H95" s="103">
        <f>VLOOKUP($A95,'OI(Volume)'!$A$7:$O$427,8)</f>
        <v>28511250</v>
      </c>
      <c r="I95" s="103">
        <f>VLOOKUP($A95,'OI(Volume)'!$A$7:$O$427,9)</f>
        <v>1380000</v>
      </c>
      <c r="J95" s="103">
        <f>VLOOKUP($A95,'OI(Volume)'!$A$7:$O$427,11)</f>
        <v>20013750</v>
      </c>
      <c r="K95" s="103">
        <f>VLOOKUP($A95,'OI(Volume)'!$A$7:$O$427,12)</f>
        <v>678750</v>
      </c>
      <c r="L95" s="103">
        <f>VLOOKUP($A95,'OI(Value)'!$A$7:$O$306,8,0)</f>
        <v>400</v>
      </c>
      <c r="M95" s="103">
        <f>VLOOKUP($A95,'OI(Value)'!$A$7:$O$306,9,0)</f>
        <v>19</v>
      </c>
      <c r="N95" s="103">
        <f>VLOOKUP($A95,'OI(Value)'!$A$7:$O$306,11,0)</f>
        <v>281</v>
      </c>
      <c r="O95" s="103">
        <f>VLOOKUP($A95,'OI(Value)'!$A$7:$O$306,12,0)</f>
        <v>10</v>
      </c>
      <c r="P95" s="179">
        <f>VLOOKUP(A95,'OI(Value)'!A95:O296,8,0)</f>
        <v>400</v>
      </c>
      <c r="Q95" s="179">
        <f>VLOOKUP(A95,'OI(Value)'!A95:O296,9,0)</f>
        <v>19</v>
      </c>
      <c r="R95" s="179">
        <f>VLOOKUP(A95,'OI(Value)'!A95:O296,11,0)</f>
        <v>281</v>
      </c>
      <c r="S95" s="179">
        <f>VLOOKUP(A95,'OI(Value)'!A95:O296,11,0)</f>
        <v>281</v>
      </c>
    </row>
    <row r="96" spans="1:19" x14ac:dyDescent="0.25">
      <c r="A96" s="105" t="str">
        <f>'Data shares'!C91</f>
        <v>IGL</v>
      </c>
      <c r="B96" s="143">
        <f>VLOOKUP($A96,'Data shares'!$C:$FA,118)</f>
        <v>0.61</v>
      </c>
      <c r="C96" s="143">
        <f>VLOOKUP($A96,'Data shares'!$C:$FA,119)</f>
        <v>0.6</v>
      </c>
      <c r="D96" s="143">
        <f>VLOOKUP($A96,'Data shares'!$C:$FA,121)*100</f>
        <v>1.67</v>
      </c>
      <c r="E96" s="143">
        <f>VLOOKUP($A96,'Data shares'!$C:$FA,124)</f>
        <v>0.43</v>
      </c>
      <c r="F96" s="143">
        <f>VLOOKUP($A96,'Data shares'!$C:$FA,125)</f>
        <v>0.39</v>
      </c>
      <c r="G96" s="143">
        <f>VLOOKUP($A96,'Data shares'!$C:$FA,127)*100</f>
        <v>10.26</v>
      </c>
      <c r="H96" s="103">
        <f>VLOOKUP($A96,'OI(Volume)'!$A$7:$O$427,8)</f>
        <v>16117750</v>
      </c>
      <c r="I96" s="103">
        <f>VLOOKUP($A96,'OI(Volume)'!$A$7:$O$427,9)</f>
        <v>-574750</v>
      </c>
      <c r="J96" s="103">
        <f>VLOOKUP($A96,'OI(Volume)'!$A$7:$O$427,11)</f>
        <v>9787250</v>
      </c>
      <c r="K96" s="103">
        <f>VLOOKUP($A96,'OI(Volume)'!$A$7:$O$427,12)</f>
        <v>-170500</v>
      </c>
      <c r="L96" s="103">
        <f>VLOOKUP($A96,'OI(Value)'!$A$7:$O$306,8,0)</f>
        <v>350</v>
      </c>
      <c r="M96" s="103">
        <f>VLOOKUP($A96,'OI(Value)'!$A$7:$O$306,9,0)</f>
        <v>-12</v>
      </c>
      <c r="N96" s="103">
        <f>VLOOKUP($A96,'OI(Value)'!$A$7:$O$306,11,0)</f>
        <v>212</v>
      </c>
      <c r="O96" s="103">
        <f>VLOOKUP($A96,'OI(Value)'!$A$7:$O$306,12,0)</f>
        <v>-4</v>
      </c>
      <c r="P96" s="179">
        <f>VLOOKUP(A96,'OI(Value)'!A96:O297,8,0)</f>
        <v>350</v>
      </c>
      <c r="Q96" s="179">
        <f>VLOOKUP(A96,'OI(Value)'!A96:O297,9,0)</f>
        <v>-12</v>
      </c>
      <c r="R96" s="179">
        <f>VLOOKUP(A96,'OI(Value)'!A96:O297,11,0)</f>
        <v>212</v>
      </c>
      <c r="S96" s="179">
        <f>VLOOKUP(A96,'OI(Value)'!A96:O297,11,0)</f>
        <v>212</v>
      </c>
    </row>
    <row r="97" spans="1:19" x14ac:dyDescent="0.25">
      <c r="A97" s="105" t="str">
        <f>'Data shares'!C92</f>
        <v>IIFL</v>
      </c>
      <c r="B97" s="143">
        <f>VLOOKUP($A97,'Data shares'!$C:$FA,118)</f>
        <v>0.69</v>
      </c>
      <c r="C97" s="143">
        <f>VLOOKUP($A97,'Data shares'!$C:$FA,119)</f>
        <v>0.68</v>
      </c>
      <c r="D97" s="143">
        <f>VLOOKUP($A97,'Data shares'!$C:$FA,121)*100</f>
        <v>1.47</v>
      </c>
      <c r="E97" s="143">
        <f>VLOOKUP($A97,'Data shares'!$C:$FA,124)</f>
        <v>0.6</v>
      </c>
      <c r="F97" s="143">
        <f>VLOOKUP($A97,'Data shares'!$C:$FA,125)</f>
        <v>0.33</v>
      </c>
      <c r="G97" s="143">
        <f>VLOOKUP($A97,'Data shares'!$C:$FA,127)*100</f>
        <v>81.820000000000007</v>
      </c>
      <c r="H97" s="103">
        <f>VLOOKUP($A97,'OI(Volume)'!$A$7:$O$427,8)</f>
        <v>3956700</v>
      </c>
      <c r="I97" s="103">
        <f>VLOOKUP($A97,'OI(Volume)'!$A$7:$O$427,9)</f>
        <v>18150</v>
      </c>
      <c r="J97" s="103">
        <f>VLOOKUP($A97,'OI(Volume)'!$A$7:$O$427,11)</f>
        <v>2722500</v>
      </c>
      <c r="K97" s="103">
        <f>VLOOKUP($A97,'OI(Volume)'!$A$7:$O$427,12)</f>
        <v>61050</v>
      </c>
      <c r="L97" s="103">
        <f>VLOOKUP($A97,'OI(Value)'!$A$7:$O$306,8,0)</f>
        <v>195</v>
      </c>
      <c r="M97" s="103">
        <f>VLOOKUP($A97,'OI(Value)'!$A$7:$O$306,9,0)</f>
        <v>1</v>
      </c>
      <c r="N97" s="103">
        <f>VLOOKUP($A97,'OI(Value)'!$A$7:$O$306,11,0)</f>
        <v>134</v>
      </c>
      <c r="O97" s="103">
        <f>VLOOKUP($A97,'OI(Value)'!$A$7:$O$306,12,0)</f>
        <v>3</v>
      </c>
      <c r="P97" s="179">
        <f>VLOOKUP(A97,'OI(Value)'!A97:O298,8,0)</f>
        <v>195</v>
      </c>
      <c r="Q97" s="179">
        <f>VLOOKUP(A97,'OI(Value)'!A97:O298,9,0)</f>
        <v>1</v>
      </c>
      <c r="R97" s="179">
        <f>VLOOKUP(A97,'OI(Value)'!A97:O298,11,0)</f>
        <v>134</v>
      </c>
      <c r="S97" s="179">
        <f>VLOOKUP(A97,'OI(Value)'!A97:O298,11,0)</f>
        <v>134</v>
      </c>
    </row>
    <row r="98" spans="1:19" x14ac:dyDescent="0.25">
      <c r="A98" s="105" t="str">
        <f>'Data shares'!C93</f>
        <v>INDHOTEL</v>
      </c>
      <c r="B98" s="143">
        <f>VLOOKUP($A98,'Data shares'!$C:$FA,118)</f>
        <v>0.52</v>
      </c>
      <c r="C98" s="143">
        <f>VLOOKUP($A98,'Data shares'!$C:$FA,119)</f>
        <v>0.54</v>
      </c>
      <c r="D98" s="143">
        <f>VLOOKUP($A98,'Data shares'!$C:$FA,121)*100</f>
        <v>-3.6999999999999997</v>
      </c>
      <c r="E98" s="143">
        <f>VLOOKUP($A98,'Data shares'!$C:$FA,124)</f>
        <v>0.28999999999999998</v>
      </c>
      <c r="F98" s="143">
        <f>VLOOKUP($A98,'Data shares'!$C:$FA,125)</f>
        <v>0.18</v>
      </c>
      <c r="G98" s="143">
        <f>VLOOKUP($A98,'Data shares'!$C:$FA,127)*100</f>
        <v>61.11</v>
      </c>
      <c r="H98" s="103">
        <f>VLOOKUP($A98,'OI(Volume)'!$A$7:$O$427,8)</f>
        <v>12985000</v>
      </c>
      <c r="I98" s="103">
        <f>VLOOKUP($A98,'OI(Volume)'!$A$7:$O$427,9)</f>
        <v>-160000</v>
      </c>
      <c r="J98" s="103">
        <f>VLOOKUP($A98,'OI(Volume)'!$A$7:$O$427,11)</f>
        <v>6795000</v>
      </c>
      <c r="K98" s="103">
        <f>VLOOKUP($A98,'OI(Volume)'!$A$7:$O$427,12)</f>
        <v>-260000</v>
      </c>
      <c r="L98" s="103">
        <f>VLOOKUP($A98,'OI(Value)'!$A$7:$O$306,8,0)</f>
        <v>959</v>
      </c>
      <c r="M98" s="103">
        <f>VLOOKUP($A98,'OI(Value)'!$A$7:$O$306,9,0)</f>
        <v>-12</v>
      </c>
      <c r="N98" s="103">
        <f>VLOOKUP($A98,'OI(Value)'!$A$7:$O$306,11,0)</f>
        <v>502</v>
      </c>
      <c r="O98" s="103">
        <f>VLOOKUP($A98,'OI(Value)'!$A$7:$O$306,12,0)</f>
        <v>-19</v>
      </c>
      <c r="P98" s="179">
        <f>VLOOKUP(A98,'OI(Value)'!A98:O299,8,0)</f>
        <v>959</v>
      </c>
      <c r="Q98" s="179">
        <f>VLOOKUP(A98,'OI(Value)'!A98:O299,9,0)</f>
        <v>-12</v>
      </c>
      <c r="R98" s="179">
        <f>VLOOKUP(A98,'OI(Value)'!A98:O299,11,0)</f>
        <v>502</v>
      </c>
      <c r="S98" s="179">
        <f>VLOOKUP(A98,'OI(Value)'!A98:O299,11,0)</f>
        <v>502</v>
      </c>
    </row>
    <row r="99" spans="1:19" x14ac:dyDescent="0.25">
      <c r="A99" s="105" t="str">
        <f>'Data shares'!C94</f>
        <v>INDIANB</v>
      </c>
      <c r="B99" s="143">
        <f>VLOOKUP($A99,'Data shares'!$C:$FA,118)</f>
        <v>0.97</v>
      </c>
      <c r="C99" s="143">
        <f>VLOOKUP($A99,'Data shares'!$C:$FA,119)</f>
        <v>0.95</v>
      </c>
      <c r="D99" s="143">
        <f>VLOOKUP($A99,'Data shares'!$C:$FA,121)*100</f>
        <v>2.11</v>
      </c>
      <c r="E99" s="143">
        <f>VLOOKUP($A99,'Data shares'!$C:$FA,124)</f>
        <v>0.53</v>
      </c>
      <c r="F99" s="143">
        <f>VLOOKUP($A99,'Data shares'!$C:$FA,125)</f>
        <v>0.78</v>
      </c>
      <c r="G99" s="143">
        <f>VLOOKUP($A99,'Data shares'!$C:$FA,127)*100</f>
        <v>-32.049999999999997</v>
      </c>
      <c r="H99" s="103">
        <f>VLOOKUP($A99,'OI(Volume)'!$A$7:$O$427,8)</f>
        <v>2778000</v>
      </c>
      <c r="I99" s="103">
        <f>VLOOKUP($A99,'OI(Volume)'!$A$7:$O$427,9)</f>
        <v>1000</v>
      </c>
      <c r="J99" s="103">
        <f>VLOOKUP($A99,'OI(Volume)'!$A$7:$O$427,11)</f>
        <v>2698000</v>
      </c>
      <c r="K99" s="103">
        <f>VLOOKUP($A99,'OI(Volume)'!$A$7:$O$427,12)</f>
        <v>57000</v>
      </c>
      <c r="L99" s="103">
        <f>VLOOKUP($A99,'OI(Value)'!$A$7:$O$306,8,0)</f>
        <v>216</v>
      </c>
      <c r="M99" s="103">
        <f>VLOOKUP($A99,'OI(Value)'!$A$7:$O$306,9,0)</f>
        <v>0</v>
      </c>
      <c r="N99" s="103">
        <f>VLOOKUP($A99,'OI(Value)'!$A$7:$O$306,11,0)</f>
        <v>209</v>
      </c>
      <c r="O99" s="103">
        <f>VLOOKUP($A99,'OI(Value)'!$A$7:$O$306,12,0)</f>
        <v>4</v>
      </c>
      <c r="P99" s="179">
        <f>VLOOKUP(A99,'OI(Value)'!A99:O300,8,0)</f>
        <v>216</v>
      </c>
      <c r="Q99" s="179">
        <f>VLOOKUP(A99,'OI(Value)'!A99:O300,9,0)</f>
        <v>0</v>
      </c>
      <c r="R99" s="179">
        <f>VLOOKUP(A99,'OI(Value)'!A99:O300,11,0)</f>
        <v>209</v>
      </c>
      <c r="S99" s="179">
        <f>VLOOKUP(A99,'OI(Value)'!A99:O300,11,0)</f>
        <v>209</v>
      </c>
    </row>
    <row r="100" spans="1:19" x14ac:dyDescent="0.25">
      <c r="A100" s="105" t="str">
        <f>'Data shares'!C95</f>
        <v>INDIAVIX</v>
      </c>
      <c r="B100" s="143">
        <f>VLOOKUP($A100,'Data shares'!$C:$FA,118)</f>
        <v>0</v>
      </c>
      <c r="C100" s="143">
        <f>VLOOKUP($A100,'Data shares'!$C:$FA,119)</f>
        <v>0</v>
      </c>
      <c r="D100" s="143">
        <f>VLOOKUP($A100,'Data shares'!$C:$FA,121)*100</f>
        <v>0</v>
      </c>
      <c r="E100" s="143">
        <f>VLOOKUP($A100,'Data shares'!$C:$FA,124)</f>
        <v>0</v>
      </c>
      <c r="F100" s="143">
        <f>VLOOKUP($A100,'Data shares'!$C:$FA,125)</f>
        <v>0</v>
      </c>
      <c r="G100" s="143">
        <f>VLOOKUP($A100,'Data shares'!$C:$FA,127)*100</f>
        <v>0</v>
      </c>
      <c r="H100" s="103">
        <f>VLOOKUP($A100,'OI(Volume)'!$A$7:$O$427,8)</f>
        <v>0</v>
      </c>
      <c r="I100" s="103">
        <f>VLOOKUP($A100,'OI(Volume)'!$A$7:$O$427,9)</f>
        <v>0</v>
      </c>
      <c r="J100" s="103">
        <f>VLOOKUP($A100,'OI(Volume)'!$A$7:$O$427,11)</f>
        <v>0</v>
      </c>
      <c r="K100" s="103">
        <f>VLOOKUP($A100,'OI(Volume)'!$A$7:$O$427,12)</f>
        <v>0</v>
      </c>
      <c r="L100" s="103">
        <f>VLOOKUP($A100,'OI(Value)'!$A$7:$O$306,8,0)</f>
        <v>0</v>
      </c>
      <c r="M100" s="103">
        <f>VLOOKUP($A100,'OI(Value)'!$A$7:$O$306,9,0)</f>
        <v>0</v>
      </c>
      <c r="N100" s="103">
        <f>VLOOKUP($A100,'OI(Value)'!$A$7:$O$306,11,0)</f>
        <v>0</v>
      </c>
      <c r="O100" s="103">
        <f>VLOOKUP($A100,'OI(Value)'!$A$7:$O$306,12,0)</f>
        <v>0</v>
      </c>
      <c r="P100" s="179">
        <f>VLOOKUP(A100,'OI(Value)'!A100:O301,8,0)</f>
        <v>0</v>
      </c>
      <c r="Q100" s="179">
        <f>VLOOKUP(A100,'OI(Value)'!A100:O301,9,0)</f>
        <v>0</v>
      </c>
      <c r="R100" s="179">
        <f>VLOOKUP(A100,'OI(Value)'!A100:O301,11,0)</f>
        <v>0</v>
      </c>
      <c r="S100" s="179">
        <f>VLOOKUP(A100,'OI(Value)'!A100:O301,11,0)</f>
        <v>0</v>
      </c>
    </row>
    <row r="101" spans="1:19" x14ac:dyDescent="0.25">
      <c r="A101" s="105" t="str">
        <f>'Data shares'!C96</f>
        <v>INDIGO</v>
      </c>
      <c r="B101" s="143">
        <f>VLOOKUP($A101,'Data shares'!$C:$FA,118)</f>
        <v>0.72</v>
      </c>
      <c r="C101" s="143">
        <f>VLOOKUP($A101,'Data shares'!$C:$FA,119)</f>
        <v>0.72</v>
      </c>
      <c r="D101" s="143">
        <f>VLOOKUP($A101,'Data shares'!$C:$FA,121)*100</f>
        <v>0</v>
      </c>
      <c r="E101" s="143">
        <f>VLOOKUP($A101,'Data shares'!$C:$FA,124)</f>
        <v>0.39</v>
      </c>
      <c r="F101" s="143">
        <f>VLOOKUP($A101,'Data shares'!$C:$FA,125)</f>
        <v>0.44</v>
      </c>
      <c r="G101" s="143">
        <f>VLOOKUP($A101,'Data shares'!$C:$FA,127)*100</f>
        <v>-11.360000000000001</v>
      </c>
      <c r="H101" s="103">
        <f>VLOOKUP($A101,'OI(Volume)'!$A$7:$O$427,8)</f>
        <v>1858050</v>
      </c>
      <c r="I101" s="103">
        <f>VLOOKUP($A101,'OI(Volume)'!$A$7:$O$427,9)</f>
        <v>63600</v>
      </c>
      <c r="J101" s="103">
        <f>VLOOKUP($A101,'OI(Volume)'!$A$7:$O$427,11)</f>
        <v>1341000</v>
      </c>
      <c r="K101" s="103">
        <f>VLOOKUP($A101,'OI(Volume)'!$A$7:$O$427,12)</f>
        <v>45900</v>
      </c>
      <c r="L101" s="103">
        <f>VLOOKUP($A101,'OI(Value)'!$A$7:$O$306,8,0)</f>
        <v>1071</v>
      </c>
      <c r="M101" s="103">
        <f>VLOOKUP($A101,'OI(Value)'!$A$7:$O$306,9,0)</f>
        <v>37</v>
      </c>
      <c r="N101" s="103">
        <f>VLOOKUP($A101,'OI(Value)'!$A$7:$O$306,11,0)</f>
        <v>773</v>
      </c>
      <c r="O101" s="103">
        <f>VLOOKUP($A101,'OI(Value)'!$A$7:$O$306,12,0)</f>
        <v>26</v>
      </c>
      <c r="P101" s="179">
        <f>VLOOKUP(A101,'OI(Value)'!A101:O302,8,0)</f>
        <v>1071</v>
      </c>
      <c r="Q101" s="179">
        <f>VLOOKUP(A101,'OI(Value)'!A101:O302,9,0)</f>
        <v>37</v>
      </c>
      <c r="R101" s="179">
        <f>VLOOKUP(A101,'OI(Value)'!A101:O302,11,0)</f>
        <v>773</v>
      </c>
      <c r="S101" s="179">
        <f>VLOOKUP(A101,'OI(Value)'!A101:O302,11,0)</f>
        <v>773</v>
      </c>
    </row>
    <row r="102" spans="1:19" x14ac:dyDescent="0.25">
      <c r="A102" s="105" t="str">
        <f>'Data shares'!C97</f>
        <v>INDUSINDBK</v>
      </c>
      <c r="B102" s="143">
        <f>VLOOKUP($A102,'Data shares'!$C:$FA,118)</f>
        <v>1.02</v>
      </c>
      <c r="C102" s="143">
        <f>VLOOKUP($A102,'Data shares'!$C:$FA,119)</f>
        <v>1.03</v>
      </c>
      <c r="D102" s="143">
        <f>VLOOKUP($A102,'Data shares'!$C:$FA,121)*100</f>
        <v>-0.97</v>
      </c>
      <c r="E102" s="143">
        <f>VLOOKUP($A102,'Data shares'!$C:$FA,124)</f>
        <v>0.43</v>
      </c>
      <c r="F102" s="143">
        <f>VLOOKUP($A102,'Data shares'!$C:$FA,125)</f>
        <v>0.57999999999999996</v>
      </c>
      <c r="G102" s="143">
        <f>VLOOKUP($A102,'Data shares'!$C:$FA,127)*100</f>
        <v>-25.86</v>
      </c>
      <c r="H102" s="103">
        <f>VLOOKUP($A102,'OI(Volume)'!$A$7:$O$427,8)</f>
        <v>11341400</v>
      </c>
      <c r="I102" s="103">
        <f>VLOOKUP($A102,'OI(Volume)'!$A$7:$O$427,9)</f>
        <v>247100</v>
      </c>
      <c r="J102" s="103">
        <f>VLOOKUP($A102,'OI(Volume)'!$A$7:$O$427,11)</f>
        <v>11550700</v>
      </c>
      <c r="K102" s="103">
        <f>VLOOKUP($A102,'OI(Volume)'!$A$7:$O$427,12)</f>
        <v>134400</v>
      </c>
      <c r="L102" s="103">
        <f>VLOOKUP($A102,'OI(Value)'!$A$7:$O$306,8,0)</f>
        <v>871</v>
      </c>
      <c r="M102" s="103">
        <f>VLOOKUP($A102,'OI(Value)'!$A$7:$O$306,9,0)</f>
        <v>19</v>
      </c>
      <c r="N102" s="103">
        <f>VLOOKUP($A102,'OI(Value)'!$A$7:$O$306,11,0)</f>
        <v>887</v>
      </c>
      <c r="O102" s="103">
        <f>VLOOKUP($A102,'OI(Value)'!$A$7:$O$306,12,0)</f>
        <v>10</v>
      </c>
      <c r="P102" s="179">
        <f>VLOOKUP(A102,'OI(Value)'!A102:O303,8,0)</f>
        <v>871</v>
      </c>
      <c r="Q102" s="179">
        <f>VLOOKUP(A102,'OI(Value)'!A102:O303,9,0)</f>
        <v>19</v>
      </c>
      <c r="R102" s="179">
        <f>VLOOKUP(A102,'OI(Value)'!A102:O303,11,0)</f>
        <v>887</v>
      </c>
      <c r="S102" s="179">
        <f>VLOOKUP(A102,'OI(Value)'!A102:O303,11,0)</f>
        <v>887</v>
      </c>
    </row>
    <row r="103" spans="1:19" x14ac:dyDescent="0.25">
      <c r="A103" s="105" t="str">
        <f>'Data shares'!C98</f>
        <v>INDUSTOWER</v>
      </c>
      <c r="B103" s="143">
        <f>VLOOKUP($A103,'Data shares'!$C:$FA,118)</f>
        <v>0.57999999999999996</v>
      </c>
      <c r="C103" s="143">
        <f>VLOOKUP($A103,'Data shares'!$C:$FA,119)</f>
        <v>0.69</v>
      </c>
      <c r="D103" s="143">
        <f>VLOOKUP($A103,'Data shares'!$C:$FA,121)*100</f>
        <v>-15.939999999999998</v>
      </c>
      <c r="E103" s="143">
        <f>VLOOKUP($A103,'Data shares'!$C:$FA,124)</f>
        <v>0.37</v>
      </c>
      <c r="F103" s="143">
        <f>VLOOKUP($A103,'Data shares'!$C:$FA,125)</f>
        <v>0.63</v>
      </c>
      <c r="G103" s="143">
        <f>VLOOKUP($A103,'Data shares'!$C:$FA,127)*100</f>
        <v>-41.27</v>
      </c>
      <c r="H103" s="103">
        <f>VLOOKUP($A103,'OI(Volume)'!$A$7:$O$427,8)</f>
        <v>23138700</v>
      </c>
      <c r="I103" s="103">
        <f>VLOOKUP($A103,'OI(Volume)'!$A$7:$O$427,9)</f>
        <v>4659700</v>
      </c>
      <c r="J103" s="103">
        <f>VLOOKUP($A103,'OI(Volume)'!$A$7:$O$427,11)</f>
        <v>13358600</v>
      </c>
      <c r="K103" s="103">
        <f>VLOOKUP($A103,'OI(Volume)'!$A$7:$O$427,12)</f>
        <v>617100</v>
      </c>
      <c r="L103" s="103">
        <f>VLOOKUP($A103,'OI(Value)'!$A$7:$O$306,8,0)</f>
        <v>823</v>
      </c>
      <c r="M103" s="103">
        <f>VLOOKUP($A103,'OI(Value)'!$A$7:$O$306,9,0)</f>
        <v>166</v>
      </c>
      <c r="N103" s="103">
        <f>VLOOKUP($A103,'OI(Value)'!$A$7:$O$306,11,0)</f>
        <v>475</v>
      </c>
      <c r="O103" s="103">
        <f>VLOOKUP($A103,'OI(Value)'!$A$7:$O$306,12,0)</f>
        <v>22</v>
      </c>
      <c r="P103" s="179">
        <f>VLOOKUP(A103,'OI(Value)'!A103:O304,8,0)</f>
        <v>823</v>
      </c>
      <c r="Q103" s="179">
        <f>VLOOKUP(A103,'OI(Value)'!A103:O304,9,0)</f>
        <v>166</v>
      </c>
      <c r="R103" s="179">
        <f>VLOOKUP(A103,'OI(Value)'!A103:O304,11,0)</f>
        <v>475</v>
      </c>
      <c r="S103" s="179">
        <f>VLOOKUP(A103,'OI(Value)'!A103:O304,11,0)</f>
        <v>475</v>
      </c>
    </row>
    <row r="104" spans="1:19" x14ac:dyDescent="0.25">
      <c r="A104" s="105" t="str">
        <f>'Data shares'!C99</f>
        <v>INFY</v>
      </c>
      <c r="B104" s="143">
        <f>VLOOKUP($A104,'Data shares'!$C:$FA,118)</f>
        <v>0.85</v>
      </c>
      <c r="C104" s="143">
        <f>VLOOKUP($A104,'Data shares'!$C:$FA,119)</f>
        <v>0.87</v>
      </c>
      <c r="D104" s="143">
        <f>VLOOKUP($A104,'Data shares'!$C:$FA,121)*100</f>
        <v>-2.2999999999999998</v>
      </c>
      <c r="E104" s="143">
        <f>VLOOKUP($A104,'Data shares'!$C:$FA,124)</f>
        <v>0.66</v>
      </c>
      <c r="F104" s="143">
        <f>VLOOKUP($A104,'Data shares'!$C:$FA,125)</f>
        <v>0.6</v>
      </c>
      <c r="G104" s="143">
        <f>VLOOKUP($A104,'Data shares'!$C:$FA,127)*100</f>
        <v>10</v>
      </c>
      <c r="H104" s="103">
        <f>VLOOKUP($A104,'OI(Volume)'!$A$7:$O$427,8)</f>
        <v>19015600</v>
      </c>
      <c r="I104" s="103">
        <f>VLOOKUP($A104,'OI(Volume)'!$A$7:$O$427,9)</f>
        <v>159200</v>
      </c>
      <c r="J104" s="103">
        <f>VLOOKUP($A104,'OI(Volume)'!$A$7:$O$427,11)</f>
        <v>16080000</v>
      </c>
      <c r="K104" s="103">
        <f>VLOOKUP($A104,'OI(Volume)'!$A$7:$O$427,12)</f>
        <v>-356800</v>
      </c>
      <c r="L104" s="103">
        <f>VLOOKUP($A104,'OI(Value)'!$A$7:$O$306,8,0)</f>
        <v>2868</v>
      </c>
      <c r="M104" s="103">
        <f>VLOOKUP($A104,'OI(Value)'!$A$7:$O$306,9,0)</f>
        <v>24</v>
      </c>
      <c r="N104" s="103">
        <f>VLOOKUP($A104,'OI(Value)'!$A$7:$O$306,11,0)</f>
        <v>2425</v>
      </c>
      <c r="O104" s="103">
        <f>VLOOKUP($A104,'OI(Value)'!$A$7:$O$306,12,0)</f>
        <v>-54</v>
      </c>
      <c r="P104" s="179">
        <f>VLOOKUP(A104,'OI(Value)'!A104:O305,8,0)</f>
        <v>2868</v>
      </c>
      <c r="Q104" s="179">
        <f>VLOOKUP(A104,'OI(Value)'!A104:O305,9,0)</f>
        <v>24</v>
      </c>
      <c r="R104" s="179">
        <f>VLOOKUP(A104,'OI(Value)'!A104:O305,11,0)</f>
        <v>2425</v>
      </c>
      <c r="S104" s="179">
        <f>VLOOKUP(A104,'OI(Value)'!A104:O305,11,0)</f>
        <v>2425</v>
      </c>
    </row>
    <row r="105" spans="1:19" x14ac:dyDescent="0.25">
      <c r="A105" s="105" t="str">
        <f>'Data shares'!C100</f>
        <v>INOXWIND</v>
      </c>
      <c r="B105" s="143">
        <f>VLOOKUP($A105,'Data shares'!$C:$FA,118)</f>
        <v>0.59</v>
      </c>
      <c r="C105" s="143">
        <f>VLOOKUP($A105,'Data shares'!$C:$FA,119)</f>
        <v>0.59</v>
      </c>
      <c r="D105" s="143">
        <f>VLOOKUP($A105,'Data shares'!$C:$FA,121)*100</f>
        <v>0</v>
      </c>
      <c r="E105" s="143">
        <f>VLOOKUP($A105,'Data shares'!$C:$FA,124)</f>
        <v>0.32</v>
      </c>
      <c r="F105" s="143">
        <f>VLOOKUP($A105,'Data shares'!$C:$FA,125)</f>
        <v>0.35</v>
      </c>
      <c r="G105" s="143">
        <f>VLOOKUP($A105,'Data shares'!$C:$FA,127)*100</f>
        <v>-8.57</v>
      </c>
      <c r="H105" s="103">
        <f>VLOOKUP($A105,'OI(Volume)'!$A$7:$O$427,8)</f>
        <v>16180040</v>
      </c>
      <c r="I105" s="103">
        <f>VLOOKUP($A105,'OI(Volume)'!$A$7:$O$427,9)</f>
        <v>1658904</v>
      </c>
      <c r="J105" s="103">
        <f>VLOOKUP($A105,'OI(Volume)'!$A$7:$O$427,11)</f>
        <v>9511704</v>
      </c>
      <c r="K105" s="103">
        <f>VLOOKUP($A105,'OI(Volume)'!$A$7:$O$427,12)</f>
        <v>955424</v>
      </c>
      <c r="L105" s="103">
        <f>VLOOKUP($A105,'OI(Value)'!$A$7:$O$306,8,0)</f>
        <v>244</v>
      </c>
      <c r="M105" s="103">
        <f>VLOOKUP($A105,'OI(Value)'!$A$7:$O$306,9,0)</f>
        <v>25</v>
      </c>
      <c r="N105" s="103">
        <f>VLOOKUP($A105,'OI(Value)'!$A$7:$O$306,11,0)</f>
        <v>144</v>
      </c>
      <c r="O105" s="103">
        <f>VLOOKUP($A105,'OI(Value)'!$A$7:$O$306,12,0)</f>
        <v>14</v>
      </c>
      <c r="P105" s="179">
        <f>VLOOKUP(A105,'OI(Value)'!A105:O306,8,0)</f>
        <v>244</v>
      </c>
      <c r="Q105" s="179">
        <f>VLOOKUP(A105,'OI(Value)'!A105:O306,9,0)</f>
        <v>25</v>
      </c>
      <c r="R105" s="179">
        <f>VLOOKUP(A105,'OI(Value)'!A105:O306,11,0)</f>
        <v>144</v>
      </c>
      <c r="S105" s="179">
        <f>VLOOKUP(A105,'OI(Value)'!A105:O306,11,0)</f>
        <v>144</v>
      </c>
    </row>
    <row r="106" spans="1:19" x14ac:dyDescent="0.25">
      <c r="A106" s="105" t="str">
        <f>'Data shares'!C101</f>
        <v>IOC</v>
      </c>
      <c r="B106" s="143">
        <f>VLOOKUP($A106,'Data shares'!$C:$FA,118)</f>
        <v>0.71</v>
      </c>
      <c r="C106" s="143">
        <f>VLOOKUP($A106,'Data shares'!$C:$FA,119)</f>
        <v>0.74</v>
      </c>
      <c r="D106" s="143">
        <f>VLOOKUP($A106,'Data shares'!$C:$FA,121)*100</f>
        <v>-4.05</v>
      </c>
      <c r="E106" s="143">
        <f>VLOOKUP($A106,'Data shares'!$C:$FA,124)</f>
        <v>0.56999999999999995</v>
      </c>
      <c r="F106" s="143">
        <f>VLOOKUP($A106,'Data shares'!$C:$FA,125)</f>
        <v>0.56000000000000005</v>
      </c>
      <c r="G106" s="143">
        <f>VLOOKUP($A106,'Data shares'!$C:$FA,127)*100</f>
        <v>1.79</v>
      </c>
      <c r="H106" s="103">
        <f>VLOOKUP($A106,'OI(Volume)'!$A$7:$O$427,8)</f>
        <v>42042000</v>
      </c>
      <c r="I106" s="103">
        <f>VLOOKUP($A106,'OI(Volume)'!$A$7:$O$427,9)</f>
        <v>2608125</v>
      </c>
      <c r="J106" s="103">
        <f>VLOOKUP($A106,'OI(Volume)'!$A$7:$O$427,11)</f>
        <v>29718000</v>
      </c>
      <c r="K106" s="103">
        <f>VLOOKUP($A106,'OI(Volume)'!$A$7:$O$427,12)</f>
        <v>414375</v>
      </c>
      <c r="L106" s="103">
        <f>VLOOKUP($A106,'OI(Value)'!$A$7:$O$306,8,0)</f>
        <v>650</v>
      </c>
      <c r="M106" s="103">
        <f>VLOOKUP($A106,'OI(Value)'!$A$7:$O$306,9,0)</f>
        <v>40</v>
      </c>
      <c r="N106" s="103">
        <f>VLOOKUP($A106,'OI(Value)'!$A$7:$O$306,11,0)</f>
        <v>460</v>
      </c>
      <c r="O106" s="103">
        <f>VLOOKUP($A106,'OI(Value)'!$A$7:$O$306,12,0)</f>
        <v>6</v>
      </c>
      <c r="P106" s="179">
        <f>VLOOKUP(A106,'OI(Value)'!A106:O307,8,0)</f>
        <v>650</v>
      </c>
      <c r="Q106" s="179">
        <f>VLOOKUP(A106,'OI(Value)'!A106:O307,9,0)</f>
        <v>40</v>
      </c>
      <c r="R106" s="179">
        <f>VLOOKUP(A106,'OI(Value)'!A106:O307,11,0)</f>
        <v>460</v>
      </c>
      <c r="S106" s="179">
        <f>VLOOKUP(A106,'OI(Value)'!A106:O307,11,0)</f>
        <v>460</v>
      </c>
    </row>
    <row r="107" spans="1:19" x14ac:dyDescent="0.25">
      <c r="A107" s="105" t="str">
        <f>'Data shares'!C102</f>
        <v>IRCTC</v>
      </c>
      <c r="B107" s="143">
        <f>VLOOKUP($A107,'Data shares'!$C:$FA,118)</f>
        <v>0.56999999999999995</v>
      </c>
      <c r="C107" s="143">
        <f>VLOOKUP($A107,'Data shares'!$C:$FA,119)</f>
        <v>0.56000000000000005</v>
      </c>
      <c r="D107" s="143">
        <f>VLOOKUP($A107,'Data shares'!$C:$FA,121)*100</f>
        <v>1.79</v>
      </c>
      <c r="E107" s="143">
        <f>VLOOKUP($A107,'Data shares'!$C:$FA,124)</f>
        <v>0.37</v>
      </c>
      <c r="F107" s="143">
        <f>VLOOKUP($A107,'Data shares'!$C:$FA,125)</f>
        <v>0.31</v>
      </c>
      <c r="G107" s="143">
        <f>VLOOKUP($A107,'Data shares'!$C:$FA,127)*100</f>
        <v>19.350000000000001</v>
      </c>
      <c r="H107" s="103">
        <f>VLOOKUP($A107,'OI(Volume)'!$A$7:$O$427,8)</f>
        <v>8211000</v>
      </c>
      <c r="I107" s="103">
        <f>VLOOKUP($A107,'OI(Volume)'!$A$7:$O$427,9)</f>
        <v>16625</v>
      </c>
      <c r="J107" s="103">
        <f>VLOOKUP($A107,'OI(Volume)'!$A$7:$O$427,11)</f>
        <v>4648000</v>
      </c>
      <c r="K107" s="103">
        <f>VLOOKUP($A107,'OI(Volume)'!$A$7:$O$427,12)</f>
        <v>37625</v>
      </c>
      <c r="L107" s="103">
        <f>VLOOKUP($A107,'OI(Value)'!$A$7:$O$306,8,0)</f>
        <v>589</v>
      </c>
      <c r="M107" s="103">
        <f>VLOOKUP($A107,'OI(Value)'!$A$7:$O$306,9,0)</f>
        <v>1</v>
      </c>
      <c r="N107" s="103">
        <f>VLOOKUP($A107,'OI(Value)'!$A$7:$O$306,11,0)</f>
        <v>333</v>
      </c>
      <c r="O107" s="103">
        <f>VLOOKUP($A107,'OI(Value)'!$A$7:$O$306,12,0)</f>
        <v>3</v>
      </c>
      <c r="P107" s="179">
        <f>VLOOKUP(A107,'OI(Value)'!A107:O308,8,0)</f>
        <v>589</v>
      </c>
      <c r="Q107" s="179">
        <f>VLOOKUP(A107,'OI(Value)'!A107:O308,9,0)</f>
        <v>1</v>
      </c>
      <c r="R107" s="179">
        <f>VLOOKUP(A107,'OI(Value)'!A107:O308,11,0)</f>
        <v>333</v>
      </c>
      <c r="S107" s="179">
        <f>VLOOKUP(A107,'OI(Value)'!A107:O308,11,0)</f>
        <v>333</v>
      </c>
    </row>
    <row r="108" spans="1:19" x14ac:dyDescent="0.25">
      <c r="A108" s="105" t="str">
        <f>'Data shares'!C103</f>
        <v>IREDA</v>
      </c>
      <c r="B108" s="143">
        <f>VLOOKUP($A108,'Data shares'!$C:$FA,118)</f>
        <v>0.46</v>
      </c>
      <c r="C108" s="143">
        <f>VLOOKUP($A108,'Data shares'!$C:$FA,119)</f>
        <v>0.45</v>
      </c>
      <c r="D108" s="143">
        <f>VLOOKUP($A108,'Data shares'!$C:$FA,121)*100</f>
        <v>2.2200000000000002</v>
      </c>
      <c r="E108" s="143">
        <f>VLOOKUP($A108,'Data shares'!$C:$FA,124)</f>
        <v>0.47</v>
      </c>
      <c r="F108" s="143">
        <f>VLOOKUP($A108,'Data shares'!$C:$FA,125)</f>
        <v>0.39</v>
      </c>
      <c r="G108" s="143">
        <f>VLOOKUP($A108,'Data shares'!$C:$FA,127)*100</f>
        <v>20.51</v>
      </c>
      <c r="H108" s="103">
        <f>VLOOKUP($A108,'OI(Volume)'!$A$7:$O$427,8)</f>
        <v>30256500</v>
      </c>
      <c r="I108" s="103">
        <f>VLOOKUP($A108,'OI(Volume)'!$A$7:$O$427,9)</f>
        <v>-952200</v>
      </c>
      <c r="J108" s="103">
        <f>VLOOKUP($A108,'OI(Volume)'!$A$7:$O$427,11)</f>
        <v>13858650</v>
      </c>
      <c r="K108" s="103">
        <f>VLOOKUP($A108,'OI(Volume)'!$A$7:$O$427,12)</f>
        <v>-62100</v>
      </c>
      <c r="L108" s="103">
        <f>VLOOKUP($A108,'OI(Value)'!$A$7:$O$306,8,0)</f>
        <v>459</v>
      </c>
      <c r="M108" s="103">
        <f>VLOOKUP($A108,'OI(Value)'!$A$7:$O$306,9,0)</f>
        <v>-14</v>
      </c>
      <c r="N108" s="103">
        <f>VLOOKUP($A108,'OI(Value)'!$A$7:$O$306,11,0)</f>
        <v>210</v>
      </c>
      <c r="O108" s="103">
        <f>VLOOKUP($A108,'OI(Value)'!$A$7:$O$306,12,0)</f>
        <v>-1</v>
      </c>
      <c r="P108" s="179">
        <f>VLOOKUP(A108,'OI(Value)'!A108:O309,8,0)</f>
        <v>459</v>
      </c>
      <c r="Q108" s="179">
        <f>VLOOKUP(A108,'OI(Value)'!A108:O309,9,0)</f>
        <v>-14</v>
      </c>
      <c r="R108" s="179">
        <f>VLOOKUP(A108,'OI(Value)'!A108:O309,11,0)</f>
        <v>210</v>
      </c>
      <c r="S108" s="179">
        <f>VLOOKUP(A108,'OI(Value)'!A108:O309,11,0)</f>
        <v>210</v>
      </c>
    </row>
    <row r="109" spans="1:19" x14ac:dyDescent="0.25">
      <c r="A109" s="105" t="str">
        <f>'Data shares'!C104</f>
        <v>IRFC</v>
      </c>
      <c r="B109" s="143">
        <f>VLOOKUP($A109,'Data shares'!$C:$FA,118)</f>
        <v>0.57999999999999996</v>
      </c>
      <c r="C109" s="143">
        <f>VLOOKUP($A109,'Data shares'!$C:$FA,119)</f>
        <v>0.51</v>
      </c>
      <c r="D109" s="143">
        <f>VLOOKUP($A109,'Data shares'!$C:$FA,121)*100</f>
        <v>13.73</v>
      </c>
      <c r="E109" s="143">
        <f>VLOOKUP($A109,'Data shares'!$C:$FA,124)</f>
        <v>0.39</v>
      </c>
      <c r="F109" s="143">
        <f>VLOOKUP($A109,'Data shares'!$C:$FA,125)</f>
        <v>0.41</v>
      </c>
      <c r="G109" s="143">
        <f>VLOOKUP($A109,'Data shares'!$C:$FA,127)*100</f>
        <v>-4.88</v>
      </c>
      <c r="H109" s="103">
        <f>VLOOKUP($A109,'OI(Volume)'!$A$7:$O$427,8)</f>
        <v>25959000</v>
      </c>
      <c r="I109" s="103">
        <f>VLOOKUP($A109,'OI(Volume)'!$A$7:$O$427,9)</f>
        <v>-425000</v>
      </c>
      <c r="J109" s="103">
        <f>VLOOKUP($A109,'OI(Volume)'!$A$7:$O$427,11)</f>
        <v>15147000</v>
      </c>
      <c r="K109" s="103">
        <f>VLOOKUP($A109,'OI(Volume)'!$A$7:$O$427,12)</f>
        <v>1564000</v>
      </c>
      <c r="L109" s="103">
        <f>VLOOKUP($A109,'OI(Value)'!$A$7:$O$306,8,0)</f>
        <v>328</v>
      </c>
      <c r="M109" s="103">
        <f>VLOOKUP($A109,'OI(Value)'!$A$7:$O$306,9,0)</f>
        <v>-5</v>
      </c>
      <c r="N109" s="103">
        <f>VLOOKUP($A109,'OI(Value)'!$A$7:$O$306,11,0)</f>
        <v>191</v>
      </c>
      <c r="O109" s="103">
        <f>VLOOKUP($A109,'OI(Value)'!$A$7:$O$306,12,0)</f>
        <v>20</v>
      </c>
      <c r="P109" s="179">
        <f>VLOOKUP(A109,'OI(Value)'!A109:O310,8,0)</f>
        <v>328</v>
      </c>
      <c r="Q109" s="179">
        <f>VLOOKUP(A109,'OI(Value)'!A109:O310,9,0)</f>
        <v>-5</v>
      </c>
      <c r="R109" s="179">
        <f>VLOOKUP(A109,'OI(Value)'!A109:O310,11,0)</f>
        <v>191</v>
      </c>
      <c r="S109" s="179">
        <f>VLOOKUP(A109,'OI(Value)'!A109:O310,11,0)</f>
        <v>191</v>
      </c>
    </row>
    <row r="110" spans="1:19" x14ac:dyDescent="0.25">
      <c r="A110" s="105" t="str">
        <f>'Data shares'!C105</f>
        <v>ITC</v>
      </c>
      <c r="B110" s="143">
        <f>VLOOKUP($A110,'Data shares'!$C:$FA,118)</f>
        <v>0.67</v>
      </c>
      <c r="C110" s="143">
        <f>VLOOKUP($A110,'Data shares'!$C:$FA,119)</f>
        <v>0.66</v>
      </c>
      <c r="D110" s="143">
        <f>VLOOKUP($A110,'Data shares'!$C:$FA,121)*100</f>
        <v>1.52</v>
      </c>
      <c r="E110" s="143">
        <f>VLOOKUP($A110,'Data shares'!$C:$FA,124)</f>
        <v>0.57999999999999996</v>
      </c>
      <c r="F110" s="143">
        <f>VLOOKUP($A110,'Data shares'!$C:$FA,125)</f>
        <v>0.57999999999999996</v>
      </c>
      <c r="G110" s="143">
        <f>VLOOKUP($A110,'Data shares'!$C:$FA,127)*100</f>
        <v>0</v>
      </c>
      <c r="H110" s="103">
        <f>VLOOKUP($A110,'OI(Volume)'!$A$7:$O$427,8)</f>
        <v>45310400</v>
      </c>
      <c r="I110" s="103">
        <f>VLOOKUP($A110,'OI(Volume)'!$A$7:$O$427,9)</f>
        <v>-2059200</v>
      </c>
      <c r="J110" s="103">
        <f>VLOOKUP($A110,'OI(Volume)'!$A$7:$O$427,11)</f>
        <v>30572800</v>
      </c>
      <c r="K110" s="103">
        <f>VLOOKUP($A110,'OI(Volume)'!$A$7:$O$427,12)</f>
        <v>-648000</v>
      </c>
      <c r="L110" s="103">
        <f>VLOOKUP($A110,'OI(Value)'!$A$7:$O$306,8,0)</f>
        <v>1835</v>
      </c>
      <c r="M110" s="103">
        <f>VLOOKUP($A110,'OI(Value)'!$A$7:$O$306,9,0)</f>
        <v>-83</v>
      </c>
      <c r="N110" s="103">
        <f>VLOOKUP($A110,'OI(Value)'!$A$7:$O$306,11,0)</f>
        <v>1238</v>
      </c>
      <c r="O110" s="103">
        <f>VLOOKUP($A110,'OI(Value)'!$A$7:$O$306,12,0)</f>
        <v>-26</v>
      </c>
      <c r="P110" s="179">
        <f>VLOOKUP(A110,'OI(Value)'!A110:O311,8,0)</f>
        <v>1835</v>
      </c>
      <c r="Q110" s="179">
        <f>VLOOKUP(A110,'OI(Value)'!A110:O311,9,0)</f>
        <v>-83</v>
      </c>
      <c r="R110" s="179">
        <f>VLOOKUP(A110,'OI(Value)'!A110:O311,11,0)</f>
        <v>1238</v>
      </c>
      <c r="S110" s="179">
        <f>VLOOKUP(A110,'OI(Value)'!A110:O311,11,0)</f>
        <v>1238</v>
      </c>
    </row>
    <row r="111" spans="1:19" x14ac:dyDescent="0.25">
      <c r="A111" s="105" t="str">
        <f>'Data shares'!C106</f>
        <v>JINDALSTEL</v>
      </c>
      <c r="B111" s="143">
        <f>VLOOKUP($A111,'Data shares'!$C:$FA,118)</f>
        <v>0.52</v>
      </c>
      <c r="C111" s="143">
        <f>VLOOKUP($A111,'Data shares'!$C:$FA,119)</f>
        <v>0.59</v>
      </c>
      <c r="D111" s="143">
        <f>VLOOKUP($A111,'Data shares'!$C:$FA,121)*100</f>
        <v>-11.86</v>
      </c>
      <c r="E111" s="143">
        <f>VLOOKUP($A111,'Data shares'!$C:$FA,124)</f>
        <v>0.35</v>
      </c>
      <c r="F111" s="143">
        <f>VLOOKUP($A111,'Data shares'!$C:$FA,125)</f>
        <v>0.35</v>
      </c>
      <c r="G111" s="143">
        <f>VLOOKUP($A111,'Data shares'!$C:$FA,127)*100</f>
        <v>0</v>
      </c>
      <c r="H111" s="103">
        <f>VLOOKUP($A111,'OI(Volume)'!$A$7:$O$427,8)</f>
        <v>7643750</v>
      </c>
      <c r="I111" s="103">
        <f>VLOOKUP($A111,'OI(Volume)'!$A$7:$O$427,9)</f>
        <v>1335000</v>
      </c>
      <c r="J111" s="103">
        <f>VLOOKUP($A111,'OI(Volume)'!$A$7:$O$427,11)</f>
        <v>3978750</v>
      </c>
      <c r="K111" s="103">
        <f>VLOOKUP($A111,'OI(Volume)'!$A$7:$O$427,12)</f>
        <v>227500</v>
      </c>
      <c r="L111" s="103">
        <f>VLOOKUP($A111,'OI(Value)'!$A$7:$O$306,8,0)</f>
        <v>780</v>
      </c>
      <c r="M111" s="103">
        <f>VLOOKUP($A111,'OI(Value)'!$A$7:$O$306,9,0)</f>
        <v>136</v>
      </c>
      <c r="N111" s="103">
        <f>VLOOKUP($A111,'OI(Value)'!$A$7:$O$306,11,0)</f>
        <v>406</v>
      </c>
      <c r="O111" s="103">
        <f>VLOOKUP($A111,'OI(Value)'!$A$7:$O$306,12,0)</f>
        <v>23</v>
      </c>
      <c r="P111" s="179">
        <f>VLOOKUP(A111,'OI(Value)'!A111:O312,8,0)</f>
        <v>780</v>
      </c>
      <c r="Q111" s="179">
        <f>VLOOKUP(A111,'OI(Value)'!A111:O312,9,0)</f>
        <v>136</v>
      </c>
      <c r="R111" s="179">
        <f>VLOOKUP(A111,'OI(Value)'!A111:O312,11,0)</f>
        <v>406</v>
      </c>
      <c r="S111" s="179">
        <f>VLOOKUP(A111,'OI(Value)'!A111:O312,11,0)</f>
        <v>406</v>
      </c>
    </row>
    <row r="112" spans="1:19" x14ac:dyDescent="0.25">
      <c r="A112" s="105" t="str">
        <f>'Data shares'!C107</f>
        <v>JIOFIN</v>
      </c>
      <c r="B112" s="143">
        <f>VLOOKUP($A112,'Data shares'!$C:$FA,118)</f>
        <v>0.71</v>
      </c>
      <c r="C112" s="143">
        <f>VLOOKUP($A112,'Data shares'!$C:$FA,119)</f>
        <v>0.7</v>
      </c>
      <c r="D112" s="143">
        <f>VLOOKUP($A112,'Data shares'!$C:$FA,121)*100</f>
        <v>1.43</v>
      </c>
      <c r="E112" s="143">
        <f>VLOOKUP($A112,'Data shares'!$C:$FA,124)</f>
        <v>0.51</v>
      </c>
      <c r="F112" s="143">
        <f>VLOOKUP($A112,'Data shares'!$C:$FA,125)</f>
        <v>0.51</v>
      </c>
      <c r="G112" s="143">
        <f>VLOOKUP($A112,'Data shares'!$C:$FA,127)*100</f>
        <v>0</v>
      </c>
      <c r="H112" s="103">
        <f>VLOOKUP($A112,'OI(Volume)'!$A$7:$O$427,8)</f>
        <v>54555250</v>
      </c>
      <c r="I112" s="103">
        <f>VLOOKUP($A112,'OI(Volume)'!$A$7:$O$427,9)</f>
        <v>1092750</v>
      </c>
      <c r="J112" s="103">
        <f>VLOOKUP($A112,'OI(Volume)'!$A$7:$O$427,11)</f>
        <v>38753850</v>
      </c>
      <c r="K112" s="103">
        <f>VLOOKUP($A112,'OI(Volume)'!$A$7:$O$427,12)</f>
        <v>1189100</v>
      </c>
      <c r="L112" s="103">
        <f>VLOOKUP($A112,'OI(Value)'!$A$7:$O$306,8,0)</f>
        <v>1691</v>
      </c>
      <c r="M112" s="103">
        <f>VLOOKUP($A112,'OI(Value)'!$A$7:$O$306,9,0)</f>
        <v>34</v>
      </c>
      <c r="N112" s="103">
        <f>VLOOKUP($A112,'OI(Value)'!$A$7:$O$306,11,0)</f>
        <v>1201</v>
      </c>
      <c r="O112" s="103">
        <f>VLOOKUP($A112,'OI(Value)'!$A$7:$O$306,12,0)</f>
        <v>37</v>
      </c>
      <c r="P112" s="179">
        <f>VLOOKUP(A112,'OI(Value)'!A112:O313,8,0)</f>
        <v>1691</v>
      </c>
      <c r="Q112" s="179">
        <f>VLOOKUP(A112,'OI(Value)'!A112:O313,9,0)</f>
        <v>34</v>
      </c>
      <c r="R112" s="179">
        <f>VLOOKUP(A112,'OI(Value)'!A112:O313,11,0)</f>
        <v>1201</v>
      </c>
      <c r="S112" s="179">
        <f>VLOOKUP(A112,'OI(Value)'!A112:O313,11,0)</f>
        <v>1201</v>
      </c>
    </row>
    <row r="113" spans="1:19" x14ac:dyDescent="0.25">
      <c r="A113" s="105" t="str">
        <f>'Data shares'!C108</f>
        <v>JSWENERGY</v>
      </c>
      <c r="B113" s="143">
        <f>VLOOKUP($A113,'Data shares'!$C:$FA,118)</f>
        <v>0.49</v>
      </c>
      <c r="C113" s="143">
        <f>VLOOKUP($A113,'Data shares'!$C:$FA,119)</f>
        <v>0.5</v>
      </c>
      <c r="D113" s="143">
        <f>VLOOKUP($A113,'Data shares'!$C:$FA,121)*100</f>
        <v>-2</v>
      </c>
      <c r="E113" s="143">
        <f>VLOOKUP($A113,'Data shares'!$C:$FA,124)</f>
        <v>0.25</v>
      </c>
      <c r="F113" s="143">
        <f>VLOOKUP($A113,'Data shares'!$C:$FA,125)</f>
        <v>0.3</v>
      </c>
      <c r="G113" s="143">
        <f>VLOOKUP($A113,'Data shares'!$C:$FA,127)*100</f>
        <v>-16.669999999999998</v>
      </c>
      <c r="H113" s="103">
        <f>VLOOKUP($A113,'OI(Volume)'!$A$7:$O$427,8)</f>
        <v>7826000</v>
      </c>
      <c r="I113" s="103">
        <f>VLOOKUP($A113,'OI(Volume)'!$A$7:$O$427,9)</f>
        <v>-227000</v>
      </c>
      <c r="J113" s="103">
        <f>VLOOKUP($A113,'OI(Volume)'!$A$7:$O$427,11)</f>
        <v>3872000</v>
      </c>
      <c r="K113" s="103">
        <f>VLOOKUP($A113,'OI(Volume)'!$A$7:$O$427,12)</f>
        <v>-180000</v>
      </c>
      <c r="L113" s="103">
        <f>VLOOKUP($A113,'OI(Value)'!$A$7:$O$306,8,0)</f>
        <v>429</v>
      </c>
      <c r="M113" s="103">
        <f>VLOOKUP($A113,'OI(Value)'!$A$7:$O$306,9,0)</f>
        <v>-12</v>
      </c>
      <c r="N113" s="103">
        <f>VLOOKUP($A113,'OI(Value)'!$A$7:$O$306,11,0)</f>
        <v>212</v>
      </c>
      <c r="O113" s="103">
        <f>VLOOKUP($A113,'OI(Value)'!$A$7:$O$306,12,0)</f>
        <v>-10</v>
      </c>
      <c r="P113" s="179">
        <f>VLOOKUP(A113,'OI(Value)'!A113:O314,8,0)</f>
        <v>429</v>
      </c>
      <c r="Q113" s="179">
        <f>VLOOKUP(A113,'OI(Value)'!A113:O314,9,0)</f>
        <v>-12</v>
      </c>
      <c r="R113" s="179">
        <f>VLOOKUP(A113,'OI(Value)'!A113:O314,11,0)</f>
        <v>212</v>
      </c>
      <c r="S113" s="179">
        <f>VLOOKUP(A113,'OI(Value)'!A113:O314,11,0)</f>
        <v>212</v>
      </c>
    </row>
    <row r="114" spans="1:19" x14ac:dyDescent="0.25">
      <c r="A114" s="105" t="str">
        <f>'Data shares'!C109</f>
        <v>JSWSTEEL</v>
      </c>
      <c r="B114" s="143">
        <f>VLOOKUP($A114,'Data shares'!$C:$FA,118)</f>
        <v>0.65</v>
      </c>
      <c r="C114" s="143">
        <f>VLOOKUP($A114,'Data shares'!$C:$FA,119)</f>
        <v>0.71</v>
      </c>
      <c r="D114" s="143">
        <f>VLOOKUP($A114,'Data shares'!$C:$FA,121)*100</f>
        <v>-8.4500000000000011</v>
      </c>
      <c r="E114" s="143">
        <f>VLOOKUP($A114,'Data shares'!$C:$FA,124)</f>
        <v>0.62</v>
      </c>
      <c r="F114" s="143">
        <f>VLOOKUP($A114,'Data shares'!$C:$FA,125)</f>
        <v>0.43</v>
      </c>
      <c r="G114" s="143">
        <f>VLOOKUP($A114,'Data shares'!$C:$FA,127)*100</f>
        <v>44.190000000000005</v>
      </c>
      <c r="H114" s="103">
        <f>VLOOKUP($A114,'OI(Volume)'!$A$7:$O$427,8)</f>
        <v>6008850</v>
      </c>
      <c r="I114" s="103">
        <f>VLOOKUP($A114,'OI(Volume)'!$A$7:$O$427,9)</f>
        <v>66150</v>
      </c>
      <c r="J114" s="103">
        <f>VLOOKUP($A114,'OI(Volume)'!$A$7:$O$427,11)</f>
        <v>3915675</v>
      </c>
      <c r="K114" s="103">
        <f>VLOOKUP($A114,'OI(Volume)'!$A$7:$O$427,12)</f>
        <v>-284175</v>
      </c>
      <c r="L114" s="103">
        <f>VLOOKUP($A114,'OI(Value)'!$A$7:$O$306,8,0)</f>
        <v>704</v>
      </c>
      <c r="M114" s="103">
        <f>VLOOKUP($A114,'OI(Value)'!$A$7:$O$306,9,0)</f>
        <v>8</v>
      </c>
      <c r="N114" s="103">
        <f>VLOOKUP($A114,'OI(Value)'!$A$7:$O$306,11,0)</f>
        <v>459</v>
      </c>
      <c r="O114" s="103">
        <f>VLOOKUP($A114,'OI(Value)'!$A$7:$O$306,12,0)</f>
        <v>-33</v>
      </c>
      <c r="P114" s="179">
        <f>VLOOKUP(A114,'OI(Value)'!A114:O315,8,0)</f>
        <v>704</v>
      </c>
      <c r="Q114" s="179">
        <f>VLOOKUP(A114,'OI(Value)'!A114:O315,9,0)</f>
        <v>8</v>
      </c>
      <c r="R114" s="179">
        <f>VLOOKUP(A114,'OI(Value)'!A114:O315,11,0)</f>
        <v>459</v>
      </c>
      <c r="S114" s="179">
        <f>VLOOKUP(A114,'OI(Value)'!A114:O315,11,0)</f>
        <v>459</v>
      </c>
    </row>
    <row r="115" spans="1:19" x14ac:dyDescent="0.25">
      <c r="A115" s="105" t="str">
        <f>'Data shares'!C110</f>
        <v>JUBLFOOD</v>
      </c>
      <c r="B115" s="143">
        <f>VLOOKUP($A115,'Data shares'!$C:$FA,118)</f>
        <v>0.55000000000000004</v>
      </c>
      <c r="C115" s="143">
        <f>VLOOKUP($A115,'Data shares'!$C:$FA,119)</f>
        <v>0.56000000000000005</v>
      </c>
      <c r="D115" s="143">
        <f>VLOOKUP($A115,'Data shares'!$C:$FA,121)*100</f>
        <v>-1.79</v>
      </c>
      <c r="E115" s="143">
        <f>VLOOKUP($A115,'Data shares'!$C:$FA,124)</f>
        <v>0.27</v>
      </c>
      <c r="F115" s="143">
        <f>VLOOKUP($A115,'Data shares'!$C:$FA,125)</f>
        <v>0.31</v>
      </c>
      <c r="G115" s="143">
        <f>VLOOKUP($A115,'Data shares'!$C:$FA,127)*100</f>
        <v>-12.9</v>
      </c>
      <c r="H115" s="103">
        <f>VLOOKUP($A115,'OI(Volume)'!$A$7:$O$427,8)</f>
        <v>8342500</v>
      </c>
      <c r="I115" s="103">
        <f>VLOOKUP($A115,'OI(Volume)'!$A$7:$O$427,9)</f>
        <v>645000</v>
      </c>
      <c r="J115" s="103">
        <f>VLOOKUP($A115,'OI(Volume)'!$A$7:$O$427,11)</f>
        <v>4572500</v>
      </c>
      <c r="K115" s="103">
        <f>VLOOKUP($A115,'OI(Volume)'!$A$7:$O$427,12)</f>
        <v>253750</v>
      </c>
      <c r="L115" s="103">
        <f>VLOOKUP($A115,'OI(Value)'!$A$7:$O$306,8,0)</f>
        <v>505</v>
      </c>
      <c r="M115" s="103">
        <f>VLOOKUP($A115,'OI(Value)'!$A$7:$O$306,9,0)</f>
        <v>39</v>
      </c>
      <c r="N115" s="103">
        <f>VLOOKUP($A115,'OI(Value)'!$A$7:$O$306,11,0)</f>
        <v>277</v>
      </c>
      <c r="O115" s="103">
        <f>VLOOKUP($A115,'OI(Value)'!$A$7:$O$306,12,0)</f>
        <v>15</v>
      </c>
      <c r="P115" s="179">
        <f>VLOOKUP(A115,'OI(Value)'!A115:O316,8,0)</f>
        <v>505</v>
      </c>
      <c r="Q115" s="179">
        <f>VLOOKUP(A115,'OI(Value)'!A115:O316,9,0)</f>
        <v>39</v>
      </c>
      <c r="R115" s="179">
        <f>VLOOKUP(A115,'OI(Value)'!A115:O316,11,0)</f>
        <v>277</v>
      </c>
      <c r="S115" s="179">
        <f>VLOOKUP(A115,'OI(Value)'!A115:O316,11,0)</f>
        <v>277</v>
      </c>
    </row>
    <row r="116" spans="1:19" x14ac:dyDescent="0.25">
      <c r="A116" s="105" t="str">
        <f>'Data shares'!C111</f>
        <v>KALYANKJIL</v>
      </c>
      <c r="B116" s="143">
        <f>VLOOKUP($A116,'Data shares'!$C:$FA,118)</f>
        <v>0.53</v>
      </c>
      <c r="C116" s="143">
        <f>VLOOKUP($A116,'Data shares'!$C:$FA,119)</f>
        <v>0.54</v>
      </c>
      <c r="D116" s="143">
        <f>VLOOKUP($A116,'Data shares'!$C:$FA,121)*100</f>
        <v>-1.8499999999999999</v>
      </c>
      <c r="E116" s="143">
        <f>VLOOKUP($A116,'Data shares'!$C:$FA,124)</f>
        <v>0.39</v>
      </c>
      <c r="F116" s="143">
        <f>VLOOKUP($A116,'Data shares'!$C:$FA,125)</f>
        <v>0.35</v>
      </c>
      <c r="G116" s="143">
        <f>VLOOKUP($A116,'Data shares'!$C:$FA,127)*100</f>
        <v>11.43</v>
      </c>
      <c r="H116" s="103">
        <f>VLOOKUP($A116,'OI(Volume)'!$A$7:$O$427,8)</f>
        <v>14722750</v>
      </c>
      <c r="I116" s="103">
        <f>VLOOKUP($A116,'OI(Volume)'!$A$7:$O$427,9)</f>
        <v>316075</v>
      </c>
      <c r="J116" s="103">
        <f>VLOOKUP($A116,'OI(Volume)'!$A$7:$O$427,11)</f>
        <v>7872500</v>
      </c>
      <c r="K116" s="103">
        <f>VLOOKUP($A116,'OI(Volume)'!$A$7:$O$427,12)</f>
        <v>141000</v>
      </c>
      <c r="L116" s="103">
        <f>VLOOKUP($A116,'OI(Value)'!$A$7:$O$306,8,0)</f>
        <v>718</v>
      </c>
      <c r="M116" s="103">
        <f>VLOOKUP($A116,'OI(Value)'!$A$7:$O$306,9,0)</f>
        <v>15</v>
      </c>
      <c r="N116" s="103">
        <f>VLOOKUP($A116,'OI(Value)'!$A$7:$O$306,11,0)</f>
        <v>384</v>
      </c>
      <c r="O116" s="103">
        <f>VLOOKUP($A116,'OI(Value)'!$A$7:$O$306,12,0)</f>
        <v>7</v>
      </c>
      <c r="P116" s="179">
        <f>VLOOKUP(A116,'OI(Value)'!A116:O317,8,0)</f>
        <v>718</v>
      </c>
      <c r="Q116" s="179">
        <f>VLOOKUP(A116,'OI(Value)'!A116:O317,9,0)</f>
        <v>15</v>
      </c>
      <c r="R116" s="179">
        <f>VLOOKUP(A116,'OI(Value)'!A116:O317,11,0)</f>
        <v>384</v>
      </c>
      <c r="S116" s="179">
        <f>VLOOKUP(A116,'OI(Value)'!A116:O317,11,0)</f>
        <v>384</v>
      </c>
    </row>
    <row r="117" spans="1:19" x14ac:dyDescent="0.25">
      <c r="A117" s="105" t="str">
        <f>'Data shares'!C112</f>
        <v>KAYNES</v>
      </c>
      <c r="B117" s="143">
        <f>VLOOKUP($A117,'Data shares'!$C:$FA,118)</f>
        <v>0.49</v>
      </c>
      <c r="C117" s="143">
        <f>VLOOKUP($A117,'Data shares'!$C:$FA,119)</f>
        <v>0.48</v>
      </c>
      <c r="D117" s="143">
        <f>VLOOKUP($A117,'Data shares'!$C:$FA,121)*100</f>
        <v>2.08</v>
      </c>
      <c r="E117" s="143">
        <f>VLOOKUP($A117,'Data shares'!$C:$FA,124)</f>
        <v>0.33</v>
      </c>
      <c r="F117" s="143">
        <f>VLOOKUP($A117,'Data shares'!$C:$FA,125)</f>
        <v>0.45</v>
      </c>
      <c r="G117" s="143">
        <f>VLOOKUP($A117,'Data shares'!$C:$FA,127)*100</f>
        <v>-26.669999999999998</v>
      </c>
      <c r="H117" s="103">
        <f>VLOOKUP($A117,'OI(Volume)'!$A$7:$O$427,8)</f>
        <v>1583100</v>
      </c>
      <c r="I117" s="103">
        <f>VLOOKUP($A117,'OI(Volume)'!$A$7:$O$427,9)</f>
        <v>34500</v>
      </c>
      <c r="J117" s="103">
        <f>VLOOKUP($A117,'OI(Volume)'!$A$7:$O$427,11)</f>
        <v>778800</v>
      </c>
      <c r="K117" s="103">
        <f>VLOOKUP($A117,'OI(Volume)'!$A$7:$O$427,12)</f>
        <v>35600</v>
      </c>
      <c r="L117" s="103">
        <f>VLOOKUP($A117,'OI(Value)'!$A$7:$O$306,8,0)</f>
        <v>1130</v>
      </c>
      <c r="M117" s="103">
        <f>VLOOKUP($A117,'OI(Value)'!$A$7:$O$306,9,0)</f>
        <v>25</v>
      </c>
      <c r="N117" s="103">
        <f>VLOOKUP($A117,'OI(Value)'!$A$7:$O$306,11,0)</f>
        <v>556</v>
      </c>
      <c r="O117" s="103">
        <f>VLOOKUP($A117,'OI(Value)'!$A$7:$O$306,12,0)</f>
        <v>25</v>
      </c>
      <c r="P117" s="179">
        <f>VLOOKUP(A117,'OI(Value)'!A117:O318,8,0)</f>
        <v>1130</v>
      </c>
      <c r="Q117" s="179">
        <f>VLOOKUP(A117,'OI(Value)'!A117:O318,9,0)</f>
        <v>25</v>
      </c>
      <c r="R117" s="179">
        <f>VLOOKUP(A117,'OI(Value)'!A117:O318,11,0)</f>
        <v>556</v>
      </c>
      <c r="S117" s="179">
        <f>VLOOKUP(A117,'OI(Value)'!A117:O318,11,0)</f>
        <v>556</v>
      </c>
    </row>
    <row r="118" spans="1:19" x14ac:dyDescent="0.25">
      <c r="A118" s="105" t="str">
        <f>'Data shares'!C113</f>
        <v>KEI</v>
      </c>
      <c r="B118" s="143">
        <f>VLOOKUP($A118,'Data shares'!$C:$FA,118)</f>
        <v>0.81</v>
      </c>
      <c r="C118" s="143">
        <f>VLOOKUP($A118,'Data shares'!$C:$FA,119)</f>
        <v>0.75</v>
      </c>
      <c r="D118" s="143">
        <f>VLOOKUP($A118,'Data shares'!$C:$FA,121)*100</f>
        <v>8</v>
      </c>
      <c r="E118" s="143">
        <f>VLOOKUP($A118,'Data shares'!$C:$FA,124)</f>
        <v>0.68</v>
      </c>
      <c r="F118" s="143">
        <f>VLOOKUP($A118,'Data shares'!$C:$FA,125)</f>
        <v>0.48</v>
      </c>
      <c r="G118" s="143">
        <f>VLOOKUP($A118,'Data shares'!$C:$FA,127)*100</f>
        <v>41.67</v>
      </c>
      <c r="H118" s="103">
        <f>VLOOKUP($A118,'OI(Volume)'!$A$7:$O$427,8)</f>
        <v>377650</v>
      </c>
      <c r="I118" s="103">
        <f>VLOOKUP($A118,'OI(Volume)'!$A$7:$O$427,9)</f>
        <v>-18375</v>
      </c>
      <c r="J118" s="103">
        <f>VLOOKUP($A118,'OI(Volume)'!$A$7:$O$427,11)</f>
        <v>307125</v>
      </c>
      <c r="K118" s="103">
        <f>VLOOKUP($A118,'OI(Volume)'!$A$7:$O$427,12)</f>
        <v>8575</v>
      </c>
      <c r="L118" s="103">
        <f>VLOOKUP($A118,'OI(Value)'!$A$7:$O$306,8,0)</f>
        <v>162</v>
      </c>
      <c r="M118" s="103">
        <f>VLOOKUP($A118,'OI(Value)'!$A$7:$O$306,9,0)</f>
        <v>-8</v>
      </c>
      <c r="N118" s="103">
        <f>VLOOKUP($A118,'OI(Value)'!$A$7:$O$306,11,0)</f>
        <v>132</v>
      </c>
      <c r="O118" s="103">
        <f>VLOOKUP($A118,'OI(Value)'!$A$7:$O$306,12,0)</f>
        <v>4</v>
      </c>
      <c r="P118" s="179">
        <f>VLOOKUP(A118,'OI(Value)'!A118:O319,8,0)</f>
        <v>162</v>
      </c>
      <c r="Q118" s="179">
        <f>VLOOKUP(A118,'OI(Value)'!A118:O319,9,0)</f>
        <v>-8</v>
      </c>
      <c r="R118" s="179">
        <f>VLOOKUP(A118,'OI(Value)'!A118:O319,11,0)</f>
        <v>132</v>
      </c>
      <c r="S118" s="179">
        <f>VLOOKUP(A118,'OI(Value)'!A118:O319,11,0)</f>
        <v>132</v>
      </c>
    </row>
    <row r="119" spans="1:19" x14ac:dyDescent="0.25">
      <c r="A119" s="105" t="str">
        <f>'Data shares'!C114</f>
        <v>KFINTECH</v>
      </c>
      <c r="B119" s="143">
        <f>VLOOKUP($A119,'Data shares'!$C:$FA,118)</f>
        <v>0.75</v>
      </c>
      <c r="C119" s="143">
        <f>VLOOKUP($A119,'Data shares'!$C:$FA,119)</f>
        <v>0.53</v>
      </c>
      <c r="D119" s="143">
        <f>VLOOKUP($A119,'Data shares'!$C:$FA,121)*100</f>
        <v>41.510000000000005</v>
      </c>
      <c r="E119" s="143">
        <f>VLOOKUP($A119,'Data shares'!$C:$FA,124)</f>
        <v>0.46</v>
      </c>
      <c r="F119" s="143">
        <f>VLOOKUP($A119,'Data shares'!$C:$FA,125)</f>
        <v>0.36</v>
      </c>
      <c r="G119" s="143">
        <f>VLOOKUP($A119,'Data shares'!$C:$FA,127)*100</f>
        <v>27.779999999999998</v>
      </c>
      <c r="H119" s="103">
        <f>VLOOKUP($A119,'OI(Volume)'!$A$7:$O$427,8)</f>
        <v>1042650</v>
      </c>
      <c r="I119" s="103">
        <f>VLOOKUP($A119,'OI(Volume)'!$A$7:$O$427,9)</f>
        <v>-147150</v>
      </c>
      <c r="J119" s="103">
        <f>VLOOKUP($A119,'OI(Volume)'!$A$7:$O$427,11)</f>
        <v>778500</v>
      </c>
      <c r="K119" s="103">
        <f>VLOOKUP($A119,'OI(Volume)'!$A$7:$O$427,12)</f>
        <v>148950</v>
      </c>
      <c r="L119" s="103">
        <f>VLOOKUP($A119,'OI(Value)'!$A$7:$O$306,8,0)</f>
        <v>112</v>
      </c>
      <c r="M119" s="103">
        <f>VLOOKUP($A119,'OI(Value)'!$A$7:$O$306,9,0)</f>
        <v>-16</v>
      </c>
      <c r="N119" s="103">
        <f>VLOOKUP($A119,'OI(Value)'!$A$7:$O$306,11,0)</f>
        <v>84</v>
      </c>
      <c r="O119" s="103">
        <f>VLOOKUP($A119,'OI(Value)'!$A$7:$O$306,12,0)</f>
        <v>16</v>
      </c>
      <c r="P119" s="179">
        <f>VLOOKUP(A119,'OI(Value)'!A119:O320,8,0)</f>
        <v>112</v>
      </c>
      <c r="Q119" s="179">
        <f>VLOOKUP(A119,'OI(Value)'!A119:O320,9,0)</f>
        <v>-16</v>
      </c>
      <c r="R119" s="179">
        <f>VLOOKUP(A119,'OI(Value)'!A119:O320,11,0)</f>
        <v>84</v>
      </c>
      <c r="S119" s="179">
        <f>VLOOKUP(A119,'OI(Value)'!A119:O320,11,0)</f>
        <v>84</v>
      </c>
    </row>
    <row r="120" spans="1:19" x14ac:dyDescent="0.25">
      <c r="A120" s="105" t="str">
        <f>'Data shares'!C115</f>
        <v>KOTAKBANK</v>
      </c>
      <c r="B120" s="143">
        <f>VLOOKUP($A120,'Data shares'!$C:$FA,118)</f>
        <v>1.06</v>
      </c>
      <c r="C120" s="143">
        <f>VLOOKUP($A120,'Data shares'!$C:$FA,119)</f>
        <v>1.05</v>
      </c>
      <c r="D120" s="143">
        <f>VLOOKUP($A120,'Data shares'!$C:$FA,121)*100</f>
        <v>0.95</v>
      </c>
      <c r="E120" s="143">
        <f>VLOOKUP($A120,'Data shares'!$C:$FA,124)</f>
        <v>0.63</v>
      </c>
      <c r="F120" s="143">
        <f>VLOOKUP($A120,'Data shares'!$C:$FA,125)</f>
        <v>0.56999999999999995</v>
      </c>
      <c r="G120" s="143">
        <f>VLOOKUP($A120,'Data shares'!$C:$FA,127)*100</f>
        <v>10.530000000000001</v>
      </c>
      <c r="H120" s="103">
        <f>VLOOKUP($A120,'OI(Volume)'!$A$7:$O$427,8)</f>
        <v>8418800</v>
      </c>
      <c r="I120" s="103">
        <f>VLOOKUP($A120,'OI(Volume)'!$A$7:$O$427,9)</f>
        <v>82000</v>
      </c>
      <c r="J120" s="103">
        <f>VLOOKUP($A120,'OI(Volume)'!$A$7:$O$427,11)</f>
        <v>8953600</v>
      </c>
      <c r="K120" s="103">
        <f>VLOOKUP($A120,'OI(Volume)'!$A$7:$O$427,12)</f>
        <v>161600</v>
      </c>
      <c r="L120" s="103">
        <f>VLOOKUP($A120,'OI(Value)'!$A$7:$O$306,8,0)</f>
        <v>1815</v>
      </c>
      <c r="M120" s="103">
        <f>VLOOKUP($A120,'OI(Value)'!$A$7:$O$306,9,0)</f>
        <v>18</v>
      </c>
      <c r="N120" s="103">
        <f>VLOOKUP($A120,'OI(Value)'!$A$7:$O$306,11,0)</f>
        <v>1930</v>
      </c>
      <c r="O120" s="103">
        <f>VLOOKUP($A120,'OI(Value)'!$A$7:$O$306,12,0)</f>
        <v>35</v>
      </c>
      <c r="P120" s="179">
        <f>VLOOKUP(A120,'OI(Value)'!A120:O321,8,0)</f>
        <v>1815</v>
      </c>
      <c r="Q120" s="179">
        <f>VLOOKUP(A120,'OI(Value)'!A120:O321,9,0)</f>
        <v>18</v>
      </c>
      <c r="R120" s="179">
        <f>VLOOKUP(A120,'OI(Value)'!A120:O321,11,0)</f>
        <v>1930</v>
      </c>
      <c r="S120" s="179">
        <f>VLOOKUP(A120,'OI(Value)'!A120:O321,11,0)</f>
        <v>1930</v>
      </c>
    </row>
    <row r="121" spans="1:19" x14ac:dyDescent="0.25">
      <c r="A121" s="105" t="str">
        <f>'Data shares'!C116</f>
        <v>KPITTECH</v>
      </c>
      <c r="B121" s="143">
        <f>VLOOKUP($A121,'Data shares'!$C:$FA,118)</f>
        <v>0.66</v>
      </c>
      <c r="C121" s="143">
        <f>VLOOKUP($A121,'Data shares'!$C:$FA,119)</f>
        <v>0.64</v>
      </c>
      <c r="D121" s="143">
        <f>VLOOKUP($A121,'Data shares'!$C:$FA,121)*100</f>
        <v>3.1300000000000003</v>
      </c>
      <c r="E121" s="143">
        <f>VLOOKUP($A121,'Data shares'!$C:$FA,124)</f>
        <v>0.64</v>
      </c>
      <c r="F121" s="143">
        <f>VLOOKUP($A121,'Data shares'!$C:$FA,125)</f>
        <v>0.33</v>
      </c>
      <c r="G121" s="143">
        <f>VLOOKUP($A121,'Data shares'!$C:$FA,127)*100</f>
        <v>93.94</v>
      </c>
      <c r="H121" s="103">
        <f>VLOOKUP($A121,'OI(Volume)'!$A$7:$O$427,8)</f>
        <v>3413200</v>
      </c>
      <c r="I121" s="103">
        <f>VLOOKUP($A121,'OI(Volume)'!$A$7:$O$427,9)</f>
        <v>147600</v>
      </c>
      <c r="J121" s="103">
        <f>VLOOKUP($A121,'OI(Volume)'!$A$7:$O$427,11)</f>
        <v>2240800</v>
      </c>
      <c r="K121" s="103">
        <f>VLOOKUP($A121,'OI(Volume)'!$A$7:$O$427,12)</f>
        <v>143200</v>
      </c>
      <c r="L121" s="103">
        <f>VLOOKUP($A121,'OI(Value)'!$A$7:$O$306,8,0)</f>
        <v>394</v>
      </c>
      <c r="M121" s="103">
        <f>VLOOKUP($A121,'OI(Value)'!$A$7:$O$306,9,0)</f>
        <v>17</v>
      </c>
      <c r="N121" s="103">
        <f>VLOOKUP($A121,'OI(Value)'!$A$7:$O$306,11,0)</f>
        <v>259</v>
      </c>
      <c r="O121" s="103">
        <f>VLOOKUP($A121,'OI(Value)'!$A$7:$O$306,12,0)</f>
        <v>17</v>
      </c>
      <c r="P121" s="179">
        <f>VLOOKUP(A121,'OI(Value)'!A121:O322,8,0)</f>
        <v>394</v>
      </c>
      <c r="Q121" s="179">
        <f>VLOOKUP(A121,'OI(Value)'!A121:O322,9,0)</f>
        <v>17</v>
      </c>
      <c r="R121" s="179">
        <f>VLOOKUP(A121,'OI(Value)'!A121:O322,11,0)</f>
        <v>259</v>
      </c>
      <c r="S121" s="179">
        <f>VLOOKUP(A121,'OI(Value)'!A121:O322,11,0)</f>
        <v>259</v>
      </c>
    </row>
    <row r="122" spans="1:19" x14ac:dyDescent="0.25">
      <c r="A122" s="105" t="str">
        <f>'Data shares'!C117</f>
        <v>LAURUSLABS</v>
      </c>
      <c r="B122" s="143">
        <f>VLOOKUP($A122,'Data shares'!$C:$FA,118)</f>
        <v>0.56000000000000005</v>
      </c>
      <c r="C122" s="143">
        <f>VLOOKUP($A122,'Data shares'!$C:$FA,119)</f>
        <v>0.55000000000000004</v>
      </c>
      <c r="D122" s="143">
        <f>VLOOKUP($A122,'Data shares'!$C:$FA,121)*100</f>
        <v>1.82</v>
      </c>
      <c r="E122" s="143">
        <f>VLOOKUP($A122,'Data shares'!$C:$FA,124)</f>
        <v>0.39</v>
      </c>
      <c r="F122" s="143">
        <f>VLOOKUP($A122,'Data shares'!$C:$FA,125)</f>
        <v>0.37</v>
      </c>
      <c r="G122" s="143">
        <f>VLOOKUP($A122,'Data shares'!$C:$FA,127)*100</f>
        <v>5.41</v>
      </c>
      <c r="H122" s="103">
        <f>VLOOKUP($A122,'OI(Volume)'!$A$7:$O$427,8)</f>
        <v>13302500</v>
      </c>
      <c r="I122" s="103">
        <f>VLOOKUP($A122,'OI(Volume)'!$A$7:$O$427,9)</f>
        <v>1343000</v>
      </c>
      <c r="J122" s="103">
        <f>VLOOKUP($A122,'OI(Volume)'!$A$7:$O$427,11)</f>
        <v>7451100</v>
      </c>
      <c r="K122" s="103">
        <f>VLOOKUP($A122,'OI(Volume)'!$A$7:$O$427,12)</f>
        <v>907800</v>
      </c>
      <c r="L122" s="103">
        <f>VLOOKUP($A122,'OI(Value)'!$A$7:$O$306,8,0)</f>
        <v>1172</v>
      </c>
      <c r="M122" s="103">
        <f>VLOOKUP($A122,'OI(Value)'!$A$7:$O$306,9,0)</f>
        <v>118</v>
      </c>
      <c r="N122" s="103">
        <f>VLOOKUP($A122,'OI(Value)'!$A$7:$O$306,11,0)</f>
        <v>656</v>
      </c>
      <c r="O122" s="103">
        <f>VLOOKUP($A122,'OI(Value)'!$A$7:$O$306,12,0)</f>
        <v>80</v>
      </c>
      <c r="P122" s="179">
        <f>VLOOKUP(A122,'OI(Value)'!A122:O323,8,0)</f>
        <v>1172</v>
      </c>
      <c r="Q122" s="179">
        <f>VLOOKUP(A122,'OI(Value)'!A122:O323,9,0)</f>
        <v>118</v>
      </c>
      <c r="R122" s="179">
        <f>VLOOKUP(A122,'OI(Value)'!A122:O323,11,0)</f>
        <v>656</v>
      </c>
      <c r="S122" s="179">
        <f>VLOOKUP(A122,'OI(Value)'!A122:O323,11,0)</f>
        <v>656</v>
      </c>
    </row>
    <row r="123" spans="1:19" x14ac:dyDescent="0.25">
      <c r="A123" s="105" t="str">
        <f>'Data shares'!C118</f>
        <v>LICHSGFIN</v>
      </c>
      <c r="B123" s="143">
        <f>VLOOKUP($A123,'Data shares'!$C:$FA,118)</f>
        <v>0.73</v>
      </c>
      <c r="C123" s="143">
        <f>VLOOKUP($A123,'Data shares'!$C:$FA,119)</f>
        <v>0.73</v>
      </c>
      <c r="D123" s="143">
        <f>VLOOKUP($A123,'Data shares'!$C:$FA,121)*100</f>
        <v>0</v>
      </c>
      <c r="E123" s="143">
        <f>VLOOKUP($A123,'Data shares'!$C:$FA,124)</f>
        <v>0.37</v>
      </c>
      <c r="F123" s="143">
        <f>VLOOKUP($A123,'Data shares'!$C:$FA,125)</f>
        <v>0.34</v>
      </c>
      <c r="G123" s="143">
        <f>VLOOKUP($A123,'Data shares'!$C:$FA,127)*100</f>
        <v>8.82</v>
      </c>
      <c r="H123" s="103">
        <f>VLOOKUP($A123,'OI(Volume)'!$A$7:$O$427,8)</f>
        <v>9090000</v>
      </c>
      <c r="I123" s="103">
        <f>VLOOKUP($A123,'OI(Volume)'!$A$7:$O$427,9)</f>
        <v>97000</v>
      </c>
      <c r="J123" s="103">
        <f>VLOOKUP($A123,'OI(Volume)'!$A$7:$O$427,11)</f>
        <v>6623000</v>
      </c>
      <c r="K123" s="103">
        <f>VLOOKUP($A123,'OI(Volume)'!$A$7:$O$427,12)</f>
        <v>37000</v>
      </c>
      <c r="L123" s="103">
        <f>VLOOKUP($A123,'OI(Value)'!$A$7:$O$306,8,0)</f>
        <v>518</v>
      </c>
      <c r="M123" s="103">
        <f>VLOOKUP($A123,'OI(Value)'!$A$7:$O$306,9,0)</f>
        <v>6</v>
      </c>
      <c r="N123" s="103">
        <f>VLOOKUP($A123,'OI(Value)'!$A$7:$O$306,11,0)</f>
        <v>378</v>
      </c>
      <c r="O123" s="103">
        <f>VLOOKUP($A123,'OI(Value)'!$A$7:$O$306,12,0)</f>
        <v>2</v>
      </c>
      <c r="P123" s="179">
        <f>VLOOKUP(A123,'OI(Value)'!A123:O324,8,0)</f>
        <v>518</v>
      </c>
      <c r="Q123" s="179">
        <f>VLOOKUP(A123,'OI(Value)'!A123:O324,9,0)</f>
        <v>6</v>
      </c>
      <c r="R123" s="179">
        <f>VLOOKUP(A123,'OI(Value)'!A123:O324,11,0)</f>
        <v>378</v>
      </c>
      <c r="S123" s="179">
        <f>VLOOKUP(A123,'OI(Value)'!A123:O324,11,0)</f>
        <v>378</v>
      </c>
    </row>
    <row r="124" spans="1:19" x14ac:dyDescent="0.25">
      <c r="A124" s="105" t="str">
        <f>'Data shares'!C119</f>
        <v>LICI</v>
      </c>
      <c r="B124" s="143">
        <f>VLOOKUP($A124,'Data shares'!$C:$FA,118)</f>
        <v>0.42</v>
      </c>
      <c r="C124" s="143">
        <f>VLOOKUP($A124,'Data shares'!$C:$FA,119)</f>
        <v>0.43</v>
      </c>
      <c r="D124" s="143">
        <f>VLOOKUP($A124,'Data shares'!$C:$FA,121)*100</f>
        <v>-2.33</v>
      </c>
      <c r="E124" s="143">
        <f>VLOOKUP($A124,'Data shares'!$C:$FA,124)</f>
        <v>0.31</v>
      </c>
      <c r="F124" s="143">
        <f>VLOOKUP($A124,'Data shares'!$C:$FA,125)</f>
        <v>0.27</v>
      </c>
      <c r="G124" s="143">
        <f>VLOOKUP($A124,'Data shares'!$C:$FA,127)*100</f>
        <v>14.81</v>
      </c>
      <c r="H124" s="103">
        <f>VLOOKUP($A124,'OI(Volume)'!$A$7:$O$427,8)</f>
        <v>4687900</v>
      </c>
      <c r="I124" s="103">
        <f>VLOOKUP($A124,'OI(Volume)'!$A$7:$O$427,9)</f>
        <v>132300</v>
      </c>
      <c r="J124" s="103">
        <f>VLOOKUP($A124,'OI(Volume)'!$A$7:$O$427,11)</f>
        <v>1975400</v>
      </c>
      <c r="K124" s="103">
        <f>VLOOKUP($A124,'OI(Volume)'!$A$7:$O$427,12)</f>
        <v>30800</v>
      </c>
      <c r="L124" s="103">
        <f>VLOOKUP($A124,'OI(Value)'!$A$7:$O$306,8,0)</f>
        <v>423</v>
      </c>
      <c r="M124" s="103">
        <f>VLOOKUP($A124,'OI(Value)'!$A$7:$O$306,9,0)</f>
        <v>12</v>
      </c>
      <c r="N124" s="103">
        <f>VLOOKUP($A124,'OI(Value)'!$A$7:$O$306,11,0)</f>
        <v>178</v>
      </c>
      <c r="O124" s="103">
        <f>VLOOKUP($A124,'OI(Value)'!$A$7:$O$306,12,0)</f>
        <v>3</v>
      </c>
      <c r="P124" s="179">
        <f>VLOOKUP(A124,'OI(Value)'!A124:O325,8,0)</f>
        <v>423</v>
      </c>
      <c r="Q124" s="179">
        <f>VLOOKUP(A124,'OI(Value)'!A124:O325,9,0)</f>
        <v>12</v>
      </c>
      <c r="R124" s="179">
        <f>VLOOKUP(A124,'OI(Value)'!A124:O325,11,0)</f>
        <v>178</v>
      </c>
      <c r="S124" s="179">
        <f>VLOOKUP(A124,'OI(Value)'!A124:O325,11,0)</f>
        <v>178</v>
      </c>
    </row>
    <row r="125" spans="1:19" x14ac:dyDescent="0.25">
      <c r="A125" s="105" t="str">
        <f>'Data shares'!C120</f>
        <v>LODHA</v>
      </c>
      <c r="B125" s="143">
        <f>VLOOKUP($A125,'Data shares'!$C:$FA,118)</f>
        <v>0.64</v>
      </c>
      <c r="C125" s="143">
        <f>VLOOKUP($A125,'Data shares'!$C:$FA,119)</f>
        <v>0.63</v>
      </c>
      <c r="D125" s="143">
        <f>VLOOKUP($A125,'Data shares'!$C:$FA,121)*100</f>
        <v>1.59</v>
      </c>
      <c r="E125" s="143">
        <f>VLOOKUP($A125,'Data shares'!$C:$FA,124)</f>
        <v>0.22</v>
      </c>
      <c r="F125" s="143">
        <f>VLOOKUP($A125,'Data shares'!$C:$FA,125)</f>
        <v>0.34</v>
      </c>
      <c r="G125" s="143">
        <f>VLOOKUP($A125,'Data shares'!$C:$FA,127)*100</f>
        <v>-35.29</v>
      </c>
      <c r="H125" s="103">
        <f>VLOOKUP($A125,'OI(Volume)'!$A$7:$O$427,8)</f>
        <v>3424500</v>
      </c>
      <c r="I125" s="103">
        <f>VLOOKUP($A125,'OI(Volume)'!$A$7:$O$427,9)</f>
        <v>-56250</v>
      </c>
      <c r="J125" s="103">
        <f>VLOOKUP($A125,'OI(Volume)'!$A$7:$O$427,11)</f>
        <v>2193750</v>
      </c>
      <c r="K125" s="103">
        <f>VLOOKUP($A125,'OI(Volume)'!$A$7:$O$427,12)</f>
        <v>14400</v>
      </c>
      <c r="L125" s="103">
        <f>VLOOKUP($A125,'OI(Value)'!$A$7:$O$306,8,0)</f>
        <v>397</v>
      </c>
      <c r="M125" s="103">
        <f>VLOOKUP($A125,'OI(Value)'!$A$7:$O$306,9,0)</f>
        <v>-7</v>
      </c>
      <c r="N125" s="103">
        <f>VLOOKUP($A125,'OI(Value)'!$A$7:$O$306,11,0)</f>
        <v>254</v>
      </c>
      <c r="O125" s="103">
        <f>VLOOKUP($A125,'OI(Value)'!$A$7:$O$306,12,0)</f>
        <v>2</v>
      </c>
      <c r="P125" s="179">
        <f>VLOOKUP(A125,'OI(Value)'!A125:O326,8,0)</f>
        <v>397</v>
      </c>
      <c r="Q125" s="179">
        <f>VLOOKUP(A125,'OI(Value)'!A125:O326,9,0)</f>
        <v>-7</v>
      </c>
      <c r="R125" s="179">
        <f>VLOOKUP(A125,'OI(Value)'!A125:O326,11,0)</f>
        <v>254</v>
      </c>
      <c r="S125" s="179">
        <f>VLOOKUP(A125,'OI(Value)'!A125:O326,11,0)</f>
        <v>254</v>
      </c>
    </row>
    <row r="126" spans="1:19" x14ac:dyDescent="0.25">
      <c r="A126" s="105" t="str">
        <f>'Data shares'!C121</f>
        <v>LT</v>
      </c>
      <c r="B126" s="143">
        <f>VLOOKUP($A126,'Data shares'!$C:$FA,118)</f>
        <v>0.5</v>
      </c>
      <c r="C126" s="143">
        <f>VLOOKUP($A126,'Data shares'!$C:$FA,119)</f>
        <v>0.5</v>
      </c>
      <c r="D126" s="143">
        <f>VLOOKUP($A126,'Data shares'!$C:$FA,121)*100</f>
        <v>0</v>
      </c>
      <c r="E126" s="143">
        <f>VLOOKUP($A126,'Data shares'!$C:$FA,124)</f>
        <v>0.4</v>
      </c>
      <c r="F126" s="143">
        <f>VLOOKUP($A126,'Data shares'!$C:$FA,125)</f>
        <v>0.42</v>
      </c>
      <c r="G126" s="143">
        <f>VLOOKUP($A126,'Data shares'!$C:$FA,127)*100</f>
        <v>-4.7600000000000007</v>
      </c>
      <c r="H126" s="103">
        <f>VLOOKUP($A126,'OI(Volume)'!$A$7:$O$427,8)</f>
        <v>6306475</v>
      </c>
      <c r="I126" s="103">
        <f>VLOOKUP($A126,'OI(Volume)'!$A$7:$O$427,9)</f>
        <v>501025</v>
      </c>
      <c r="J126" s="103">
        <f>VLOOKUP($A126,'OI(Volume)'!$A$7:$O$427,11)</f>
        <v>3140725</v>
      </c>
      <c r="K126" s="103">
        <f>VLOOKUP($A126,'OI(Volume)'!$A$7:$O$427,12)</f>
        <v>227675</v>
      </c>
      <c r="L126" s="103">
        <f>VLOOKUP($A126,'OI(Value)'!$A$7:$O$306,8,0)</f>
        <v>2399</v>
      </c>
      <c r="M126" s="103">
        <f>VLOOKUP($A126,'OI(Value)'!$A$7:$O$306,9,0)</f>
        <v>191</v>
      </c>
      <c r="N126" s="103">
        <f>VLOOKUP($A126,'OI(Value)'!$A$7:$O$306,11,0)</f>
        <v>1195</v>
      </c>
      <c r="O126" s="103">
        <f>VLOOKUP($A126,'OI(Value)'!$A$7:$O$306,12,0)</f>
        <v>87</v>
      </c>
      <c r="P126" s="179">
        <f>VLOOKUP(A126,'OI(Value)'!A126:O327,8,0)</f>
        <v>2399</v>
      </c>
      <c r="Q126" s="179">
        <f>VLOOKUP(A126,'OI(Value)'!A126:O327,9,0)</f>
        <v>191</v>
      </c>
      <c r="R126" s="179">
        <f>VLOOKUP(A126,'OI(Value)'!A126:O327,11,0)</f>
        <v>1195</v>
      </c>
      <c r="S126" s="179">
        <f>VLOOKUP(A126,'OI(Value)'!A126:O327,11,0)</f>
        <v>1195</v>
      </c>
    </row>
    <row r="127" spans="1:19" x14ac:dyDescent="0.25">
      <c r="A127" s="105" t="str">
        <f>'Data shares'!C122</f>
        <v>LTF</v>
      </c>
      <c r="B127" s="143">
        <f>VLOOKUP($A127,'Data shares'!$C:$FA,118)</f>
        <v>0.88</v>
      </c>
      <c r="C127" s="143">
        <f>VLOOKUP($A127,'Data shares'!$C:$FA,119)</f>
        <v>0.91</v>
      </c>
      <c r="D127" s="143">
        <f>VLOOKUP($A127,'Data shares'!$C:$FA,121)*100</f>
        <v>-3.3000000000000003</v>
      </c>
      <c r="E127" s="143">
        <f>VLOOKUP($A127,'Data shares'!$C:$FA,124)</f>
        <v>0.75</v>
      </c>
      <c r="F127" s="143">
        <f>VLOOKUP($A127,'Data shares'!$C:$FA,125)</f>
        <v>0.8</v>
      </c>
      <c r="G127" s="143">
        <f>VLOOKUP($A127,'Data shares'!$C:$FA,127)*100</f>
        <v>-6.25</v>
      </c>
      <c r="H127" s="103">
        <f>VLOOKUP($A127,'OI(Volume)'!$A$7:$O$427,8)</f>
        <v>27392218</v>
      </c>
      <c r="I127" s="103">
        <f>VLOOKUP($A127,'OI(Volume)'!$A$7:$O$427,9)</f>
        <v>1552776</v>
      </c>
      <c r="J127" s="103">
        <f>VLOOKUP($A127,'OI(Volume)'!$A$7:$O$427,11)</f>
        <v>24117110</v>
      </c>
      <c r="K127" s="103">
        <f>VLOOKUP($A127,'OI(Volume)'!$A$7:$O$427,12)</f>
        <v>566674</v>
      </c>
      <c r="L127" s="103">
        <f>VLOOKUP($A127,'OI(Value)'!$A$7:$O$306,8,0)</f>
        <v>704</v>
      </c>
      <c r="M127" s="103">
        <f>VLOOKUP($A127,'OI(Value)'!$A$7:$O$306,9,0)</f>
        <v>40</v>
      </c>
      <c r="N127" s="103">
        <f>VLOOKUP($A127,'OI(Value)'!$A$7:$O$306,11,0)</f>
        <v>620</v>
      </c>
      <c r="O127" s="103">
        <f>VLOOKUP($A127,'OI(Value)'!$A$7:$O$306,12,0)</f>
        <v>15</v>
      </c>
      <c r="P127" s="179">
        <f>VLOOKUP(A127,'OI(Value)'!A127:O328,8,0)</f>
        <v>704</v>
      </c>
      <c r="Q127" s="179">
        <f>VLOOKUP(A127,'OI(Value)'!A127:O328,9,0)</f>
        <v>40</v>
      </c>
      <c r="R127" s="179">
        <f>VLOOKUP(A127,'OI(Value)'!A127:O328,11,0)</f>
        <v>620</v>
      </c>
      <c r="S127" s="179">
        <f>VLOOKUP(A127,'OI(Value)'!A127:O328,11,0)</f>
        <v>620</v>
      </c>
    </row>
    <row r="128" spans="1:19" x14ac:dyDescent="0.25">
      <c r="A128" s="105" t="str">
        <f>'Data shares'!C123</f>
        <v>LTIM</v>
      </c>
      <c r="B128" s="143">
        <f>VLOOKUP($A128,'Data shares'!$C:$FA,118)</f>
        <v>0.73</v>
      </c>
      <c r="C128" s="143">
        <f>VLOOKUP($A128,'Data shares'!$C:$FA,119)</f>
        <v>0.72</v>
      </c>
      <c r="D128" s="143">
        <f>VLOOKUP($A128,'Data shares'!$C:$FA,121)*100</f>
        <v>1.39</v>
      </c>
      <c r="E128" s="143">
        <f>VLOOKUP($A128,'Data shares'!$C:$FA,124)</f>
        <v>0.54</v>
      </c>
      <c r="F128" s="143">
        <f>VLOOKUP($A128,'Data shares'!$C:$FA,125)</f>
        <v>0.44</v>
      </c>
      <c r="G128" s="143">
        <f>VLOOKUP($A128,'Data shares'!$C:$FA,127)*100</f>
        <v>22.73</v>
      </c>
      <c r="H128" s="103">
        <f>VLOOKUP($A128,'OI(Volume)'!$A$7:$O$427,8)</f>
        <v>809400</v>
      </c>
      <c r="I128" s="103">
        <f>VLOOKUP($A128,'OI(Volume)'!$A$7:$O$427,9)</f>
        <v>13950</v>
      </c>
      <c r="J128" s="103">
        <f>VLOOKUP($A128,'OI(Volume)'!$A$7:$O$427,11)</f>
        <v>590400</v>
      </c>
      <c r="K128" s="103">
        <f>VLOOKUP($A128,'OI(Volume)'!$A$7:$O$427,12)</f>
        <v>16050</v>
      </c>
      <c r="L128" s="103">
        <f>VLOOKUP($A128,'OI(Value)'!$A$7:$O$306,8,0)</f>
        <v>444</v>
      </c>
      <c r="M128" s="103">
        <f>VLOOKUP($A128,'OI(Value)'!$A$7:$O$306,9,0)</f>
        <v>8</v>
      </c>
      <c r="N128" s="103">
        <f>VLOOKUP($A128,'OI(Value)'!$A$7:$O$306,11,0)</f>
        <v>324</v>
      </c>
      <c r="O128" s="103">
        <f>VLOOKUP($A128,'OI(Value)'!$A$7:$O$306,12,0)</f>
        <v>9</v>
      </c>
      <c r="P128" s="179">
        <f>VLOOKUP(A128,'OI(Value)'!A128:O329,8,0)</f>
        <v>444</v>
      </c>
      <c r="Q128" s="179">
        <f>VLOOKUP(A128,'OI(Value)'!A128:O329,9,0)</f>
        <v>8</v>
      </c>
      <c r="R128" s="179">
        <f>VLOOKUP(A128,'OI(Value)'!A128:O329,11,0)</f>
        <v>324</v>
      </c>
      <c r="S128" s="179">
        <f>VLOOKUP(A128,'OI(Value)'!A128:O329,11,0)</f>
        <v>324</v>
      </c>
    </row>
    <row r="129" spans="1:19" x14ac:dyDescent="0.25">
      <c r="A129" s="105" t="str">
        <f>'Data shares'!C124</f>
        <v>LUPIN</v>
      </c>
      <c r="B129" s="143">
        <f>VLOOKUP($A129,'Data shares'!$C:$FA,118)</f>
        <v>0.68</v>
      </c>
      <c r="C129" s="143">
        <f>VLOOKUP($A129,'Data shares'!$C:$FA,119)</f>
        <v>0.67</v>
      </c>
      <c r="D129" s="143">
        <f>VLOOKUP($A129,'Data shares'!$C:$FA,121)*100</f>
        <v>1.49</v>
      </c>
      <c r="E129" s="143">
        <f>VLOOKUP($A129,'Data shares'!$C:$FA,124)</f>
        <v>0.41</v>
      </c>
      <c r="F129" s="143">
        <f>VLOOKUP($A129,'Data shares'!$C:$FA,125)</f>
        <v>0.35</v>
      </c>
      <c r="G129" s="143">
        <f>VLOOKUP($A129,'Data shares'!$C:$FA,127)*100</f>
        <v>17.14</v>
      </c>
      <c r="H129" s="103">
        <f>VLOOKUP($A129,'OI(Volume)'!$A$7:$O$427,8)</f>
        <v>3256775</v>
      </c>
      <c r="I129" s="103">
        <f>VLOOKUP($A129,'OI(Volume)'!$A$7:$O$427,9)</f>
        <v>-139825</v>
      </c>
      <c r="J129" s="103">
        <f>VLOOKUP($A129,'OI(Volume)'!$A$7:$O$427,11)</f>
        <v>2203625</v>
      </c>
      <c r="K129" s="103">
        <f>VLOOKUP($A129,'OI(Volume)'!$A$7:$O$427,12)</f>
        <v>-85425</v>
      </c>
      <c r="L129" s="103">
        <f>VLOOKUP($A129,'OI(Value)'!$A$7:$O$306,8,0)</f>
        <v>642</v>
      </c>
      <c r="M129" s="103">
        <f>VLOOKUP($A129,'OI(Value)'!$A$7:$O$306,9,0)</f>
        <v>-28</v>
      </c>
      <c r="N129" s="103">
        <f>VLOOKUP($A129,'OI(Value)'!$A$7:$O$306,11,0)</f>
        <v>434</v>
      </c>
      <c r="O129" s="103">
        <f>VLOOKUP($A129,'OI(Value)'!$A$7:$O$306,12,0)</f>
        <v>-17</v>
      </c>
      <c r="P129" s="179">
        <f>VLOOKUP(A129,'OI(Value)'!A129:O330,8,0)</f>
        <v>642</v>
      </c>
      <c r="Q129" s="179">
        <f>VLOOKUP(A129,'OI(Value)'!A129:O330,9,0)</f>
        <v>-28</v>
      </c>
      <c r="R129" s="179">
        <f>VLOOKUP(A129,'OI(Value)'!A129:O330,11,0)</f>
        <v>434</v>
      </c>
      <c r="S129" s="179">
        <f>VLOOKUP(A129,'OI(Value)'!A129:O330,11,0)</f>
        <v>434</v>
      </c>
    </row>
    <row r="130" spans="1:19" x14ac:dyDescent="0.25">
      <c r="A130" s="105" t="str">
        <f>'Data shares'!C125</f>
        <v>M&amp;M</v>
      </c>
      <c r="B130" s="143">
        <f>VLOOKUP($A130,'Data shares'!$C:$FA,118)</f>
        <v>0.51</v>
      </c>
      <c r="C130" s="143">
        <f>VLOOKUP($A130,'Data shares'!$C:$FA,119)</f>
        <v>0.5</v>
      </c>
      <c r="D130" s="143">
        <f>VLOOKUP($A130,'Data shares'!$C:$FA,121)*100</f>
        <v>2</v>
      </c>
      <c r="E130" s="143">
        <f>VLOOKUP($A130,'Data shares'!$C:$FA,124)</f>
        <v>0.36</v>
      </c>
      <c r="F130" s="143">
        <f>VLOOKUP($A130,'Data shares'!$C:$FA,125)</f>
        <v>0.45</v>
      </c>
      <c r="G130" s="143">
        <f>VLOOKUP($A130,'Data shares'!$C:$FA,127)*100</f>
        <v>-20</v>
      </c>
      <c r="H130" s="103">
        <f>VLOOKUP($A130,'OI(Volume)'!$A$7:$O$427,8)</f>
        <v>6057200</v>
      </c>
      <c r="I130" s="103">
        <f>VLOOKUP($A130,'OI(Volume)'!$A$7:$O$427,9)</f>
        <v>58200</v>
      </c>
      <c r="J130" s="103">
        <f>VLOOKUP($A130,'OI(Volume)'!$A$7:$O$427,11)</f>
        <v>3073000</v>
      </c>
      <c r="K130" s="103">
        <f>VLOOKUP($A130,'OI(Volume)'!$A$7:$O$427,12)</f>
        <v>71600</v>
      </c>
      <c r="L130" s="103">
        <f>VLOOKUP($A130,'OI(Value)'!$A$7:$O$306,8,0)</f>
        <v>2104</v>
      </c>
      <c r="M130" s="103">
        <f>VLOOKUP($A130,'OI(Value)'!$A$7:$O$306,9,0)</f>
        <v>20</v>
      </c>
      <c r="N130" s="103">
        <f>VLOOKUP($A130,'OI(Value)'!$A$7:$O$306,11,0)</f>
        <v>1067</v>
      </c>
      <c r="O130" s="103">
        <f>VLOOKUP($A130,'OI(Value)'!$A$7:$O$306,12,0)</f>
        <v>25</v>
      </c>
      <c r="P130" s="179">
        <f>VLOOKUP(A130,'OI(Value)'!A130:O331,8,0)</f>
        <v>2104</v>
      </c>
      <c r="Q130" s="179">
        <f>VLOOKUP(A130,'OI(Value)'!A130:O331,9,0)</f>
        <v>20</v>
      </c>
      <c r="R130" s="179">
        <f>VLOOKUP(A130,'OI(Value)'!A130:O331,11,0)</f>
        <v>1067</v>
      </c>
      <c r="S130" s="179">
        <f>VLOOKUP(A130,'OI(Value)'!A130:O331,11,0)</f>
        <v>1067</v>
      </c>
    </row>
    <row r="131" spans="1:19" x14ac:dyDescent="0.25">
      <c r="A131" s="105" t="str">
        <f>'Data shares'!C126</f>
        <v>MANAPPURAM</v>
      </c>
      <c r="B131" s="143">
        <f>VLOOKUP($A131,'Data shares'!$C:$FA,118)</f>
        <v>0.63</v>
      </c>
      <c r="C131" s="143">
        <f>VLOOKUP($A131,'Data shares'!$C:$FA,119)</f>
        <v>0.63</v>
      </c>
      <c r="D131" s="143">
        <f>VLOOKUP($A131,'Data shares'!$C:$FA,121)*100</f>
        <v>0</v>
      </c>
      <c r="E131" s="143">
        <f>VLOOKUP($A131,'Data shares'!$C:$FA,124)</f>
        <v>0.5</v>
      </c>
      <c r="F131" s="143">
        <f>VLOOKUP($A131,'Data shares'!$C:$FA,125)</f>
        <v>0.53</v>
      </c>
      <c r="G131" s="143">
        <f>VLOOKUP($A131,'Data shares'!$C:$FA,127)*100</f>
        <v>-5.66</v>
      </c>
      <c r="H131" s="103">
        <f>VLOOKUP($A131,'OI(Volume)'!$A$7:$O$427,8)</f>
        <v>12510000</v>
      </c>
      <c r="I131" s="103">
        <f>VLOOKUP($A131,'OI(Volume)'!$A$7:$O$427,9)</f>
        <v>2535000</v>
      </c>
      <c r="J131" s="103">
        <f>VLOOKUP($A131,'OI(Volume)'!$A$7:$O$427,11)</f>
        <v>7860000</v>
      </c>
      <c r="K131" s="103">
        <f>VLOOKUP($A131,'OI(Volume)'!$A$7:$O$427,12)</f>
        <v>1554000</v>
      </c>
      <c r="L131" s="103">
        <f>VLOOKUP($A131,'OI(Value)'!$A$7:$O$306,8,0)</f>
        <v>358</v>
      </c>
      <c r="M131" s="103">
        <f>VLOOKUP($A131,'OI(Value)'!$A$7:$O$306,9,0)</f>
        <v>73</v>
      </c>
      <c r="N131" s="103">
        <f>VLOOKUP($A131,'OI(Value)'!$A$7:$O$306,11,0)</f>
        <v>225</v>
      </c>
      <c r="O131" s="103">
        <f>VLOOKUP($A131,'OI(Value)'!$A$7:$O$306,12,0)</f>
        <v>45</v>
      </c>
      <c r="P131" s="179">
        <f>VLOOKUP(A131,'OI(Value)'!A131:O332,8,0)</f>
        <v>358</v>
      </c>
      <c r="Q131" s="179">
        <f>VLOOKUP(A131,'OI(Value)'!A131:O332,9,0)</f>
        <v>73</v>
      </c>
      <c r="R131" s="179">
        <f>VLOOKUP(A131,'OI(Value)'!A131:O332,11,0)</f>
        <v>225</v>
      </c>
      <c r="S131" s="179">
        <f>VLOOKUP(A131,'OI(Value)'!A131:O332,11,0)</f>
        <v>225</v>
      </c>
    </row>
    <row r="132" spans="1:19" x14ac:dyDescent="0.25">
      <c r="A132" s="105" t="str">
        <f>'Data shares'!C127</f>
        <v>MANKIND</v>
      </c>
      <c r="B132" s="143">
        <f>VLOOKUP($A132,'Data shares'!$C:$FA,118)</f>
        <v>0.49</v>
      </c>
      <c r="C132" s="143">
        <f>VLOOKUP($A132,'Data shares'!$C:$FA,119)</f>
        <v>0.56000000000000005</v>
      </c>
      <c r="D132" s="143">
        <f>VLOOKUP($A132,'Data shares'!$C:$FA,121)*100</f>
        <v>-12.5</v>
      </c>
      <c r="E132" s="143">
        <f>VLOOKUP($A132,'Data shares'!$C:$FA,124)</f>
        <v>0.2</v>
      </c>
      <c r="F132" s="143">
        <f>VLOOKUP($A132,'Data shares'!$C:$FA,125)</f>
        <v>0.27</v>
      </c>
      <c r="G132" s="143">
        <f>VLOOKUP($A132,'Data shares'!$C:$FA,127)*100</f>
        <v>-25.929999999999996</v>
      </c>
      <c r="H132" s="103">
        <f>VLOOKUP($A132,'OI(Volume)'!$A$7:$O$427,8)</f>
        <v>702675</v>
      </c>
      <c r="I132" s="103">
        <f>VLOOKUP($A132,'OI(Volume)'!$A$7:$O$427,9)</f>
        <v>96075</v>
      </c>
      <c r="J132" s="103">
        <f>VLOOKUP($A132,'OI(Volume)'!$A$7:$O$427,11)</f>
        <v>346500</v>
      </c>
      <c r="K132" s="103">
        <f>VLOOKUP($A132,'OI(Volume)'!$A$7:$O$427,12)</f>
        <v>6525</v>
      </c>
      <c r="L132" s="103">
        <f>VLOOKUP($A132,'OI(Value)'!$A$7:$O$306,8,0)</f>
        <v>173</v>
      </c>
      <c r="M132" s="103">
        <f>VLOOKUP($A132,'OI(Value)'!$A$7:$O$306,9,0)</f>
        <v>24</v>
      </c>
      <c r="N132" s="103">
        <f>VLOOKUP($A132,'OI(Value)'!$A$7:$O$306,11,0)</f>
        <v>85</v>
      </c>
      <c r="O132" s="103">
        <f>VLOOKUP($A132,'OI(Value)'!$A$7:$O$306,12,0)</f>
        <v>2</v>
      </c>
      <c r="P132" s="179">
        <f>VLOOKUP(A132,'OI(Value)'!A132:O333,8,0)</f>
        <v>173</v>
      </c>
      <c r="Q132" s="179">
        <f>VLOOKUP(A132,'OI(Value)'!A132:O333,9,0)</f>
        <v>24</v>
      </c>
      <c r="R132" s="179">
        <f>VLOOKUP(A132,'OI(Value)'!A132:O333,11,0)</f>
        <v>85</v>
      </c>
      <c r="S132" s="179">
        <f>VLOOKUP(A132,'OI(Value)'!A132:O333,11,0)</f>
        <v>85</v>
      </c>
    </row>
    <row r="133" spans="1:19" x14ac:dyDescent="0.25">
      <c r="A133" s="105" t="str">
        <f>'Data shares'!C128</f>
        <v>MARICO</v>
      </c>
      <c r="B133" s="143">
        <f>VLOOKUP($A133,'Data shares'!$C:$FA,118)</f>
        <v>0.66</v>
      </c>
      <c r="C133" s="143">
        <f>VLOOKUP($A133,'Data shares'!$C:$FA,119)</f>
        <v>0.68</v>
      </c>
      <c r="D133" s="143">
        <f>VLOOKUP($A133,'Data shares'!$C:$FA,121)*100</f>
        <v>-2.94</v>
      </c>
      <c r="E133" s="143">
        <f>VLOOKUP($A133,'Data shares'!$C:$FA,124)</f>
        <v>0.46</v>
      </c>
      <c r="F133" s="143">
        <f>VLOOKUP($A133,'Data shares'!$C:$FA,125)</f>
        <v>0.44</v>
      </c>
      <c r="G133" s="143">
        <f>VLOOKUP($A133,'Data shares'!$C:$FA,127)*100</f>
        <v>4.55</v>
      </c>
      <c r="H133" s="103">
        <f>VLOOKUP($A133,'OI(Volume)'!$A$7:$O$427,8)</f>
        <v>3433200</v>
      </c>
      <c r="I133" s="103">
        <f>VLOOKUP($A133,'OI(Volume)'!$A$7:$O$427,9)</f>
        <v>84000</v>
      </c>
      <c r="J133" s="103">
        <f>VLOOKUP($A133,'OI(Volume)'!$A$7:$O$427,11)</f>
        <v>2260800</v>
      </c>
      <c r="K133" s="103">
        <f>VLOOKUP($A133,'OI(Volume)'!$A$7:$O$427,12)</f>
        <v>-12000</v>
      </c>
      <c r="L133" s="103">
        <f>VLOOKUP($A133,'OI(Value)'!$A$7:$O$306,8,0)</f>
        <v>247</v>
      </c>
      <c r="M133" s="103">
        <f>VLOOKUP($A133,'OI(Value)'!$A$7:$O$306,9,0)</f>
        <v>6</v>
      </c>
      <c r="N133" s="103">
        <f>VLOOKUP($A133,'OI(Value)'!$A$7:$O$306,11,0)</f>
        <v>162</v>
      </c>
      <c r="O133" s="103">
        <f>VLOOKUP($A133,'OI(Value)'!$A$7:$O$306,12,0)</f>
        <v>-1</v>
      </c>
      <c r="P133" s="179">
        <f>VLOOKUP(A133,'OI(Value)'!A133:O334,8,0)</f>
        <v>247</v>
      </c>
      <c r="Q133" s="179">
        <f>VLOOKUP(A133,'OI(Value)'!A133:O334,9,0)</f>
        <v>6</v>
      </c>
      <c r="R133" s="179">
        <f>VLOOKUP(A133,'OI(Value)'!A133:O334,11,0)</f>
        <v>162</v>
      </c>
      <c r="S133" s="179">
        <f>VLOOKUP(A133,'OI(Value)'!A133:O334,11,0)</f>
        <v>162</v>
      </c>
    </row>
    <row r="134" spans="1:19" x14ac:dyDescent="0.25">
      <c r="A134" s="105" t="str">
        <f>'Data shares'!C129</f>
        <v>MARUTI</v>
      </c>
      <c r="B134" s="143">
        <f>VLOOKUP($A134,'Data shares'!$C:$FA,118)</f>
        <v>0.62</v>
      </c>
      <c r="C134" s="143">
        <f>VLOOKUP($A134,'Data shares'!$C:$FA,119)</f>
        <v>0.5</v>
      </c>
      <c r="D134" s="143">
        <f>VLOOKUP($A134,'Data shares'!$C:$FA,121)*100</f>
        <v>24</v>
      </c>
      <c r="E134" s="143">
        <f>VLOOKUP($A134,'Data shares'!$C:$FA,124)</f>
        <v>0.37</v>
      </c>
      <c r="F134" s="143">
        <f>VLOOKUP($A134,'Data shares'!$C:$FA,125)</f>
        <v>0.56999999999999995</v>
      </c>
      <c r="G134" s="143">
        <f>VLOOKUP($A134,'Data shares'!$C:$FA,127)*100</f>
        <v>-35.089999999999996</v>
      </c>
      <c r="H134" s="103">
        <f>VLOOKUP($A134,'OI(Volume)'!$A$7:$O$427,8)</f>
        <v>2782900</v>
      </c>
      <c r="I134" s="103">
        <f>VLOOKUP($A134,'OI(Volume)'!$A$7:$O$427,9)</f>
        <v>-125300</v>
      </c>
      <c r="J134" s="103">
        <f>VLOOKUP($A134,'OI(Volume)'!$A$7:$O$427,11)</f>
        <v>1733350</v>
      </c>
      <c r="K134" s="103">
        <f>VLOOKUP($A134,'OI(Volume)'!$A$7:$O$427,12)</f>
        <v>293050</v>
      </c>
      <c r="L134" s="103">
        <f>VLOOKUP($A134,'OI(Value)'!$A$7:$O$306,8,0)</f>
        <v>4550</v>
      </c>
      <c r="M134" s="103">
        <f>VLOOKUP($A134,'OI(Value)'!$A$7:$O$306,9,0)</f>
        <v>-205</v>
      </c>
      <c r="N134" s="103">
        <f>VLOOKUP($A134,'OI(Value)'!$A$7:$O$306,11,0)</f>
        <v>2834</v>
      </c>
      <c r="O134" s="103">
        <f>VLOOKUP($A134,'OI(Value)'!$A$7:$O$306,12,0)</f>
        <v>479</v>
      </c>
      <c r="P134" s="179">
        <f>VLOOKUP(A134,'OI(Value)'!A134:O335,8,0)</f>
        <v>4550</v>
      </c>
      <c r="Q134" s="179">
        <f>VLOOKUP(A134,'OI(Value)'!A134:O335,9,0)</f>
        <v>-205</v>
      </c>
      <c r="R134" s="179">
        <f>VLOOKUP(A134,'OI(Value)'!A134:O335,11,0)</f>
        <v>2834</v>
      </c>
      <c r="S134" s="179">
        <f>VLOOKUP(A134,'OI(Value)'!A134:O335,11,0)</f>
        <v>2834</v>
      </c>
    </row>
    <row r="135" spans="1:19" x14ac:dyDescent="0.25">
      <c r="A135" s="105" t="str">
        <f>'Data shares'!C130</f>
        <v>MAXHEALTH</v>
      </c>
      <c r="B135" s="143">
        <f>VLOOKUP($A135,'Data shares'!$C:$FA,118)</f>
        <v>0.89</v>
      </c>
      <c r="C135" s="143">
        <f>VLOOKUP($A135,'Data shares'!$C:$FA,119)</f>
        <v>0.9</v>
      </c>
      <c r="D135" s="143">
        <f>VLOOKUP($A135,'Data shares'!$C:$FA,121)*100</f>
        <v>-1.1100000000000001</v>
      </c>
      <c r="E135" s="143">
        <f>VLOOKUP($A135,'Data shares'!$C:$FA,124)</f>
        <v>0.73</v>
      </c>
      <c r="F135" s="143">
        <f>VLOOKUP($A135,'Data shares'!$C:$FA,125)</f>
        <v>0.52</v>
      </c>
      <c r="G135" s="143">
        <f>VLOOKUP($A135,'Data shares'!$C:$FA,127)*100</f>
        <v>40.380000000000003</v>
      </c>
      <c r="H135" s="103">
        <f>VLOOKUP($A135,'OI(Volume)'!$A$7:$O$427,8)</f>
        <v>3163125</v>
      </c>
      <c r="I135" s="103">
        <f>VLOOKUP($A135,'OI(Volume)'!$A$7:$O$427,9)</f>
        <v>37800</v>
      </c>
      <c r="J135" s="103">
        <f>VLOOKUP($A135,'OI(Volume)'!$A$7:$O$427,11)</f>
        <v>2814525</v>
      </c>
      <c r="K135" s="103">
        <f>VLOOKUP($A135,'OI(Volume)'!$A$7:$O$427,12)</f>
        <v>5250</v>
      </c>
      <c r="L135" s="103">
        <f>VLOOKUP($A135,'OI(Value)'!$A$7:$O$306,8,0)</f>
        <v>367</v>
      </c>
      <c r="M135" s="103">
        <f>VLOOKUP($A135,'OI(Value)'!$A$7:$O$306,9,0)</f>
        <v>4</v>
      </c>
      <c r="N135" s="103">
        <f>VLOOKUP($A135,'OI(Value)'!$A$7:$O$306,11,0)</f>
        <v>326</v>
      </c>
      <c r="O135" s="103">
        <f>VLOOKUP($A135,'OI(Value)'!$A$7:$O$306,12,0)</f>
        <v>1</v>
      </c>
      <c r="P135" s="179">
        <f>VLOOKUP(A135,'OI(Value)'!A135:O336,8,0)</f>
        <v>367</v>
      </c>
      <c r="Q135" s="179">
        <f>VLOOKUP(A135,'OI(Value)'!A135:O336,9,0)</f>
        <v>4</v>
      </c>
      <c r="R135" s="179">
        <f>VLOOKUP(A135,'OI(Value)'!A135:O336,11,0)</f>
        <v>326</v>
      </c>
      <c r="S135" s="179">
        <f>VLOOKUP(A135,'OI(Value)'!A135:O336,11,0)</f>
        <v>326</v>
      </c>
    </row>
    <row r="136" spans="1:19" x14ac:dyDescent="0.25">
      <c r="A136" s="105" t="str">
        <f>'Data shares'!C131</f>
        <v>MAZDOCK</v>
      </c>
      <c r="B136" s="143">
        <f>VLOOKUP($A136,'Data shares'!$C:$FA,118)</f>
        <v>0.56000000000000005</v>
      </c>
      <c r="C136" s="143">
        <f>VLOOKUP($A136,'Data shares'!$C:$FA,119)</f>
        <v>0.59</v>
      </c>
      <c r="D136" s="143">
        <f>VLOOKUP($A136,'Data shares'!$C:$FA,121)*100</f>
        <v>-5.08</v>
      </c>
      <c r="E136" s="143">
        <f>VLOOKUP($A136,'Data shares'!$C:$FA,124)</f>
        <v>0.32</v>
      </c>
      <c r="F136" s="143">
        <f>VLOOKUP($A136,'Data shares'!$C:$FA,125)</f>
        <v>0.34</v>
      </c>
      <c r="G136" s="143">
        <f>VLOOKUP($A136,'Data shares'!$C:$FA,127)*100</f>
        <v>-5.88</v>
      </c>
      <c r="H136" s="103">
        <f>VLOOKUP($A136,'OI(Volume)'!$A$7:$O$427,8)</f>
        <v>2480975</v>
      </c>
      <c r="I136" s="103">
        <f>VLOOKUP($A136,'OI(Volume)'!$A$7:$O$427,9)</f>
        <v>348075</v>
      </c>
      <c r="J136" s="103">
        <f>VLOOKUP($A136,'OI(Volume)'!$A$7:$O$427,11)</f>
        <v>1378300</v>
      </c>
      <c r="K136" s="103">
        <f>VLOOKUP($A136,'OI(Volume)'!$A$7:$O$427,12)</f>
        <v>112875</v>
      </c>
      <c r="L136" s="103">
        <f>VLOOKUP($A136,'OI(Value)'!$A$7:$O$306,8,0)</f>
        <v>714</v>
      </c>
      <c r="M136" s="103">
        <f>VLOOKUP($A136,'OI(Value)'!$A$7:$O$306,9,0)</f>
        <v>100</v>
      </c>
      <c r="N136" s="103">
        <f>VLOOKUP($A136,'OI(Value)'!$A$7:$O$306,11,0)</f>
        <v>396</v>
      </c>
      <c r="O136" s="103">
        <f>VLOOKUP($A136,'OI(Value)'!$A$7:$O$306,12,0)</f>
        <v>32</v>
      </c>
      <c r="P136" s="179">
        <f>VLOOKUP(A136,'OI(Value)'!A136:O337,8,0)</f>
        <v>714</v>
      </c>
      <c r="Q136" s="179">
        <f>VLOOKUP(A136,'OI(Value)'!A136:O337,9,0)</f>
        <v>100</v>
      </c>
      <c r="R136" s="179">
        <f>VLOOKUP(A136,'OI(Value)'!A136:O337,11,0)</f>
        <v>396</v>
      </c>
      <c r="S136" s="179">
        <f>VLOOKUP(A136,'OI(Value)'!A136:O337,11,0)</f>
        <v>396</v>
      </c>
    </row>
    <row r="137" spans="1:19" x14ac:dyDescent="0.25">
      <c r="A137" s="105" t="str">
        <f>'Data shares'!C132</f>
        <v>MCX</v>
      </c>
      <c r="B137" s="143">
        <f>VLOOKUP($A137,'Data shares'!$C:$FA,118)</f>
        <v>0.82</v>
      </c>
      <c r="C137" s="143">
        <f>VLOOKUP($A137,'Data shares'!$C:$FA,119)</f>
        <v>0.96</v>
      </c>
      <c r="D137" s="143">
        <f>VLOOKUP($A137,'Data shares'!$C:$FA,121)*100</f>
        <v>-14.580000000000002</v>
      </c>
      <c r="E137" s="143">
        <f>VLOOKUP($A137,'Data shares'!$C:$FA,124)</f>
        <v>0.44</v>
      </c>
      <c r="F137" s="143">
        <f>VLOOKUP($A137,'Data shares'!$C:$FA,125)</f>
        <v>0.46</v>
      </c>
      <c r="G137" s="143">
        <f>VLOOKUP($A137,'Data shares'!$C:$FA,127)*100</f>
        <v>-4.3499999999999996</v>
      </c>
      <c r="H137" s="103">
        <f>VLOOKUP($A137,'OI(Volume)'!$A$7:$O$427,8)</f>
        <v>2135250</v>
      </c>
      <c r="I137" s="103">
        <f>VLOOKUP($A137,'OI(Volume)'!$A$7:$O$427,9)</f>
        <v>438500</v>
      </c>
      <c r="J137" s="103">
        <f>VLOOKUP($A137,'OI(Volume)'!$A$7:$O$427,11)</f>
        <v>1748375</v>
      </c>
      <c r="K137" s="103">
        <f>VLOOKUP($A137,'OI(Volume)'!$A$7:$O$427,12)</f>
        <v>125750</v>
      </c>
      <c r="L137" s="103">
        <f>VLOOKUP($A137,'OI(Value)'!$A$7:$O$306,8,0)</f>
        <v>1862</v>
      </c>
      <c r="M137" s="103">
        <f>VLOOKUP($A137,'OI(Value)'!$A$7:$O$306,9,0)</f>
        <v>382</v>
      </c>
      <c r="N137" s="103">
        <f>VLOOKUP($A137,'OI(Value)'!$A$7:$O$306,11,0)</f>
        <v>1524</v>
      </c>
      <c r="O137" s="103">
        <f>VLOOKUP($A137,'OI(Value)'!$A$7:$O$306,12,0)</f>
        <v>110</v>
      </c>
      <c r="P137" s="179">
        <f>VLOOKUP(A137,'OI(Value)'!A137:O338,8,0)</f>
        <v>1862</v>
      </c>
      <c r="Q137" s="179">
        <f>VLOOKUP(A137,'OI(Value)'!A137:O338,9,0)</f>
        <v>382</v>
      </c>
      <c r="R137" s="179">
        <f>VLOOKUP(A137,'OI(Value)'!A137:O338,11,0)</f>
        <v>1524</v>
      </c>
      <c r="S137" s="179">
        <f>VLOOKUP(A137,'OI(Value)'!A137:O338,11,0)</f>
        <v>1524</v>
      </c>
    </row>
    <row r="138" spans="1:19" x14ac:dyDescent="0.25">
      <c r="A138" s="105" t="str">
        <f>'Data shares'!C133</f>
        <v>MFSL</v>
      </c>
      <c r="B138" s="143">
        <f>VLOOKUP($A138,'Data shares'!$C:$FA,118)</f>
        <v>0.62</v>
      </c>
      <c r="C138" s="143">
        <f>VLOOKUP($A138,'Data shares'!$C:$FA,119)</f>
        <v>0.65</v>
      </c>
      <c r="D138" s="143">
        <f>VLOOKUP($A138,'Data shares'!$C:$FA,121)*100</f>
        <v>-4.62</v>
      </c>
      <c r="E138" s="143">
        <f>VLOOKUP($A138,'Data shares'!$C:$FA,124)</f>
        <v>0.35</v>
      </c>
      <c r="F138" s="143">
        <f>VLOOKUP($A138,'Data shares'!$C:$FA,125)</f>
        <v>0.45</v>
      </c>
      <c r="G138" s="143">
        <f>VLOOKUP($A138,'Data shares'!$C:$FA,127)*100</f>
        <v>-22.220000000000002</v>
      </c>
      <c r="H138" s="103">
        <f>VLOOKUP($A138,'OI(Volume)'!$A$7:$O$427,8)</f>
        <v>1216000</v>
      </c>
      <c r="I138" s="103">
        <f>VLOOKUP($A138,'OI(Volume)'!$A$7:$O$427,9)</f>
        <v>93600</v>
      </c>
      <c r="J138" s="103">
        <f>VLOOKUP($A138,'OI(Volume)'!$A$7:$O$427,11)</f>
        <v>749600</v>
      </c>
      <c r="K138" s="103">
        <f>VLOOKUP($A138,'OI(Volume)'!$A$7:$O$427,12)</f>
        <v>15200</v>
      </c>
      <c r="L138" s="103">
        <f>VLOOKUP($A138,'OI(Value)'!$A$7:$O$306,8,0)</f>
        <v>193</v>
      </c>
      <c r="M138" s="103">
        <f>VLOOKUP($A138,'OI(Value)'!$A$7:$O$306,9,0)</f>
        <v>15</v>
      </c>
      <c r="N138" s="103">
        <f>VLOOKUP($A138,'OI(Value)'!$A$7:$O$306,11,0)</f>
        <v>119</v>
      </c>
      <c r="O138" s="103">
        <f>VLOOKUP($A138,'OI(Value)'!$A$7:$O$306,12,0)</f>
        <v>2</v>
      </c>
      <c r="P138" s="179">
        <f>VLOOKUP(A138,'OI(Value)'!A138:O339,8,0)</f>
        <v>193</v>
      </c>
      <c r="Q138" s="179">
        <f>VLOOKUP(A138,'OI(Value)'!A138:O339,9,0)</f>
        <v>15</v>
      </c>
      <c r="R138" s="179">
        <f>VLOOKUP(A138,'OI(Value)'!A138:O339,11,0)</f>
        <v>119</v>
      </c>
      <c r="S138" s="179">
        <f>VLOOKUP(A138,'OI(Value)'!A138:O339,11,0)</f>
        <v>119</v>
      </c>
    </row>
    <row r="139" spans="1:19" x14ac:dyDescent="0.25">
      <c r="A139" s="105" t="str">
        <f>'Data shares'!C134</f>
        <v>MIDCPNIFTY</v>
      </c>
      <c r="B139" s="143">
        <f>VLOOKUP($A139,'Data shares'!$C:$FA,118)</f>
        <v>1.29</v>
      </c>
      <c r="C139" s="143">
        <f>VLOOKUP($A139,'Data shares'!$C:$FA,119)</f>
        <v>1.25</v>
      </c>
      <c r="D139" s="143">
        <f>VLOOKUP($A139,'Data shares'!$C:$FA,121)*100</f>
        <v>3.2</v>
      </c>
      <c r="E139" s="143">
        <f>VLOOKUP($A139,'Data shares'!$C:$FA,124)</f>
        <v>1.04</v>
      </c>
      <c r="F139" s="143">
        <f>VLOOKUP($A139,'Data shares'!$C:$FA,125)</f>
        <v>1.1000000000000001</v>
      </c>
      <c r="G139" s="143">
        <f>VLOOKUP($A139,'Data shares'!$C:$FA,127)*100</f>
        <v>-5.45</v>
      </c>
      <c r="H139" s="103">
        <f>VLOOKUP($A139,'OI(Volume)'!$A$7:$O$427,8)</f>
        <v>5978000</v>
      </c>
      <c r="I139" s="103">
        <f>VLOOKUP($A139,'OI(Volume)'!$A$7:$O$427,9)</f>
        <v>118020</v>
      </c>
      <c r="J139" s="103">
        <f>VLOOKUP($A139,'OI(Volume)'!$A$7:$O$427,11)</f>
        <v>7685580</v>
      </c>
      <c r="K139" s="103">
        <f>VLOOKUP($A139,'OI(Volume)'!$A$7:$O$427,12)</f>
        <v>344260</v>
      </c>
      <c r="L139" s="103">
        <f>VLOOKUP($A139,'OI(Value)'!$A$7:$O$306,8,0)</f>
        <v>7901</v>
      </c>
      <c r="M139" s="103">
        <f>VLOOKUP($A139,'OI(Value)'!$A$7:$O$306,9,0)</f>
        <v>156</v>
      </c>
      <c r="N139" s="103">
        <f>VLOOKUP($A139,'OI(Value)'!$A$7:$O$306,11,0)</f>
        <v>10158</v>
      </c>
      <c r="O139" s="103">
        <f>VLOOKUP($A139,'OI(Value)'!$A$7:$O$306,12,0)</f>
        <v>455</v>
      </c>
      <c r="P139" s="179">
        <f>VLOOKUP(A139,'OI(Value)'!A139:O340,8,0)</f>
        <v>7901</v>
      </c>
      <c r="Q139" s="179">
        <f>VLOOKUP(A139,'OI(Value)'!A139:O340,9,0)</f>
        <v>156</v>
      </c>
      <c r="R139" s="179">
        <f>VLOOKUP(A139,'OI(Value)'!A139:O340,11,0)</f>
        <v>10158</v>
      </c>
      <c r="S139" s="179">
        <f>VLOOKUP(A139,'OI(Value)'!A139:O340,11,0)</f>
        <v>10158</v>
      </c>
    </row>
    <row r="140" spans="1:19" x14ac:dyDescent="0.25">
      <c r="A140" s="105" t="str">
        <f>'Data shares'!C135</f>
        <v>MOTHERSON</v>
      </c>
      <c r="B140" s="143">
        <f>VLOOKUP($A140,'Data shares'!$C:$FA,118)</f>
        <v>0.52</v>
      </c>
      <c r="C140" s="143">
        <f>VLOOKUP($A140,'Data shares'!$C:$FA,119)</f>
        <v>0.51</v>
      </c>
      <c r="D140" s="143">
        <f>VLOOKUP($A140,'Data shares'!$C:$FA,121)*100</f>
        <v>1.96</v>
      </c>
      <c r="E140" s="143">
        <f>VLOOKUP($A140,'Data shares'!$C:$FA,124)</f>
        <v>0.28999999999999998</v>
      </c>
      <c r="F140" s="143">
        <f>VLOOKUP($A140,'Data shares'!$C:$FA,125)</f>
        <v>0.48</v>
      </c>
      <c r="G140" s="143">
        <f>VLOOKUP($A140,'Data shares'!$C:$FA,127)*100</f>
        <v>-39.58</v>
      </c>
      <c r="H140" s="103">
        <f>VLOOKUP($A140,'OI(Volume)'!$A$7:$O$427,8)</f>
        <v>58154400</v>
      </c>
      <c r="I140" s="103">
        <f>VLOOKUP($A140,'OI(Volume)'!$A$7:$O$427,9)</f>
        <v>1371450</v>
      </c>
      <c r="J140" s="103">
        <f>VLOOKUP($A140,'OI(Volume)'!$A$7:$O$427,11)</f>
        <v>30079650</v>
      </c>
      <c r="K140" s="103">
        <f>VLOOKUP($A140,'OI(Volume)'!$A$7:$O$427,12)</f>
        <v>959400</v>
      </c>
      <c r="L140" s="103">
        <f>VLOOKUP($A140,'OI(Value)'!$A$7:$O$306,8,0)</f>
        <v>609</v>
      </c>
      <c r="M140" s="103">
        <f>VLOOKUP($A140,'OI(Value)'!$A$7:$O$306,9,0)</f>
        <v>14</v>
      </c>
      <c r="N140" s="103">
        <f>VLOOKUP($A140,'OI(Value)'!$A$7:$O$306,11,0)</f>
        <v>315</v>
      </c>
      <c r="O140" s="103">
        <f>VLOOKUP($A140,'OI(Value)'!$A$7:$O$306,12,0)</f>
        <v>10</v>
      </c>
      <c r="P140" s="179">
        <f>VLOOKUP(A140,'OI(Value)'!A140:O341,8,0)</f>
        <v>609</v>
      </c>
      <c r="Q140" s="179">
        <f>VLOOKUP(A140,'OI(Value)'!A140:O341,9,0)</f>
        <v>14</v>
      </c>
      <c r="R140" s="179">
        <f>VLOOKUP(A140,'OI(Value)'!A140:O341,11,0)</f>
        <v>315</v>
      </c>
      <c r="S140" s="179">
        <f>VLOOKUP(A140,'OI(Value)'!A140:O341,11,0)</f>
        <v>315</v>
      </c>
    </row>
    <row r="141" spans="1:19" x14ac:dyDescent="0.25">
      <c r="A141" s="105" t="str">
        <f>'Data shares'!C136</f>
        <v>MPHASIS</v>
      </c>
      <c r="B141" s="143">
        <f>VLOOKUP($A141,'Data shares'!$C:$FA,118)</f>
        <v>0.57999999999999996</v>
      </c>
      <c r="C141" s="143">
        <f>VLOOKUP($A141,'Data shares'!$C:$FA,119)</f>
        <v>0.6</v>
      </c>
      <c r="D141" s="143">
        <f>VLOOKUP($A141,'Data shares'!$C:$FA,121)*100</f>
        <v>-3.3300000000000005</v>
      </c>
      <c r="E141" s="143">
        <f>VLOOKUP($A141,'Data shares'!$C:$FA,124)</f>
        <v>0.48</v>
      </c>
      <c r="F141" s="143">
        <f>VLOOKUP($A141,'Data shares'!$C:$FA,125)</f>
        <v>0.34</v>
      </c>
      <c r="G141" s="143">
        <f>VLOOKUP($A141,'Data shares'!$C:$FA,127)*100</f>
        <v>41.18</v>
      </c>
      <c r="H141" s="103">
        <f>VLOOKUP($A141,'OI(Volume)'!$A$7:$O$427,8)</f>
        <v>1081575</v>
      </c>
      <c r="I141" s="103">
        <f>VLOOKUP($A141,'OI(Volume)'!$A$7:$O$427,9)</f>
        <v>29700</v>
      </c>
      <c r="J141" s="103">
        <f>VLOOKUP($A141,'OI(Volume)'!$A$7:$O$427,11)</f>
        <v>629200</v>
      </c>
      <c r="K141" s="103">
        <f>VLOOKUP($A141,'OI(Volume)'!$A$7:$O$427,12)</f>
        <v>-5225</v>
      </c>
      <c r="L141" s="103">
        <f>VLOOKUP($A141,'OI(Value)'!$A$7:$O$306,8,0)</f>
        <v>302</v>
      </c>
      <c r="M141" s="103">
        <f>VLOOKUP($A141,'OI(Value)'!$A$7:$O$306,9,0)</f>
        <v>8</v>
      </c>
      <c r="N141" s="103">
        <f>VLOOKUP($A141,'OI(Value)'!$A$7:$O$306,11,0)</f>
        <v>176</v>
      </c>
      <c r="O141" s="103">
        <f>VLOOKUP($A141,'OI(Value)'!$A$7:$O$306,12,0)</f>
        <v>-1</v>
      </c>
      <c r="P141" s="179">
        <f>VLOOKUP(A141,'OI(Value)'!A141:O342,8,0)</f>
        <v>302</v>
      </c>
      <c r="Q141" s="179">
        <f>VLOOKUP(A141,'OI(Value)'!A141:O342,9,0)</f>
        <v>8</v>
      </c>
      <c r="R141" s="179">
        <f>VLOOKUP(A141,'OI(Value)'!A141:O342,11,0)</f>
        <v>176</v>
      </c>
      <c r="S141" s="179">
        <f>VLOOKUP(A141,'OI(Value)'!A141:O342,11,0)</f>
        <v>176</v>
      </c>
    </row>
    <row r="142" spans="1:19" x14ac:dyDescent="0.25">
      <c r="A142" s="105" t="str">
        <f>'Data shares'!C137</f>
        <v>MUTHOOTFIN</v>
      </c>
      <c r="B142" s="143">
        <f>VLOOKUP($A142,'Data shares'!$C:$FA,118)</f>
        <v>0.62</v>
      </c>
      <c r="C142" s="143">
        <f>VLOOKUP($A142,'Data shares'!$C:$FA,119)</f>
        <v>0.71</v>
      </c>
      <c r="D142" s="143">
        <f>VLOOKUP($A142,'Data shares'!$C:$FA,121)*100</f>
        <v>-12.68</v>
      </c>
      <c r="E142" s="143">
        <f>VLOOKUP($A142,'Data shares'!$C:$FA,124)</f>
        <v>0.63</v>
      </c>
      <c r="F142" s="143">
        <f>VLOOKUP($A142,'Data shares'!$C:$FA,125)</f>
        <v>0.67</v>
      </c>
      <c r="G142" s="143">
        <f>VLOOKUP($A142,'Data shares'!$C:$FA,127)*100</f>
        <v>-5.9700000000000006</v>
      </c>
      <c r="H142" s="103">
        <f>VLOOKUP($A142,'OI(Volume)'!$A$7:$O$427,8)</f>
        <v>2214025</v>
      </c>
      <c r="I142" s="103">
        <f>VLOOKUP($A142,'OI(Volume)'!$A$7:$O$427,9)</f>
        <v>198000</v>
      </c>
      <c r="J142" s="103">
        <f>VLOOKUP($A142,'OI(Volume)'!$A$7:$O$427,11)</f>
        <v>1371975</v>
      </c>
      <c r="K142" s="103">
        <f>VLOOKUP($A142,'OI(Volume)'!$A$7:$O$427,12)</f>
        <v>-54725</v>
      </c>
      <c r="L142" s="103">
        <f>VLOOKUP($A142,'OI(Value)'!$A$7:$O$306,8,0)</f>
        <v>703</v>
      </c>
      <c r="M142" s="103">
        <f>VLOOKUP($A142,'OI(Value)'!$A$7:$O$306,9,0)</f>
        <v>63</v>
      </c>
      <c r="N142" s="103">
        <f>VLOOKUP($A142,'OI(Value)'!$A$7:$O$306,11,0)</f>
        <v>436</v>
      </c>
      <c r="O142" s="103">
        <f>VLOOKUP($A142,'OI(Value)'!$A$7:$O$306,12,0)</f>
        <v>-17</v>
      </c>
      <c r="P142" s="179">
        <f>VLOOKUP(A142,'OI(Value)'!A142:O343,8,0)</f>
        <v>703</v>
      </c>
      <c r="Q142" s="179">
        <f>VLOOKUP(A142,'OI(Value)'!A142:O343,9,0)</f>
        <v>63</v>
      </c>
      <c r="R142" s="179">
        <f>VLOOKUP(A142,'OI(Value)'!A142:O343,11,0)</f>
        <v>436</v>
      </c>
      <c r="S142" s="179">
        <f>VLOOKUP(A142,'OI(Value)'!A142:O343,11,0)</f>
        <v>436</v>
      </c>
    </row>
    <row r="143" spans="1:19" x14ac:dyDescent="0.25">
      <c r="A143" s="105" t="str">
        <f>'Data shares'!C138</f>
        <v>NATIONALUM</v>
      </c>
      <c r="B143" s="143">
        <f>VLOOKUP($A143,'Data shares'!$C:$FA,118)</f>
        <v>0.79</v>
      </c>
      <c r="C143" s="143">
        <f>VLOOKUP($A143,'Data shares'!$C:$FA,119)</f>
        <v>0.89</v>
      </c>
      <c r="D143" s="143">
        <f>VLOOKUP($A143,'Data shares'!$C:$FA,121)*100</f>
        <v>-11.24</v>
      </c>
      <c r="E143" s="143">
        <f>VLOOKUP($A143,'Data shares'!$C:$FA,124)</f>
        <v>0.54</v>
      </c>
      <c r="F143" s="143">
        <f>VLOOKUP($A143,'Data shares'!$C:$FA,125)</f>
        <v>0.55000000000000004</v>
      </c>
      <c r="G143" s="143">
        <f>VLOOKUP($A143,'Data shares'!$C:$FA,127)*100</f>
        <v>-1.82</v>
      </c>
      <c r="H143" s="103">
        <f>VLOOKUP($A143,'OI(Volume)'!$A$7:$O$427,8)</f>
        <v>31818750</v>
      </c>
      <c r="I143" s="103">
        <f>VLOOKUP($A143,'OI(Volume)'!$A$7:$O$427,9)</f>
        <v>2625000</v>
      </c>
      <c r="J143" s="103">
        <f>VLOOKUP($A143,'OI(Volume)'!$A$7:$O$427,11)</f>
        <v>25188750</v>
      </c>
      <c r="K143" s="103">
        <f>VLOOKUP($A143,'OI(Volume)'!$A$7:$O$427,12)</f>
        <v>-900000</v>
      </c>
      <c r="L143" s="103">
        <f>VLOOKUP($A143,'OI(Value)'!$A$7:$O$306,8,0)</f>
        <v>717</v>
      </c>
      <c r="M143" s="103">
        <f>VLOOKUP($A143,'OI(Value)'!$A$7:$O$306,9,0)</f>
        <v>59</v>
      </c>
      <c r="N143" s="103">
        <f>VLOOKUP($A143,'OI(Value)'!$A$7:$O$306,11,0)</f>
        <v>567</v>
      </c>
      <c r="O143" s="103">
        <f>VLOOKUP($A143,'OI(Value)'!$A$7:$O$306,12,0)</f>
        <v>-20</v>
      </c>
      <c r="P143" s="179">
        <f>VLOOKUP(A143,'OI(Value)'!A143:O344,8,0)</f>
        <v>717</v>
      </c>
      <c r="Q143" s="179">
        <f>VLOOKUP(A143,'OI(Value)'!A143:O344,9,0)</f>
        <v>59</v>
      </c>
      <c r="R143" s="179">
        <f>VLOOKUP(A143,'OI(Value)'!A143:O344,11,0)</f>
        <v>567</v>
      </c>
      <c r="S143" s="179">
        <f>VLOOKUP(A143,'OI(Value)'!A143:O344,11,0)</f>
        <v>567</v>
      </c>
    </row>
    <row r="144" spans="1:19" x14ac:dyDescent="0.25">
      <c r="A144" s="105" t="str">
        <f>'Data shares'!C139</f>
        <v>NAUKRI</v>
      </c>
      <c r="B144" s="143">
        <f>VLOOKUP($A144,'Data shares'!$C:$FA,118)</f>
        <v>0.54</v>
      </c>
      <c r="C144" s="143">
        <f>VLOOKUP($A144,'Data shares'!$C:$FA,119)</f>
        <v>0.56999999999999995</v>
      </c>
      <c r="D144" s="143">
        <f>VLOOKUP($A144,'Data shares'!$C:$FA,121)*100</f>
        <v>-5.26</v>
      </c>
      <c r="E144" s="143">
        <f>VLOOKUP($A144,'Data shares'!$C:$FA,124)</f>
        <v>0.31</v>
      </c>
      <c r="F144" s="143">
        <f>VLOOKUP($A144,'Data shares'!$C:$FA,125)</f>
        <v>0.45</v>
      </c>
      <c r="G144" s="143">
        <f>VLOOKUP($A144,'Data shares'!$C:$FA,127)*100</f>
        <v>-31.11</v>
      </c>
      <c r="H144" s="103">
        <f>VLOOKUP($A144,'OI(Volume)'!$A$7:$O$427,8)</f>
        <v>2035125</v>
      </c>
      <c r="I144" s="103">
        <f>VLOOKUP($A144,'OI(Volume)'!$A$7:$O$427,9)</f>
        <v>132375</v>
      </c>
      <c r="J144" s="103">
        <f>VLOOKUP($A144,'OI(Volume)'!$A$7:$O$427,11)</f>
        <v>1108125</v>
      </c>
      <c r="K144" s="103">
        <f>VLOOKUP($A144,'OI(Volume)'!$A$7:$O$427,12)</f>
        <v>19500</v>
      </c>
      <c r="L144" s="103">
        <f>VLOOKUP($A144,'OI(Value)'!$A$7:$O$306,8,0)</f>
        <v>273</v>
      </c>
      <c r="M144" s="103">
        <f>VLOOKUP($A144,'OI(Value)'!$A$7:$O$306,9,0)</f>
        <v>18</v>
      </c>
      <c r="N144" s="103">
        <f>VLOOKUP($A144,'OI(Value)'!$A$7:$O$306,11,0)</f>
        <v>148</v>
      </c>
      <c r="O144" s="103">
        <f>VLOOKUP($A144,'OI(Value)'!$A$7:$O$306,12,0)</f>
        <v>3</v>
      </c>
      <c r="P144" s="179">
        <f>VLOOKUP(A144,'OI(Value)'!A144:O345,8,0)</f>
        <v>273</v>
      </c>
      <c r="Q144" s="179">
        <f>VLOOKUP(A144,'OI(Value)'!A144:O345,9,0)</f>
        <v>18</v>
      </c>
      <c r="R144" s="179">
        <f>VLOOKUP(A144,'OI(Value)'!A144:O345,11,0)</f>
        <v>148</v>
      </c>
      <c r="S144" s="179">
        <f>VLOOKUP(A144,'OI(Value)'!A144:O345,11,0)</f>
        <v>148</v>
      </c>
    </row>
    <row r="145" spans="1:19" x14ac:dyDescent="0.25">
      <c r="A145" s="105" t="str">
        <f>'Data shares'!C140</f>
        <v>NBCC</v>
      </c>
      <c r="B145" s="143">
        <f>VLOOKUP($A145,'Data shares'!$C:$FA,118)</f>
        <v>0.5</v>
      </c>
      <c r="C145" s="143">
        <f>VLOOKUP($A145,'Data shares'!$C:$FA,119)</f>
        <v>0.45</v>
      </c>
      <c r="D145" s="143">
        <f>VLOOKUP($A145,'Data shares'!$C:$FA,121)*100</f>
        <v>11.110000000000001</v>
      </c>
      <c r="E145" s="143">
        <f>VLOOKUP($A145,'Data shares'!$C:$FA,124)</f>
        <v>0.28999999999999998</v>
      </c>
      <c r="F145" s="143">
        <f>VLOOKUP($A145,'Data shares'!$C:$FA,125)</f>
        <v>0.17</v>
      </c>
      <c r="G145" s="143">
        <f>VLOOKUP($A145,'Data shares'!$C:$FA,127)*100</f>
        <v>70.59</v>
      </c>
      <c r="H145" s="103">
        <f>VLOOKUP($A145,'OI(Volume)'!$A$7:$O$427,8)</f>
        <v>29269500</v>
      </c>
      <c r="I145" s="103">
        <f>VLOOKUP($A145,'OI(Volume)'!$A$7:$O$427,9)</f>
        <v>1176500</v>
      </c>
      <c r="J145" s="103">
        <f>VLOOKUP($A145,'OI(Volume)'!$A$7:$O$427,11)</f>
        <v>14495000</v>
      </c>
      <c r="K145" s="103">
        <f>VLOOKUP($A145,'OI(Volume)'!$A$7:$O$427,12)</f>
        <v>1891500</v>
      </c>
      <c r="L145" s="103">
        <f>VLOOKUP($A145,'OI(Value)'!$A$7:$O$306,8,0)</f>
        <v>332</v>
      </c>
      <c r="M145" s="103">
        <f>VLOOKUP($A145,'OI(Value)'!$A$7:$O$306,9,0)</f>
        <v>13</v>
      </c>
      <c r="N145" s="103">
        <f>VLOOKUP($A145,'OI(Value)'!$A$7:$O$306,11,0)</f>
        <v>164</v>
      </c>
      <c r="O145" s="103">
        <f>VLOOKUP($A145,'OI(Value)'!$A$7:$O$306,12,0)</f>
        <v>21</v>
      </c>
      <c r="P145" s="179">
        <f>VLOOKUP(A145,'OI(Value)'!A145:O346,8,0)</f>
        <v>332</v>
      </c>
      <c r="Q145" s="179">
        <f>VLOOKUP(A145,'OI(Value)'!A145:O346,9,0)</f>
        <v>13</v>
      </c>
      <c r="R145" s="179">
        <f>VLOOKUP(A145,'OI(Value)'!A145:O346,11,0)</f>
        <v>164</v>
      </c>
      <c r="S145" s="179">
        <f>VLOOKUP(A145,'OI(Value)'!A145:O346,11,0)</f>
        <v>164</v>
      </c>
    </row>
    <row r="146" spans="1:19" x14ac:dyDescent="0.25">
      <c r="A146" s="105" t="str">
        <f>'Data shares'!C141</f>
        <v>NCC</v>
      </c>
      <c r="B146" s="143">
        <f>VLOOKUP($A146,'Data shares'!$C:$FA,118)</f>
        <v>0.59</v>
      </c>
      <c r="C146" s="143">
        <f>VLOOKUP($A146,'Data shares'!$C:$FA,119)</f>
        <v>0.64</v>
      </c>
      <c r="D146" s="143">
        <f>VLOOKUP($A146,'Data shares'!$C:$FA,121)*100</f>
        <v>-7.8100000000000005</v>
      </c>
      <c r="E146" s="143">
        <f>VLOOKUP($A146,'Data shares'!$C:$FA,124)</f>
        <v>0.27</v>
      </c>
      <c r="F146" s="143">
        <f>VLOOKUP($A146,'Data shares'!$C:$FA,125)</f>
        <v>0.57999999999999996</v>
      </c>
      <c r="G146" s="143">
        <f>VLOOKUP($A146,'Data shares'!$C:$FA,127)*100</f>
        <v>-53.449999999999996</v>
      </c>
      <c r="H146" s="103">
        <f>VLOOKUP($A146,'OI(Volume)'!$A$7:$O$427,8)</f>
        <v>6277500</v>
      </c>
      <c r="I146" s="103">
        <f>VLOOKUP($A146,'OI(Volume)'!$A$7:$O$427,9)</f>
        <v>402300</v>
      </c>
      <c r="J146" s="103">
        <f>VLOOKUP($A146,'OI(Volume)'!$A$7:$O$427,11)</f>
        <v>3699000</v>
      </c>
      <c r="K146" s="103">
        <f>VLOOKUP($A146,'OI(Volume)'!$A$7:$O$427,12)</f>
        <v>-51300</v>
      </c>
      <c r="L146" s="103">
        <f>VLOOKUP($A146,'OI(Value)'!$A$7:$O$306,8,0)</f>
        <v>133</v>
      </c>
      <c r="M146" s="103">
        <f>VLOOKUP($A146,'OI(Value)'!$A$7:$O$306,9,0)</f>
        <v>9</v>
      </c>
      <c r="N146" s="103">
        <f>VLOOKUP($A146,'OI(Value)'!$A$7:$O$306,11,0)</f>
        <v>78</v>
      </c>
      <c r="O146" s="103">
        <f>VLOOKUP($A146,'OI(Value)'!$A$7:$O$306,12,0)</f>
        <v>-1</v>
      </c>
      <c r="P146" s="179">
        <f>VLOOKUP(A146,'OI(Value)'!A146:O347,8,0)</f>
        <v>133</v>
      </c>
      <c r="Q146" s="179">
        <f>VLOOKUP(A146,'OI(Value)'!A146:O347,9,0)</f>
        <v>9</v>
      </c>
      <c r="R146" s="179">
        <f>VLOOKUP(A146,'OI(Value)'!A146:O347,11,0)</f>
        <v>78</v>
      </c>
      <c r="S146" s="179">
        <f>VLOOKUP(A146,'OI(Value)'!A146:O347,11,0)</f>
        <v>78</v>
      </c>
    </row>
    <row r="147" spans="1:19" x14ac:dyDescent="0.25">
      <c r="A147" s="105" t="str">
        <f>'Data shares'!C142</f>
        <v>NESTLEIND</v>
      </c>
      <c r="B147" s="143">
        <f>VLOOKUP($A147,'Data shares'!$C:$FA,118)</f>
        <v>0.83</v>
      </c>
      <c r="C147" s="143">
        <f>VLOOKUP($A147,'Data shares'!$C:$FA,119)</f>
        <v>0.78</v>
      </c>
      <c r="D147" s="143">
        <f>VLOOKUP($A147,'Data shares'!$C:$FA,121)*100</f>
        <v>6.41</v>
      </c>
      <c r="E147" s="143">
        <f>VLOOKUP($A147,'Data shares'!$C:$FA,124)</f>
        <v>0.53</v>
      </c>
      <c r="F147" s="143">
        <f>VLOOKUP($A147,'Data shares'!$C:$FA,125)</f>
        <v>0.49</v>
      </c>
      <c r="G147" s="143">
        <f>VLOOKUP($A147,'Data shares'!$C:$FA,127)*100</f>
        <v>8.16</v>
      </c>
      <c r="H147" s="103">
        <f>VLOOKUP($A147,'OI(Volume)'!$A$7:$O$427,8)</f>
        <v>3283000</v>
      </c>
      <c r="I147" s="103">
        <f>VLOOKUP($A147,'OI(Volume)'!$A$7:$O$427,9)</f>
        <v>250500</v>
      </c>
      <c r="J147" s="103">
        <f>VLOOKUP($A147,'OI(Volume)'!$A$7:$O$427,11)</f>
        <v>2722500</v>
      </c>
      <c r="K147" s="103">
        <f>VLOOKUP($A147,'OI(Volume)'!$A$7:$O$427,12)</f>
        <v>371500</v>
      </c>
      <c r="L147" s="103">
        <f>VLOOKUP($A147,'OI(Value)'!$A$7:$O$306,8,0)</f>
        <v>395</v>
      </c>
      <c r="M147" s="103">
        <f>VLOOKUP($A147,'OI(Value)'!$A$7:$O$306,9,0)</f>
        <v>30</v>
      </c>
      <c r="N147" s="103">
        <f>VLOOKUP($A147,'OI(Value)'!$A$7:$O$306,11,0)</f>
        <v>327</v>
      </c>
      <c r="O147" s="103">
        <f>VLOOKUP($A147,'OI(Value)'!$A$7:$O$306,12,0)</f>
        <v>45</v>
      </c>
      <c r="P147" s="179">
        <f>VLOOKUP(A147,'OI(Value)'!A147:O348,8,0)</f>
        <v>395</v>
      </c>
      <c r="Q147" s="179">
        <f>VLOOKUP(A147,'OI(Value)'!A147:O348,9,0)</f>
        <v>30</v>
      </c>
      <c r="R147" s="179">
        <f>VLOOKUP(A147,'OI(Value)'!A147:O348,11,0)</f>
        <v>327</v>
      </c>
      <c r="S147" s="179">
        <f>VLOOKUP(A147,'OI(Value)'!A147:O348,11,0)</f>
        <v>327</v>
      </c>
    </row>
    <row r="148" spans="1:19" x14ac:dyDescent="0.25">
      <c r="A148" s="105" t="str">
        <f>'Data shares'!C143</f>
        <v>NHPC</v>
      </c>
      <c r="B148" s="143">
        <f>VLOOKUP($A148,'Data shares'!$C:$FA,118)</f>
        <v>0.56000000000000005</v>
      </c>
      <c r="C148" s="143">
        <f>VLOOKUP($A148,'Data shares'!$C:$FA,119)</f>
        <v>0.51</v>
      </c>
      <c r="D148" s="143">
        <f>VLOOKUP($A148,'Data shares'!$C:$FA,121)*100</f>
        <v>9.8000000000000007</v>
      </c>
      <c r="E148" s="143">
        <f>VLOOKUP($A148,'Data shares'!$C:$FA,124)</f>
        <v>0.56000000000000005</v>
      </c>
      <c r="F148" s="143">
        <f>VLOOKUP($A148,'Data shares'!$C:$FA,125)</f>
        <v>0.57999999999999996</v>
      </c>
      <c r="G148" s="143">
        <f>VLOOKUP($A148,'Data shares'!$C:$FA,127)*100</f>
        <v>-3.45</v>
      </c>
      <c r="H148" s="103">
        <f>VLOOKUP($A148,'OI(Volume)'!$A$7:$O$427,8)</f>
        <v>16857600</v>
      </c>
      <c r="I148" s="103">
        <f>VLOOKUP($A148,'OI(Volume)'!$A$7:$O$427,9)</f>
        <v>396800</v>
      </c>
      <c r="J148" s="103">
        <f>VLOOKUP($A148,'OI(Volume)'!$A$7:$O$427,11)</f>
        <v>9401600</v>
      </c>
      <c r="K148" s="103">
        <f>VLOOKUP($A148,'OI(Volume)'!$A$7:$O$427,12)</f>
        <v>1011200</v>
      </c>
      <c r="L148" s="103">
        <f>VLOOKUP($A148,'OI(Value)'!$A$7:$O$306,8,0)</f>
        <v>147</v>
      </c>
      <c r="M148" s="103">
        <f>VLOOKUP($A148,'OI(Value)'!$A$7:$O$306,9,0)</f>
        <v>3</v>
      </c>
      <c r="N148" s="103">
        <f>VLOOKUP($A148,'OI(Value)'!$A$7:$O$306,11,0)</f>
        <v>82</v>
      </c>
      <c r="O148" s="103">
        <f>VLOOKUP($A148,'OI(Value)'!$A$7:$O$306,12,0)</f>
        <v>9</v>
      </c>
      <c r="P148" s="179">
        <f>VLOOKUP(A148,'OI(Value)'!A148:O349,8,0)</f>
        <v>147</v>
      </c>
      <c r="Q148" s="179">
        <f>VLOOKUP(A148,'OI(Value)'!A148:O349,9,0)</f>
        <v>3</v>
      </c>
      <c r="R148" s="179">
        <f>VLOOKUP(A148,'OI(Value)'!A148:O349,11,0)</f>
        <v>82</v>
      </c>
      <c r="S148" s="179">
        <f>VLOOKUP(A148,'OI(Value)'!A148:O349,11,0)</f>
        <v>82</v>
      </c>
    </row>
    <row r="149" spans="1:19" x14ac:dyDescent="0.25">
      <c r="A149" s="105" t="str">
        <f>'Data shares'!C144</f>
        <v>NIFTY</v>
      </c>
      <c r="B149" s="143">
        <f>VLOOKUP($A149,'Data shares'!$C:$FA,118)</f>
        <v>1.32</v>
      </c>
      <c r="C149" s="143">
        <f>VLOOKUP($A149,'Data shares'!$C:$FA,119)</f>
        <v>1.06</v>
      </c>
      <c r="D149" s="143">
        <f>VLOOKUP($A149,'Data shares'!$C:$FA,121)*100</f>
        <v>24.529999999999998</v>
      </c>
      <c r="E149" s="143">
        <f>VLOOKUP($A149,'Data shares'!$C:$FA,124)</f>
        <v>0.93</v>
      </c>
      <c r="F149" s="143">
        <f>VLOOKUP($A149,'Data shares'!$C:$FA,125)</f>
        <v>0.89</v>
      </c>
      <c r="G149" s="143">
        <f>VLOOKUP($A149,'Data shares'!$C:$FA,127)*100</f>
        <v>4.49</v>
      </c>
      <c r="H149" s="103">
        <f>VLOOKUP($A149,'OI(Volume)'!$A$7:$O$427,8)</f>
        <v>240430650</v>
      </c>
      <c r="I149" s="103">
        <f>VLOOKUP($A149,'OI(Volume)'!$A$7:$O$427,9)</f>
        <v>6730925</v>
      </c>
      <c r="J149" s="103">
        <f>VLOOKUP($A149,'OI(Volume)'!$A$7:$O$427,11)</f>
        <v>317308250</v>
      </c>
      <c r="K149" s="103">
        <f>VLOOKUP($A149,'OI(Volume)'!$A$7:$O$427,12)</f>
        <v>69919600</v>
      </c>
      <c r="L149" s="103">
        <f>VLOOKUP($A149,'OI(Value)'!$A$7:$O$306,8,0)</f>
        <v>610958</v>
      </c>
      <c r="M149" s="103">
        <f>VLOOKUP($A149,'OI(Value)'!$A$7:$O$306,9,0)</f>
        <v>17104</v>
      </c>
      <c r="N149" s="103">
        <f>VLOOKUP($A149,'OI(Value)'!$A$7:$O$306,11,0)</f>
        <v>806312</v>
      </c>
      <c r="O149" s="103">
        <f>VLOOKUP($A149,'OI(Value)'!$A$7:$O$306,12,0)</f>
        <v>177673</v>
      </c>
      <c r="P149" s="179">
        <f>VLOOKUP(A149,'OI(Value)'!A149:O350,8,0)</f>
        <v>610958</v>
      </c>
      <c r="Q149" s="179">
        <f>VLOOKUP(A149,'OI(Value)'!A149:O350,9,0)</f>
        <v>17104</v>
      </c>
      <c r="R149" s="179">
        <f>VLOOKUP(A149,'OI(Value)'!A149:O350,11,0)</f>
        <v>806312</v>
      </c>
      <c r="S149" s="179">
        <f>VLOOKUP(A149,'OI(Value)'!A149:O350,11,0)</f>
        <v>806312</v>
      </c>
    </row>
    <row r="150" spans="1:19" x14ac:dyDescent="0.25">
      <c r="A150" s="105" t="str">
        <f>'Data shares'!C145</f>
        <v>NIFTYNXT50</v>
      </c>
      <c r="B150" s="143">
        <f>VLOOKUP($A150,'Data shares'!$C:$FA,118)</f>
        <v>0.34</v>
      </c>
      <c r="C150" s="143">
        <f>VLOOKUP($A150,'Data shares'!$C:$FA,119)</f>
        <v>0.44</v>
      </c>
      <c r="D150" s="143">
        <f>VLOOKUP($A150,'Data shares'!$C:$FA,121)*100</f>
        <v>-22.73</v>
      </c>
      <c r="E150" s="143">
        <f>VLOOKUP($A150,'Data shares'!$C:$FA,124)</f>
        <v>0.28000000000000003</v>
      </c>
      <c r="F150" s="143">
        <f>VLOOKUP($A150,'Data shares'!$C:$FA,125)</f>
        <v>0.63</v>
      </c>
      <c r="G150" s="143">
        <f>VLOOKUP($A150,'Data shares'!$C:$FA,127)*100</f>
        <v>-55.559999999999995</v>
      </c>
      <c r="H150" s="103">
        <f>VLOOKUP($A150,'OI(Volume)'!$A$7:$O$427,8)</f>
        <v>6375</v>
      </c>
      <c r="I150" s="103">
        <f>VLOOKUP($A150,'OI(Volume)'!$A$7:$O$427,9)</f>
        <v>1675</v>
      </c>
      <c r="J150" s="103">
        <f>VLOOKUP($A150,'OI(Volume)'!$A$7:$O$427,11)</f>
        <v>2175</v>
      </c>
      <c r="K150" s="103">
        <f>VLOOKUP($A150,'OI(Volume)'!$A$7:$O$427,12)</f>
        <v>125</v>
      </c>
      <c r="L150" s="103">
        <f>VLOOKUP($A150,'OI(Value)'!$A$7:$O$306,8,0)</f>
        <v>44</v>
      </c>
      <c r="M150" s="103">
        <f>VLOOKUP($A150,'OI(Value)'!$A$7:$O$306,9,0)</f>
        <v>12</v>
      </c>
      <c r="N150" s="103">
        <f>VLOOKUP($A150,'OI(Value)'!$A$7:$O$306,11,0)</f>
        <v>15</v>
      </c>
      <c r="O150" s="103">
        <f>VLOOKUP($A150,'OI(Value)'!$A$7:$O$306,12,0)</f>
        <v>1</v>
      </c>
      <c r="P150" s="179">
        <f>VLOOKUP(A150,'OI(Value)'!A150:O351,8,0)</f>
        <v>44</v>
      </c>
      <c r="Q150" s="179">
        <f>VLOOKUP(A150,'OI(Value)'!A150:O351,9,0)</f>
        <v>12</v>
      </c>
      <c r="R150" s="179">
        <f>VLOOKUP(A150,'OI(Value)'!A150:O351,11,0)</f>
        <v>15</v>
      </c>
      <c r="S150" s="179">
        <f>VLOOKUP(A150,'OI(Value)'!A150:O351,11,0)</f>
        <v>15</v>
      </c>
    </row>
    <row r="151" spans="1:19" x14ac:dyDescent="0.25">
      <c r="A151" s="105" t="str">
        <f>'Data shares'!C146</f>
        <v>NMDC</v>
      </c>
      <c r="B151" s="143">
        <f>VLOOKUP($A151,'Data shares'!$C:$FA,118)</f>
        <v>0.56999999999999995</v>
      </c>
      <c r="C151" s="143">
        <f>VLOOKUP($A151,'Data shares'!$C:$FA,119)</f>
        <v>0.69</v>
      </c>
      <c r="D151" s="143">
        <f>VLOOKUP($A151,'Data shares'!$C:$FA,121)*100</f>
        <v>-17.39</v>
      </c>
      <c r="E151" s="143">
        <f>VLOOKUP($A151,'Data shares'!$C:$FA,124)</f>
        <v>0.45</v>
      </c>
      <c r="F151" s="143">
        <f>VLOOKUP($A151,'Data shares'!$C:$FA,125)</f>
        <v>0.46</v>
      </c>
      <c r="G151" s="143">
        <f>VLOOKUP($A151,'Data shares'!$C:$FA,127)*100</f>
        <v>-2.17</v>
      </c>
      <c r="H151" s="103">
        <f>VLOOKUP($A151,'OI(Volume)'!$A$7:$O$427,8)</f>
        <v>131989500</v>
      </c>
      <c r="I151" s="103">
        <f>VLOOKUP($A151,'OI(Volume)'!$A$7:$O$427,9)</f>
        <v>19764000</v>
      </c>
      <c r="J151" s="103">
        <f>VLOOKUP($A151,'OI(Volume)'!$A$7:$O$427,11)</f>
        <v>75681000</v>
      </c>
      <c r="K151" s="103">
        <f>VLOOKUP($A151,'OI(Volume)'!$A$7:$O$427,12)</f>
        <v>-1728000</v>
      </c>
      <c r="L151" s="103">
        <f>VLOOKUP($A151,'OI(Value)'!$A$7:$O$306,8,0)</f>
        <v>1021</v>
      </c>
      <c r="M151" s="103">
        <f>VLOOKUP($A151,'OI(Value)'!$A$7:$O$306,9,0)</f>
        <v>153</v>
      </c>
      <c r="N151" s="103">
        <f>VLOOKUP($A151,'OI(Value)'!$A$7:$O$306,11,0)</f>
        <v>585</v>
      </c>
      <c r="O151" s="103">
        <f>VLOOKUP($A151,'OI(Value)'!$A$7:$O$306,12,0)</f>
        <v>-13</v>
      </c>
      <c r="P151" s="179">
        <f>VLOOKUP(A151,'OI(Value)'!A151:O352,8,0)</f>
        <v>1021</v>
      </c>
      <c r="Q151" s="179">
        <f>VLOOKUP(A151,'OI(Value)'!A151:O352,9,0)</f>
        <v>153</v>
      </c>
      <c r="R151" s="179">
        <f>VLOOKUP(A151,'OI(Value)'!A151:O352,11,0)</f>
        <v>585</v>
      </c>
      <c r="S151" s="179">
        <f>VLOOKUP(A151,'OI(Value)'!A151:O352,11,0)</f>
        <v>585</v>
      </c>
    </row>
    <row r="152" spans="1:19" x14ac:dyDescent="0.25">
      <c r="A152" s="105" t="str">
        <f>'Data shares'!C147</f>
        <v>NTPC</v>
      </c>
      <c r="B152" s="143">
        <f>VLOOKUP($A152,'Data shares'!$C:$FA,118)</f>
        <v>0.46</v>
      </c>
      <c r="C152" s="143">
        <f>VLOOKUP($A152,'Data shares'!$C:$FA,119)</f>
        <v>0.5</v>
      </c>
      <c r="D152" s="143">
        <f>VLOOKUP($A152,'Data shares'!$C:$FA,121)*100</f>
        <v>-8</v>
      </c>
      <c r="E152" s="143">
        <f>VLOOKUP($A152,'Data shares'!$C:$FA,124)</f>
        <v>0.51</v>
      </c>
      <c r="F152" s="143">
        <f>VLOOKUP($A152,'Data shares'!$C:$FA,125)</f>
        <v>0.46</v>
      </c>
      <c r="G152" s="143">
        <f>VLOOKUP($A152,'Data shares'!$C:$FA,127)*100</f>
        <v>10.870000000000001</v>
      </c>
      <c r="H152" s="103">
        <f>VLOOKUP($A152,'OI(Volume)'!$A$7:$O$427,8)</f>
        <v>37315500</v>
      </c>
      <c r="I152" s="103">
        <f>VLOOKUP($A152,'OI(Volume)'!$A$7:$O$427,9)</f>
        <v>1812000</v>
      </c>
      <c r="J152" s="103">
        <f>VLOOKUP($A152,'OI(Volume)'!$A$7:$O$427,11)</f>
        <v>17278500</v>
      </c>
      <c r="K152" s="103">
        <f>VLOOKUP($A152,'OI(Volume)'!$A$7:$O$427,12)</f>
        <v>-312000</v>
      </c>
      <c r="L152" s="103">
        <f>VLOOKUP($A152,'OI(Value)'!$A$7:$O$306,8,0)</f>
        <v>1271</v>
      </c>
      <c r="M152" s="103">
        <f>VLOOKUP($A152,'OI(Value)'!$A$7:$O$306,9,0)</f>
        <v>62</v>
      </c>
      <c r="N152" s="103">
        <f>VLOOKUP($A152,'OI(Value)'!$A$7:$O$306,11,0)</f>
        <v>589</v>
      </c>
      <c r="O152" s="103">
        <f>VLOOKUP($A152,'OI(Value)'!$A$7:$O$306,12,0)</f>
        <v>-11</v>
      </c>
      <c r="P152" s="179">
        <f>VLOOKUP(A152,'OI(Value)'!A152:O353,8,0)</f>
        <v>1271</v>
      </c>
      <c r="Q152" s="179">
        <f>VLOOKUP(A152,'OI(Value)'!A152:O353,9,0)</f>
        <v>62</v>
      </c>
      <c r="R152" s="179">
        <f>VLOOKUP(A152,'OI(Value)'!A152:O353,11,0)</f>
        <v>589</v>
      </c>
      <c r="S152" s="179">
        <f>VLOOKUP(A152,'OI(Value)'!A152:O353,11,0)</f>
        <v>589</v>
      </c>
    </row>
    <row r="153" spans="1:19" x14ac:dyDescent="0.25">
      <c r="A153" s="105" t="str">
        <f>'Data shares'!C148</f>
        <v>NUVAMA</v>
      </c>
      <c r="B153" s="143">
        <f>VLOOKUP($A153,'Data shares'!$C:$FA,118)</f>
        <v>1.04</v>
      </c>
      <c r="C153" s="143">
        <f>VLOOKUP($A153,'Data shares'!$C:$FA,119)</f>
        <v>0.96</v>
      </c>
      <c r="D153" s="143">
        <f>VLOOKUP($A153,'Data shares'!$C:$FA,121)*100</f>
        <v>8.33</v>
      </c>
      <c r="E153" s="143">
        <f>VLOOKUP($A153,'Data shares'!$C:$FA,124)</f>
        <v>0.54</v>
      </c>
      <c r="F153" s="143">
        <f>VLOOKUP($A153,'Data shares'!$C:$FA,125)</f>
        <v>0.56999999999999995</v>
      </c>
      <c r="G153" s="143">
        <f>VLOOKUP($A153,'Data shares'!$C:$FA,127)*100</f>
        <v>-5.26</v>
      </c>
      <c r="H153" s="103">
        <f>VLOOKUP($A153,'OI(Volume)'!$A$7:$O$427,8)</f>
        <v>247425</v>
      </c>
      <c r="I153" s="103">
        <f>VLOOKUP($A153,'OI(Volume)'!$A$7:$O$427,9)</f>
        <v>30225</v>
      </c>
      <c r="J153" s="103">
        <f>VLOOKUP($A153,'OI(Volume)'!$A$7:$O$427,11)</f>
        <v>258075</v>
      </c>
      <c r="K153" s="103">
        <f>VLOOKUP($A153,'OI(Volume)'!$A$7:$O$427,12)</f>
        <v>49425</v>
      </c>
      <c r="L153" s="103">
        <f>VLOOKUP($A153,'OI(Value)'!$A$7:$O$306,8,0)</f>
        <v>179</v>
      </c>
      <c r="M153" s="103">
        <f>VLOOKUP($A153,'OI(Value)'!$A$7:$O$306,9,0)</f>
        <v>22</v>
      </c>
      <c r="N153" s="103">
        <f>VLOOKUP($A153,'OI(Value)'!$A$7:$O$306,11,0)</f>
        <v>187</v>
      </c>
      <c r="O153" s="103">
        <f>VLOOKUP($A153,'OI(Value)'!$A$7:$O$306,12,0)</f>
        <v>36</v>
      </c>
      <c r="P153" s="179">
        <f>VLOOKUP(A153,'OI(Value)'!A153:O354,8,0)</f>
        <v>179</v>
      </c>
      <c r="Q153" s="179">
        <f>VLOOKUP(A153,'OI(Value)'!A153:O354,9,0)</f>
        <v>22</v>
      </c>
      <c r="R153" s="179">
        <f>VLOOKUP(A153,'OI(Value)'!A153:O354,11,0)</f>
        <v>187</v>
      </c>
      <c r="S153" s="179">
        <f>VLOOKUP(A153,'OI(Value)'!A153:O354,11,0)</f>
        <v>187</v>
      </c>
    </row>
    <row r="154" spans="1:19" x14ac:dyDescent="0.25">
      <c r="A154" s="105" t="str">
        <f>'Data shares'!C149</f>
        <v>NYKAA</v>
      </c>
      <c r="B154" s="143">
        <f>VLOOKUP($A154,'Data shares'!$C:$FA,118)</f>
        <v>0.76</v>
      </c>
      <c r="C154" s="143">
        <f>VLOOKUP($A154,'Data shares'!$C:$FA,119)</f>
        <v>0.71</v>
      </c>
      <c r="D154" s="143">
        <f>VLOOKUP($A154,'Data shares'!$C:$FA,121)*100</f>
        <v>7.04</v>
      </c>
      <c r="E154" s="143">
        <f>VLOOKUP($A154,'Data shares'!$C:$FA,124)</f>
        <v>0.49</v>
      </c>
      <c r="F154" s="143">
        <f>VLOOKUP($A154,'Data shares'!$C:$FA,125)</f>
        <v>0.43</v>
      </c>
      <c r="G154" s="143">
        <f>VLOOKUP($A154,'Data shares'!$C:$FA,127)*100</f>
        <v>13.950000000000001</v>
      </c>
      <c r="H154" s="103">
        <f>VLOOKUP($A154,'OI(Volume)'!$A$7:$O$427,8)</f>
        <v>14162500</v>
      </c>
      <c r="I154" s="103">
        <f>VLOOKUP($A154,'OI(Volume)'!$A$7:$O$427,9)</f>
        <v>40625</v>
      </c>
      <c r="J154" s="103">
        <f>VLOOKUP($A154,'OI(Volume)'!$A$7:$O$427,11)</f>
        <v>10809375</v>
      </c>
      <c r="K154" s="103">
        <f>VLOOKUP($A154,'OI(Volume)'!$A$7:$O$427,12)</f>
        <v>781250</v>
      </c>
      <c r="L154" s="103">
        <f>VLOOKUP($A154,'OI(Value)'!$A$7:$O$306,8,0)</f>
        <v>374</v>
      </c>
      <c r="M154" s="103">
        <f>VLOOKUP($A154,'OI(Value)'!$A$7:$O$306,9,0)</f>
        <v>1</v>
      </c>
      <c r="N154" s="103">
        <f>VLOOKUP($A154,'OI(Value)'!$A$7:$O$306,11,0)</f>
        <v>286</v>
      </c>
      <c r="O154" s="103">
        <f>VLOOKUP($A154,'OI(Value)'!$A$7:$O$306,12,0)</f>
        <v>21</v>
      </c>
      <c r="P154" s="179">
        <f>VLOOKUP(A154,'OI(Value)'!A154:O355,8,0)</f>
        <v>374</v>
      </c>
      <c r="Q154" s="179">
        <f>VLOOKUP(A154,'OI(Value)'!A154:O355,9,0)</f>
        <v>1</v>
      </c>
      <c r="R154" s="179">
        <f>VLOOKUP(A154,'OI(Value)'!A154:O355,11,0)</f>
        <v>286</v>
      </c>
      <c r="S154" s="179">
        <f>VLOOKUP(A154,'OI(Value)'!A154:O355,11,0)</f>
        <v>286</v>
      </c>
    </row>
    <row r="155" spans="1:19" x14ac:dyDescent="0.25">
      <c r="A155" s="105" t="str">
        <f>'Data shares'!C150</f>
        <v>OBEROIRLTY</v>
      </c>
      <c r="B155" s="143">
        <f>VLOOKUP($A155,'Data shares'!$C:$FA,118)</f>
        <v>0.8</v>
      </c>
      <c r="C155" s="143">
        <f>VLOOKUP($A155,'Data shares'!$C:$FA,119)</f>
        <v>0.76</v>
      </c>
      <c r="D155" s="143">
        <f>VLOOKUP($A155,'Data shares'!$C:$FA,121)*100</f>
        <v>5.26</v>
      </c>
      <c r="E155" s="143">
        <f>VLOOKUP($A155,'Data shares'!$C:$FA,124)</f>
        <v>0.27</v>
      </c>
      <c r="F155" s="143">
        <f>VLOOKUP($A155,'Data shares'!$C:$FA,125)</f>
        <v>0.45</v>
      </c>
      <c r="G155" s="143">
        <f>VLOOKUP($A155,'Data shares'!$C:$FA,127)*100</f>
        <v>-40</v>
      </c>
      <c r="H155" s="103">
        <f>VLOOKUP($A155,'OI(Volume)'!$A$7:$O$427,8)</f>
        <v>1123150</v>
      </c>
      <c r="I155" s="103">
        <f>VLOOKUP($A155,'OI(Volume)'!$A$7:$O$427,9)</f>
        <v>-42000</v>
      </c>
      <c r="J155" s="103">
        <f>VLOOKUP($A155,'OI(Volume)'!$A$7:$O$427,11)</f>
        <v>897050</v>
      </c>
      <c r="K155" s="103">
        <f>VLOOKUP($A155,'OI(Volume)'!$A$7:$O$427,12)</f>
        <v>11550</v>
      </c>
      <c r="L155" s="103">
        <f>VLOOKUP($A155,'OI(Value)'!$A$7:$O$306,8,0)</f>
        <v>181</v>
      </c>
      <c r="M155" s="103">
        <f>VLOOKUP($A155,'OI(Value)'!$A$7:$O$306,9,0)</f>
        <v>-7</v>
      </c>
      <c r="N155" s="103">
        <f>VLOOKUP($A155,'OI(Value)'!$A$7:$O$306,11,0)</f>
        <v>144</v>
      </c>
      <c r="O155" s="103">
        <f>VLOOKUP($A155,'OI(Value)'!$A$7:$O$306,12,0)</f>
        <v>2</v>
      </c>
      <c r="P155" s="179">
        <f>VLOOKUP(A155,'OI(Value)'!A155:O356,8,0)</f>
        <v>181</v>
      </c>
      <c r="Q155" s="179">
        <f>VLOOKUP(A155,'OI(Value)'!A155:O356,9,0)</f>
        <v>-7</v>
      </c>
      <c r="R155" s="179">
        <f>VLOOKUP(A155,'OI(Value)'!A155:O356,11,0)</f>
        <v>144</v>
      </c>
      <c r="S155" s="179">
        <f>VLOOKUP(A155,'OI(Value)'!A155:O356,11,0)</f>
        <v>144</v>
      </c>
    </row>
    <row r="156" spans="1:19" x14ac:dyDescent="0.25">
      <c r="A156" s="105" t="str">
        <f>'Data shares'!C151</f>
        <v>OFSS</v>
      </c>
      <c r="B156" s="143">
        <f>VLOOKUP($A156,'Data shares'!$C:$FA,118)</f>
        <v>0.57999999999999996</v>
      </c>
      <c r="C156" s="143">
        <f>VLOOKUP($A156,'Data shares'!$C:$FA,119)</f>
        <v>0.66</v>
      </c>
      <c r="D156" s="143">
        <f>VLOOKUP($A156,'Data shares'!$C:$FA,121)*100</f>
        <v>-12.120000000000001</v>
      </c>
      <c r="E156" s="143">
        <f>VLOOKUP($A156,'Data shares'!$C:$FA,124)</f>
        <v>0.4</v>
      </c>
      <c r="F156" s="143">
        <f>VLOOKUP($A156,'Data shares'!$C:$FA,125)</f>
        <v>0.37</v>
      </c>
      <c r="G156" s="143">
        <f>VLOOKUP($A156,'Data shares'!$C:$FA,127)*100</f>
        <v>8.1100000000000012</v>
      </c>
      <c r="H156" s="103">
        <f>VLOOKUP($A156,'OI(Volume)'!$A$7:$O$427,8)</f>
        <v>528825</v>
      </c>
      <c r="I156" s="103">
        <f>VLOOKUP($A156,'OI(Volume)'!$A$7:$O$427,9)</f>
        <v>75450</v>
      </c>
      <c r="J156" s="103">
        <f>VLOOKUP($A156,'OI(Volume)'!$A$7:$O$427,11)</f>
        <v>305625</v>
      </c>
      <c r="K156" s="103">
        <f>VLOOKUP($A156,'OI(Volume)'!$A$7:$O$427,12)</f>
        <v>6225</v>
      </c>
      <c r="L156" s="103">
        <f>VLOOKUP($A156,'OI(Value)'!$A$7:$O$306,8,0)</f>
        <v>490</v>
      </c>
      <c r="M156" s="103">
        <f>VLOOKUP($A156,'OI(Value)'!$A$7:$O$306,9,0)</f>
        <v>70</v>
      </c>
      <c r="N156" s="103">
        <f>VLOOKUP($A156,'OI(Value)'!$A$7:$O$306,11,0)</f>
        <v>283</v>
      </c>
      <c r="O156" s="103">
        <f>VLOOKUP($A156,'OI(Value)'!$A$7:$O$306,12,0)</f>
        <v>6</v>
      </c>
      <c r="P156" s="179">
        <f>VLOOKUP(A156,'OI(Value)'!A156:O357,8,0)</f>
        <v>490</v>
      </c>
      <c r="Q156" s="179">
        <f>VLOOKUP(A156,'OI(Value)'!A156:O357,9,0)</f>
        <v>70</v>
      </c>
      <c r="R156" s="179">
        <f>VLOOKUP(A156,'OI(Value)'!A156:O357,11,0)</f>
        <v>283</v>
      </c>
      <c r="S156" s="179">
        <f>VLOOKUP(A156,'OI(Value)'!A156:O357,11,0)</f>
        <v>283</v>
      </c>
    </row>
    <row r="157" spans="1:19" x14ac:dyDescent="0.25">
      <c r="A157" s="105" t="str">
        <f>'Data shares'!C152</f>
        <v>OIL</v>
      </c>
      <c r="B157" s="143">
        <f>VLOOKUP($A157,'Data shares'!$C:$FA,118)</f>
        <v>0.6</v>
      </c>
      <c r="C157" s="143">
        <f>VLOOKUP($A157,'Data shares'!$C:$FA,119)</f>
        <v>0.6</v>
      </c>
      <c r="D157" s="143">
        <f>VLOOKUP($A157,'Data shares'!$C:$FA,121)*100</f>
        <v>0</v>
      </c>
      <c r="E157" s="143">
        <f>VLOOKUP($A157,'Data shares'!$C:$FA,124)</f>
        <v>0.51</v>
      </c>
      <c r="F157" s="143">
        <f>VLOOKUP($A157,'Data shares'!$C:$FA,125)</f>
        <v>0.57999999999999996</v>
      </c>
      <c r="G157" s="143">
        <f>VLOOKUP($A157,'Data shares'!$C:$FA,127)*100</f>
        <v>-12.07</v>
      </c>
      <c r="H157" s="103">
        <f>VLOOKUP($A157,'OI(Volume)'!$A$7:$O$427,8)</f>
        <v>5745600</v>
      </c>
      <c r="I157" s="103">
        <f>VLOOKUP($A157,'OI(Volume)'!$A$7:$O$427,9)</f>
        <v>261800</v>
      </c>
      <c r="J157" s="103">
        <f>VLOOKUP($A157,'OI(Volume)'!$A$7:$O$427,11)</f>
        <v>3427200</v>
      </c>
      <c r="K157" s="103">
        <f>VLOOKUP($A157,'OI(Volume)'!$A$7:$O$427,12)</f>
        <v>159600</v>
      </c>
      <c r="L157" s="103">
        <f>VLOOKUP($A157,'OI(Value)'!$A$7:$O$306,8,0)</f>
        <v>240</v>
      </c>
      <c r="M157" s="103">
        <f>VLOOKUP($A157,'OI(Value)'!$A$7:$O$306,9,0)</f>
        <v>11</v>
      </c>
      <c r="N157" s="103">
        <f>VLOOKUP($A157,'OI(Value)'!$A$7:$O$306,11,0)</f>
        <v>143</v>
      </c>
      <c r="O157" s="103">
        <f>VLOOKUP($A157,'OI(Value)'!$A$7:$O$306,12,0)</f>
        <v>7</v>
      </c>
      <c r="P157" s="179">
        <f>VLOOKUP(A157,'OI(Value)'!A157:O358,8,0)</f>
        <v>240</v>
      </c>
      <c r="Q157" s="179">
        <f>VLOOKUP(A157,'OI(Value)'!A157:O358,9,0)</f>
        <v>11</v>
      </c>
      <c r="R157" s="179">
        <f>VLOOKUP(A157,'OI(Value)'!A157:O358,11,0)</f>
        <v>143</v>
      </c>
      <c r="S157" s="179">
        <f>VLOOKUP(A157,'OI(Value)'!A157:O358,11,0)</f>
        <v>143</v>
      </c>
    </row>
    <row r="158" spans="1:19" x14ac:dyDescent="0.25">
      <c r="A158" s="105" t="str">
        <f>'Data shares'!C153</f>
        <v>ONGC</v>
      </c>
      <c r="B158" s="143">
        <f>VLOOKUP($A158,'Data shares'!$C:$FA,118)</f>
        <v>0.35</v>
      </c>
      <c r="C158" s="143">
        <f>VLOOKUP($A158,'Data shares'!$C:$FA,119)</f>
        <v>0.33</v>
      </c>
      <c r="D158" s="143">
        <f>VLOOKUP($A158,'Data shares'!$C:$FA,121)*100</f>
        <v>6.0600000000000005</v>
      </c>
      <c r="E158" s="143">
        <f>VLOOKUP($A158,'Data shares'!$C:$FA,124)</f>
        <v>0.52</v>
      </c>
      <c r="F158" s="143">
        <f>VLOOKUP($A158,'Data shares'!$C:$FA,125)</f>
        <v>0.45</v>
      </c>
      <c r="G158" s="143">
        <f>VLOOKUP($A158,'Data shares'!$C:$FA,127)*100</f>
        <v>15.559999999999999</v>
      </c>
      <c r="H158" s="103">
        <f>VLOOKUP($A158,'OI(Volume)'!$A$7:$O$427,8)</f>
        <v>54200250</v>
      </c>
      <c r="I158" s="103">
        <f>VLOOKUP($A158,'OI(Volume)'!$A$7:$O$427,9)</f>
        <v>-1077750</v>
      </c>
      <c r="J158" s="103">
        <f>VLOOKUP($A158,'OI(Volume)'!$A$7:$O$427,11)</f>
        <v>19073250</v>
      </c>
      <c r="K158" s="103">
        <f>VLOOKUP($A158,'OI(Volume)'!$A$7:$O$427,12)</f>
        <v>643500</v>
      </c>
      <c r="L158" s="103">
        <f>VLOOKUP($A158,'OI(Value)'!$A$7:$O$306,8,0)</f>
        <v>1338</v>
      </c>
      <c r="M158" s="103">
        <f>VLOOKUP($A158,'OI(Value)'!$A$7:$O$306,9,0)</f>
        <v>-27</v>
      </c>
      <c r="N158" s="103">
        <f>VLOOKUP($A158,'OI(Value)'!$A$7:$O$306,11,0)</f>
        <v>471</v>
      </c>
      <c r="O158" s="103">
        <f>VLOOKUP($A158,'OI(Value)'!$A$7:$O$306,12,0)</f>
        <v>16</v>
      </c>
      <c r="P158" s="179">
        <f>VLOOKUP(A158,'OI(Value)'!A158:O359,8,0)</f>
        <v>1338</v>
      </c>
      <c r="Q158" s="179">
        <f>VLOOKUP(A158,'OI(Value)'!A158:O359,9,0)</f>
        <v>-27</v>
      </c>
      <c r="R158" s="179">
        <f>VLOOKUP(A158,'OI(Value)'!A158:O359,11,0)</f>
        <v>471</v>
      </c>
      <c r="S158" s="179">
        <f>VLOOKUP(A158,'OI(Value)'!A158:O359,11,0)</f>
        <v>471</v>
      </c>
    </row>
    <row r="159" spans="1:19" x14ac:dyDescent="0.25">
      <c r="A159" s="105" t="str">
        <f>'Data shares'!C154</f>
        <v>PAGEIND</v>
      </c>
      <c r="B159" s="143">
        <f>VLOOKUP($A159,'Data shares'!$C:$FA,118)</f>
        <v>0.41</v>
      </c>
      <c r="C159" s="143">
        <f>VLOOKUP($A159,'Data shares'!$C:$FA,119)</f>
        <v>0.42</v>
      </c>
      <c r="D159" s="143">
        <f>VLOOKUP($A159,'Data shares'!$C:$FA,121)*100</f>
        <v>-2.3800000000000003</v>
      </c>
      <c r="E159" s="143">
        <f>VLOOKUP($A159,'Data shares'!$C:$FA,124)</f>
        <v>0.19</v>
      </c>
      <c r="F159" s="143">
        <f>VLOOKUP($A159,'Data shares'!$C:$FA,125)</f>
        <v>0.11</v>
      </c>
      <c r="G159" s="143">
        <f>VLOOKUP($A159,'Data shares'!$C:$FA,127)*100</f>
        <v>72.72999999999999</v>
      </c>
      <c r="H159" s="103">
        <f>VLOOKUP($A159,'OI(Volume)'!$A$7:$O$427,8)</f>
        <v>79590</v>
      </c>
      <c r="I159" s="103">
        <f>VLOOKUP($A159,'OI(Volume)'!$A$7:$O$427,9)</f>
        <v>5325</v>
      </c>
      <c r="J159" s="103">
        <f>VLOOKUP($A159,'OI(Volume)'!$A$7:$O$427,11)</f>
        <v>32310</v>
      </c>
      <c r="K159" s="103">
        <f>VLOOKUP($A159,'OI(Volume)'!$A$7:$O$427,12)</f>
        <v>765</v>
      </c>
      <c r="L159" s="103">
        <f>VLOOKUP($A159,'OI(Value)'!$A$7:$O$306,8,0)</f>
        <v>330</v>
      </c>
      <c r="M159" s="103">
        <f>VLOOKUP($A159,'OI(Value)'!$A$7:$O$306,9,0)</f>
        <v>22</v>
      </c>
      <c r="N159" s="103">
        <f>VLOOKUP($A159,'OI(Value)'!$A$7:$O$306,11,0)</f>
        <v>134</v>
      </c>
      <c r="O159" s="103">
        <f>VLOOKUP($A159,'OI(Value)'!$A$7:$O$306,12,0)</f>
        <v>3</v>
      </c>
      <c r="P159" s="179">
        <f>VLOOKUP(A159,'OI(Value)'!A159:O360,8,0)</f>
        <v>330</v>
      </c>
      <c r="Q159" s="179">
        <f>VLOOKUP(A159,'OI(Value)'!A159:O360,9,0)</f>
        <v>22</v>
      </c>
      <c r="R159" s="179">
        <f>VLOOKUP(A159,'OI(Value)'!A159:O360,11,0)</f>
        <v>134</v>
      </c>
      <c r="S159" s="179">
        <f>VLOOKUP(A159,'OI(Value)'!A159:O360,11,0)</f>
        <v>134</v>
      </c>
    </row>
    <row r="160" spans="1:19" x14ac:dyDescent="0.25">
      <c r="A160" s="105" t="str">
        <f>'Data shares'!C155</f>
        <v>PATANJALI</v>
      </c>
      <c r="B160" s="143">
        <f>VLOOKUP($A160,'Data shares'!$C:$FA,118)</f>
        <v>0.43</v>
      </c>
      <c r="C160" s="143">
        <f>VLOOKUP($A160,'Data shares'!$C:$FA,119)</f>
        <v>0.48</v>
      </c>
      <c r="D160" s="143">
        <f>VLOOKUP($A160,'Data shares'!$C:$FA,121)*100</f>
        <v>-10.42</v>
      </c>
      <c r="E160" s="143">
        <f>VLOOKUP($A160,'Data shares'!$C:$FA,124)</f>
        <v>0.45</v>
      </c>
      <c r="F160" s="143">
        <f>VLOOKUP($A160,'Data shares'!$C:$FA,125)</f>
        <v>0.89</v>
      </c>
      <c r="G160" s="143">
        <f>VLOOKUP($A160,'Data shares'!$C:$FA,127)*100</f>
        <v>-49.44</v>
      </c>
      <c r="H160" s="103">
        <f>VLOOKUP($A160,'OI(Volume)'!$A$7:$O$427,8)</f>
        <v>6031800</v>
      </c>
      <c r="I160" s="103">
        <f>VLOOKUP($A160,'OI(Volume)'!$A$7:$O$427,9)</f>
        <v>669600</v>
      </c>
      <c r="J160" s="103">
        <f>VLOOKUP($A160,'OI(Volume)'!$A$7:$O$427,11)</f>
        <v>2609100</v>
      </c>
      <c r="K160" s="103">
        <f>VLOOKUP($A160,'OI(Volume)'!$A$7:$O$427,12)</f>
        <v>28800</v>
      </c>
      <c r="L160" s="103">
        <f>VLOOKUP($A160,'OI(Value)'!$A$7:$O$306,8,0)</f>
        <v>359</v>
      </c>
      <c r="M160" s="103">
        <f>VLOOKUP($A160,'OI(Value)'!$A$7:$O$306,9,0)</f>
        <v>40</v>
      </c>
      <c r="N160" s="103">
        <f>VLOOKUP($A160,'OI(Value)'!$A$7:$O$306,11,0)</f>
        <v>155</v>
      </c>
      <c r="O160" s="103">
        <f>VLOOKUP($A160,'OI(Value)'!$A$7:$O$306,12,0)</f>
        <v>2</v>
      </c>
      <c r="P160" s="179">
        <f>VLOOKUP(A160,'OI(Value)'!A160:O361,8,0)</f>
        <v>359</v>
      </c>
      <c r="Q160" s="179">
        <f>VLOOKUP(A160,'OI(Value)'!A160:O361,9,0)</f>
        <v>40</v>
      </c>
      <c r="R160" s="179">
        <f>VLOOKUP(A160,'OI(Value)'!A160:O361,11,0)</f>
        <v>155</v>
      </c>
      <c r="S160" s="179">
        <f>VLOOKUP(A160,'OI(Value)'!A160:O361,11,0)</f>
        <v>155</v>
      </c>
    </row>
    <row r="161" spans="1:19" x14ac:dyDescent="0.25">
      <c r="A161" s="105" t="str">
        <f>'Data shares'!C156</f>
        <v>PAYTM</v>
      </c>
      <c r="B161" s="143">
        <f>VLOOKUP($A161,'Data shares'!$C:$FA,118)</f>
        <v>0.87</v>
      </c>
      <c r="C161" s="143">
        <f>VLOOKUP($A161,'Data shares'!$C:$FA,119)</f>
        <v>0.88</v>
      </c>
      <c r="D161" s="143">
        <f>VLOOKUP($A161,'Data shares'!$C:$FA,121)*100</f>
        <v>-1.1400000000000001</v>
      </c>
      <c r="E161" s="143">
        <f>VLOOKUP($A161,'Data shares'!$C:$FA,124)</f>
        <v>0.57999999999999996</v>
      </c>
      <c r="F161" s="143">
        <f>VLOOKUP($A161,'Data shares'!$C:$FA,125)</f>
        <v>0.6</v>
      </c>
      <c r="G161" s="143">
        <f>VLOOKUP($A161,'Data shares'!$C:$FA,127)*100</f>
        <v>-3.3300000000000005</v>
      </c>
      <c r="H161" s="103">
        <f>VLOOKUP($A161,'OI(Volume)'!$A$7:$O$427,8)</f>
        <v>6654775</v>
      </c>
      <c r="I161" s="103">
        <f>VLOOKUP($A161,'OI(Volume)'!$A$7:$O$427,9)</f>
        <v>-5800</v>
      </c>
      <c r="J161" s="103">
        <f>VLOOKUP($A161,'OI(Volume)'!$A$7:$O$427,11)</f>
        <v>5800000</v>
      </c>
      <c r="K161" s="103">
        <f>VLOOKUP($A161,'OI(Volume)'!$A$7:$O$427,12)</f>
        <v>-30450</v>
      </c>
      <c r="L161" s="103">
        <f>VLOOKUP($A161,'OI(Value)'!$A$7:$O$306,8,0)</f>
        <v>827</v>
      </c>
      <c r="M161" s="103">
        <f>VLOOKUP($A161,'OI(Value)'!$A$7:$O$306,9,0)</f>
        <v>-1</v>
      </c>
      <c r="N161" s="103">
        <f>VLOOKUP($A161,'OI(Value)'!$A$7:$O$306,11,0)</f>
        <v>721</v>
      </c>
      <c r="O161" s="103">
        <f>VLOOKUP($A161,'OI(Value)'!$A$7:$O$306,12,0)</f>
        <v>-4</v>
      </c>
      <c r="P161" s="179">
        <f>VLOOKUP(A161,'OI(Value)'!A161:O362,8,0)</f>
        <v>827</v>
      </c>
      <c r="Q161" s="179">
        <f>VLOOKUP(A161,'OI(Value)'!A161:O362,9,0)</f>
        <v>-1</v>
      </c>
      <c r="R161" s="179">
        <f>VLOOKUP(A161,'OI(Value)'!A161:O362,11,0)</f>
        <v>721</v>
      </c>
      <c r="S161" s="179">
        <f>VLOOKUP(A161,'OI(Value)'!A161:O362,11,0)</f>
        <v>721</v>
      </c>
    </row>
    <row r="162" spans="1:19" x14ac:dyDescent="0.25">
      <c r="A162" s="105" t="str">
        <f>'Data shares'!C157</f>
        <v>PERSISTENT</v>
      </c>
      <c r="B162" s="143">
        <f>VLOOKUP($A162,'Data shares'!$C:$FA,118)</f>
        <v>0.69</v>
      </c>
      <c r="C162" s="143">
        <f>VLOOKUP($A162,'Data shares'!$C:$FA,119)</f>
        <v>0.7</v>
      </c>
      <c r="D162" s="143">
        <f>VLOOKUP($A162,'Data shares'!$C:$FA,121)*100</f>
        <v>-1.43</v>
      </c>
      <c r="E162" s="143">
        <f>VLOOKUP($A162,'Data shares'!$C:$FA,124)</f>
        <v>0.63</v>
      </c>
      <c r="F162" s="143">
        <f>VLOOKUP($A162,'Data shares'!$C:$FA,125)</f>
        <v>0.59</v>
      </c>
      <c r="G162" s="143">
        <f>VLOOKUP($A162,'Data shares'!$C:$FA,127)*100</f>
        <v>6.78</v>
      </c>
      <c r="H162" s="103">
        <f>VLOOKUP($A162,'OI(Volume)'!$A$7:$O$427,8)</f>
        <v>868700</v>
      </c>
      <c r="I162" s="103">
        <f>VLOOKUP($A162,'OI(Volume)'!$A$7:$O$427,9)</f>
        <v>10500</v>
      </c>
      <c r="J162" s="103">
        <f>VLOOKUP($A162,'OI(Volume)'!$A$7:$O$427,11)</f>
        <v>602500</v>
      </c>
      <c r="K162" s="103">
        <f>VLOOKUP($A162,'OI(Volume)'!$A$7:$O$427,12)</f>
        <v>4300</v>
      </c>
      <c r="L162" s="103">
        <f>VLOOKUP($A162,'OI(Value)'!$A$7:$O$306,8,0)</f>
        <v>468</v>
      </c>
      <c r="M162" s="103">
        <f>VLOOKUP($A162,'OI(Value)'!$A$7:$O$306,9,0)</f>
        <v>6</v>
      </c>
      <c r="N162" s="103">
        <f>VLOOKUP($A162,'OI(Value)'!$A$7:$O$306,11,0)</f>
        <v>324</v>
      </c>
      <c r="O162" s="103">
        <f>VLOOKUP($A162,'OI(Value)'!$A$7:$O$306,12,0)</f>
        <v>2</v>
      </c>
      <c r="P162" s="179">
        <f>VLOOKUP(A162,'OI(Value)'!A162:O363,8,0)</f>
        <v>468</v>
      </c>
      <c r="Q162" s="179">
        <f>VLOOKUP(A162,'OI(Value)'!A162:O363,9,0)</f>
        <v>6</v>
      </c>
      <c r="R162" s="179">
        <f>VLOOKUP(A162,'OI(Value)'!A162:O363,11,0)</f>
        <v>324</v>
      </c>
      <c r="S162" s="179">
        <f>VLOOKUP(A162,'OI(Value)'!A162:O363,11,0)</f>
        <v>324</v>
      </c>
    </row>
    <row r="163" spans="1:19" x14ac:dyDescent="0.25">
      <c r="A163" s="105" t="str">
        <f>'Data shares'!C158</f>
        <v>PETRONET</v>
      </c>
      <c r="B163" s="143">
        <f>VLOOKUP($A163,'Data shares'!$C:$FA,118)</f>
        <v>1.01</v>
      </c>
      <c r="C163" s="143">
        <f>VLOOKUP($A163,'Data shares'!$C:$FA,119)</f>
        <v>1.03</v>
      </c>
      <c r="D163" s="143">
        <f>VLOOKUP($A163,'Data shares'!$C:$FA,121)*100</f>
        <v>-1.94</v>
      </c>
      <c r="E163" s="143">
        <f>VLOOKUP($A163,'Data shares'!$C:$FA,124)</f>
        <v>0.34</v>
      </c>
      <c r="F163" s="143">
        <f>VLOOKUP($A163,'Data shares'!$C:$FA,125)</f>
        <v>0.28999999999999998</v>
      </c>
      <c r="G163" s="143">
        <f>VLOOKUP($A163,'Data shares'!$C:$FA,127)*100</f>
        <v>17.239999999999998</v>
      </c>
      <c r="H163" s="103">
        <f>VLOOKUP($A163,'OI(Volume)'!$A$7:$O$427,8)</f>
        <v>15220800</v>
      </c>
      <c r="I163" s="103">
        <f>VLOOKUP($A163,'OI(Volume)'!$A$7:$O$427,9)</f>
        <v>360000</v>
      </c>
      <c r="J163" s="103">
        <f>VLOOKUP($A163,'OI(Volume)'!$A$7:$O$427,11)</f>
        <v>15424200</v>
      </c>
      <c r="K163" s="103">
        <f>VLOOKUP($A163,'OI(Volume)'!$A$7:$O$427,12)</f>
        <v>72000</v>
      </c>
      <c r="L163" s="103">
        <f>VLOOKUP($A163,'OI(Value)'!$A$7:$O$306,8,0)</f>
        <v>430</v>
      </c>
      <c r="M163" s="103">
        <f>VLOOKUP($A163,'OI(Value)'!$A$7:$O$306,9,0)</f>
        <v>10</v>
      </c>
      <c r="N163" s="103">
        <f>VLOOKUP($A163,'OI(Value)'!$A$7:$O$306,11,0)</f>
        <v>436</v>
      </c>
      <c r="O163" s="103">
        <f>VLOOKUP($A163,'OI(Value)'!$A$7:$O$306,12,0)</f>
        <v>2</v>
      </c>
      <c r="P163" s="179">
        <f>VLOOKUP(A163,'OI(Value)'!A163:O364,8,0)</f>
        <v>430</v>
      </c>
      <c r="Q163" s="179">
        <f>VLOOKUP(A163,'OI(Value)'!A163:O364,9,0)</f>
        <v>10</v>
      </c>
      <c r="R163" s="179">
        <f>VLOOKUP(A163,'OI(Value)'!A163:O364,11,0)</f>
        <v>436</v>
      </c>
      <c r="S163" s="179">
        <f>VLOOKUP(A163,'OI(Value)'!A163:O364,11,0)</f>
        <v>436</v>
      </c>
    </row>
    <row r="164" spans="1:19" x14ac:dyDescent="0.25">
      <c r="A164" s="105" t="str">
        <f>'Data shares'!C159</f>
        <v>PFC</v>
      </c>
      <c r="B164" s="143">
        <f>VLOOKUP($A164,'Data shares'!$C:$FA,118)</f>
        <v>0.76</v>
      </c>
      <c r="C164" s="143">
        <f>VLOOKUP($A164,'Data shares'!$C:$FA,119)</f>
        <v>0.75</v>
      </c>
      <c r="D164" s="143">
        <f>VLOOKUP($A164,'Data shares'!$C:$FA,121)*100</f>
        <v>1.3299999999999998</v>
      </c>
      <c r="E164" s="143">
        <f>VLOOKUP($A164,'Data shares'!$C:$FA,124)</f>
        <v>0.61</v>
      </c>
      <c r="F164" s="143">
        <f>VLOOKUP($A164,'Data shares'!$C:$FA,125)</f>
        <v>0.51</v>
      </c>
      <c r="G164" s="143">
        <f>VLOOKUP($A164,'Data shares'!$C:$FA,127)*100</f>
        <v>19.61</v>
      </c>
      <c r="H164" s="103">
        <f>VLOOKUP($A164,'OI(Volume)'!$A$7:$O$427,8)</f>
        <v>23280400</v>
      </c>
      <c r="I164" s="103">
        <f>VLOOKUP($A164,'OI(Volume)'!$A$7:$O$427,9)</f>
        <v>-705900</v>
      </c>
      <c r="J164" s="103">
        <f>VLOOKUP($A164,'OI(Volume)'!$A$7:$O$427,11)</f>
        <v>17724200</v>
      </c>
      <c r="K164" s="103">
        <f>VLOOKUP($A164,'OI(Volume)'!$A$7:$O$427,12)</f>
        <v>-301600</v>
      </c>
      <c r="L164" s="103">
        <f>VLOOKUP($A164,'OI(Value)'!$A$7:$O$306,8,0)</f>
        <v>945</v>
      </c>
      <c r="M164" s="103">
        <f>VLOOKUP($A164,'OI(Value)'!$A$7:$O$306,9,0)</f>
        <v>-29</v>
      </c>
      <c r="N164" s="103">
        <f>VLOOKUP($A164,'OI(Value)'!$A$7:$O$306,11,0)</f>
        <v>719</v>
      </c>
      <c r="O164" s="103">
        <f>VLOOKUP($A164,'OI(Value)'!$A$7:$O$306,12,0)</f>
        <v>-12</v>
      </c>
      <c r="P164" s="179">
        <f>VLOOKUP(A164,'OI(Value)'!A164:O365,8,0)</f>
        <v>945</v>
      </c>
      <c r="Q164" s="179">
        <f>VLOOKUP(A164,'OI(Value)'!A164:O365,9,0)</f>
        <v>-29</v>
      </c>
      <c r="R164" s="179">
        <f>VLOOKUP(A164,'OI(Value)'!A164:O365,11,0)</f>
        <v>719</v>
      </c>
      <c r="S164" s="179">
        <f>VLOOKUP(A164,'OI(Value)'!A164:O365,11,0)</f>
        <v>719</v>
      </c>
    </row>
    <row r="165" spans="1:19" x14ac:dyDescent="0.25">
      <c r="A165" s="105" t="str">
        <f>'Data shares'!C160</f>
        <v>PGEL</v>
      </c>
      <c r="B165" s="143">
        <f>VLOOKUP($A165,'Data shares'!$C:$FA,118)</f>
        <v>0.92</v>
      </c>
      <c r="C165" s="143">
        <f>VLOOKUP($A165,'Data shares'!$C:$FA,119)</f>
        <v>0.67</v>
      </c>
      <c r="D165" s="143">
        <f>VLOOKUP($A165,'Data shares'!$C:$FA,121)*100</f>
        <v>37.31</v>
      </c>
      <c r="E165" s="143">
        <f>VLOOKUP($A165,'Data shares'!$C:$FA,124)</f>
        <v>0.37</v>
      </c>
      <c r="F165" s="143">
        <f>VLOOKUP($A165,'Data shares'!$C:$FA,125)</f>
        <v>0.33</v>
      </c>
      <c r="G165" s="143">
        <f>VLOOKUP($A165,'Data shares'!$C:$FA,127)*100</f>
        <v>12.120000000000001</v>
      </c>
      <c r="H165" s="103">
        <f>VLOOKUP($A165,'OI(Volume)'!$A$7:$O$427,8)</f>
        <v>6788600</v>
      </c>
      <c r="I165" s="103">
        <f>VLOOKUP($A165,'OI(Volume)'!$A$7:$O$427,9)</f>
        <v>1019900</v>
      </c>
      <c r="J165" s="103">
        <f>VLOOKUP($A165,'OI(Volume)'!$A$7:$O$427,11)</f>
        <v>6246100</v>
      </c>
      <c r="K165" s="103">
        <f>VLOOKUP($A165,'OI(Volume)'!$A$7:$O$427,12)</f>
        <v>2400300</v>
      </c>
      <c r="L165" s="103">
        <f>VLOOKUP($A165,'OI(Value)'!$A$7:$O$306,8,0)</f>
        <v>400</v>
      </c>
      <c r="M165" s="103">
        <f>VLOOKUP($A165,'OI(Value)'!$A$7:$O$306,9,0)</f>
        <v>60</v>
      </c>
      <c r="N165" s="103">
        <f>VLOOKUP($A165,'OI(Value)'!$A$7:$O$306,11,0)</f>
        <v>368</v>
      </c>
      <c r="O165" s="103">
        <f>VLOOKUP($A165,'OI(Value)'!$A$7:$O$306,12,0)</f>
        <v>141</v>
      </c>
      <c r="P165" s="179">
        <f>VLOOKUP(A165,'OI(Value)'!A165:O366,8,0)</f>
        <v>400</v>
      </c>
      <c r="Q165" s="179">
        <f>VLOOKUP(A165,'OI(Value)'!A165:O366,9,0)</f>
        <v>60</v>
      </c>
      <c r="R165" s="179">
        <f>VLOOKUP(A165,'OI(Value)'!A165:O366,11,0)</f>
        <v>368</v>
      </c>
      <c r="S165" s="179">
        <f>VLOOKUP(A165,'OI(Value)'!A165:O366,11,0)</f>
        <v>368</v>
      </c>
    </row>
    <row r="166" spans="1:19" x14ac:dyDescent="0.25">
      <c r="A166" s="105" t="str">
        <f>'Data shares'!C161</f>
        <v>PHOENIXLTD</v>
      </c>
      <c r="B166" s="143">
        <f>VLOOKUP($A166,'Data shares'!$C:$FA,118)</f>
        <v>0.63</v>
      </c>
      <c r="C166" s="143">
        <f>VLOOKUP($A166,'Data shares'!$C:$FA,119)</f>
        <v>0.57999999999999996</v>
      </c>
      <c r="D166" s="143">
        <f>VLOOKUP($A166,'Data shares'!$C:$FA,121)*100</f>
        <v>8.6199999999999992</v>
      </c>
      <c r="E166" s="143">
        <f>VLOOKUP($A166,'Data shares'!$C:$FA,124)</f>
        <v>0.54</v>
      </c>
      <c r="F166" s="143">
        <f>VLOOKUP($A166,'Data shares'!$C:$FA,125)</f>
        <v>0.39</v>
      </c>
      <c r="G166" s="143">
        <f>VLOOKUP($A166,'Data shares'!$C:$FA,127)*100</f>
        <v>38.46</v>
      </c>
      <c r="H166" s="103">
        <f>VLOOKUP($A166,'OI(Volume)'!$A$7:$O$427,8)</f>
        <v>816200</v>
      </c>
      <c r="I166" s="103">
        <f>VLOOKUP($A166,'OI(Volume)'!$A$7:$O$427,9)</f>
        <v>11200</v>
      </c>
      <c r="J166" s="103">
        <f>VLOOKUP($A166,'OI(Volume)'!$A$7:$O$427,11)</f>
        <v>514150</v>
      </c>
      <c r="K166" s="103">
        <f>VLOOKUP($A166,'OI(Volume)'!$A$7:$O$427,12)</f>
        <v>44450</v>
      </c>
      <c r="L166" s="103">
        <f>VLOOKUP($A166,'OI(Value)'!$A$7:$O$306,8,0)</f>
        <v>131</v>
      </c>
      <c r="M166" s="103">
        <f>VLOOKUP($A166,'OI(Value)'!$A$7:$O$306,9,0)</f>
        <v>2</v>
      </c>
      <c r="N166" s="103">
        <f>VLOOKUP($A166,'OI(Value)'!$A$7:$O$306,11,0)</f>
        <v>82</v>
      </c>
      <c r="O166" s="103">
        <f>VLOOKUP($A166,'OI(Value)'!$A$7:$O$306,12,0)</f>
        <v>7</v>
      </c>
      <c r="P166" s="179">
        <f>VLOOKUP(A166,'OI(Value)'!A166:O367,8,0)</f>
        <v>131</v>
      </c>
      <c r="Q166" s="179">
        <f>VLOOKUP(A166,'OI(Value)'!A166:O367,9,0)</f>
        <v>2</v>
      </c>
      <c r="R166" s="179">
        <f>VLOOKUP(A166,'OI(Value)'!A166:O367,11,0)</f>
        <v>82</v>
      </c>
      <c r="S166" s="179">
        <f>VLOOKUP(A166,'OI(Value)'!A166:O367,11,0)</f>
        <v>82</v>
      </c>
    </row>
    <row r="167" spans="1:19" x14ac:dyDescent="0.25">
      <c r="A167" s="105" t="str">
        <f>'Data shares'!C162</f>
        <v>PIDILITIND</v>
      </c>
      <c r="B167" s="143">
        <f>VLOOKUP($A167,'Data shares'!$C:$FA,118)</f>
        <v>0.66</v>
      </c>
      <c r="C167" s="143">
        <f>VLOOKUP($A167,'Data shares'!$C:$FA,119)</f>
        <v>0.65</v>
      </c>
      <c r="D167" s="143">
        <f>VLOOKUP($A167,'Data shares'!$C:$FA,121)*100</f>
        <v>1.54</v>
      </c>
      <c r="E167" s="143">
        <f>VLOOKUP($A167,'Data shares'!$C:$FA,124)</f>
        <v>0.35</v>
      </c>
      <c r="F167" s="143">
        <f>VLOOKUP($A167,'Data shares'!$C:$FA,125)</f>
        <v>0.34</v>
      </c>
      <c r="G167" s="143">
        <f>VLOOKUP($A167,'Data shares'!$C:$FA,127)*100</f>
        <v>2.94</v>
      </c>
      <c r="H167" s="103">
        <f>VLOOKUP($A167,'OI(Volume)'!$A$7:$O$427,8)</f>
        <v>1357500</v>
      </c>
      <c r="I167" s="103">
        <f>VLOOKUP($A167,'OI(Volume)'!$A$7:$O$427,9)</f>
        <v>-47000</v>
      </c>
      <c r="J167" s="103">
        <f>VLOOKUP($A167,'OI(Volume)'!$A$7:$O$427,11)</f>
        <v>891500</v>
      </c>
      <c r="K167" s="103">
        <f>VLOOKUP($A167,'OI(Volume)'!$A$7:$O$427,12)</f>
        <v>-19500</v>
      </c>
      <c r="L167" s="103">
        <f>VLOOKUP($A167,'OI(Value)'!$A$7:$O$306,8,0)</f>
        <v>206</v>
      </c>
      <c r="M167" s="103">
        <f>VLOOKUP($A167,'OI(Value)'!$A$7:$O$306,9,0)</f>
        <v>-7</v>
      </c>
      <c r="N167" s="103">
        <f>VLOOKUP($A167,'OI(Value)'!$A$7:$O$306,11,0)</f>
        <v>135</v>
      </c>
      <c r="O167" s="103">
        <f>VLOOKUP($A167,'OI(Value)'!$A$7:$O$306,12,0)</f>
        <v>-3</v>
      </c>
      <c r="P167" s="179">
        <f>VLOOKUP(A167,'OI(Value)'!A167:O368,8,0)</f>
        <v>206</v>
      </c>
      <c r="Q167" s="179">
        <f>VLOOKUP(A167,'OI(Value)'!A167:O368,9,0)</f>
        <v>-7</v>
      </c>
      <c r="R167" s="179">
        <f>VLOOKUP(A167,'OI(Value)'!A167:O368,11,0)</f>
        <v>135</v>
      </c>
      <c r="S167" s="179">
        <f>VLOOKUP(A167,'OI(Value)'!A167:O368,11,0)</f>
        <v>135</v>
      </c>
    </row>
    <row r="168" spans="1:19" x14ac:dyDescent="0.25">
      <c r="A168" s="105" t="str">
        <f>'Data shares'!C163</f>
        <v>PIIND</v>
      </c>
      <c r="B168" s="143">
        <f>VLOOKUP($A168,'Data shares'!$C:$FA,118)</f>
        <v>0.76</v>
      </c>
      <c r="C168" s="143">
        <f>VLOOKUP($A168,'Data shares'!$C:$FA,119)</f>
        <v>0.73</v>
      </c>
      <c r="D168" s="143">
        <f>VLOOKUP($A168,'Data shares'!$C:$FA,121)*100</f>
        <v>4.1099999999999994</v>
      </c>
      <c r="E168" s="143">
        <f>VLOOKUP($A168,'Data shares'!$C:$FA,124)</f>
        <v>0.27</v>
      </c>
      <c r="F168" s="143">
        <f>VLOOKUP($A168,'Data shares'!$C:$FA,125)</f>
        <v>0.25</v>
      </c>
      <c r="G168" s="143">
        <f>VLOOKUP($A168,'Data shares'!$C:$FA,127)*100</f>
        <v>8</v>
      </c>
      <c r="H168" s="103">
        <f>VLOOKUP($A168,'OI(Volume)'!$A$7:$O$427,8)</f>
        <v>371175</v>
      </c>
      <c r="I168" s="103">
        <f>VLOOKUP($A168,'OI(Volume)'!$A$7:$O$427,9)</f>
        <v>0</v>
      </c>
      <c r="J168" s="103">
        <f>VLOOKUP($A168,'OI(Volume)'!$A$7:$O$427,11)</f>
        <v>282625</v>
      </c>
      <c r="K168" s="103">
        <f>VLOOKUP($A168,'OI(Volume)'!$A$7:$O$427,12)</f>
        <v>11900</v>
      </c>
      <c r="L168" s="103">
        <f>VLOOKUP($A168,'OI(Value)'!$A$7:$O$306,8,0)</f>
        <v>133</v>
      </c>
      <c r="M168" s="103">
        <f>VLOOKUP($A168,'OI(Value)'!$A$7:$O$306,9,0)</f>
        <v>0</v>
      </c>
      <c r="N168" s="103">
        <f>VLOOKUP($A168,'OI(Value)'!$A$7:$O$306,11,0)</f>
        <v>101</v>
      </c>
      <c r="O168" s="103">
        <f>VLOOKUP($A168,'OI(Value)'!$A$7:$O$306,12,0)</f>
        <v>4</v>
      </c>
      <c r="P168" s="179">
        <f>VLOOKUP(A168,'OI(Value)'!A168:O369,8,0)</f>
        <v>133</v>
      </c>
      <c r="Q168" s="179">
        <f>VLOOKUP(A168,'OI(Value)'!A168:O369,9,0)</f>
        <v>0</v>
      </c>
      <c r="R168" s="179">
        <f>VLOOKUP(A168,'OI(Value)'!A168:O369,11,0)</f>
        <v>101</v>
      </c>
      <c r="S168" s="179">
        <f>VLOOKUP(A168,'OI(Value)'!A168:O369,11,0)</f>
        <v>101</v>
      </c>
    </row>
    <row r="169" spans="1:19" x14ac:dyDescent="0.25">
      <c r="A169" s="105" t="str">
        <f>'Data shares'!C164</f>
        <v>PNB</v>
      </c>
      <c r="B169" s="143">
        <f>VLOOKUP($A169,'Data shares'!$C:$FA,118)</f>
        <v>0.83</v>
      </c>
      <c r="C169" s="143">
        <f>VLOOKUP($A169,'Data shares'!$C:$FA,119)</f>
        <v>0.68</v>
      </c>
      <c r="D169" s="143">
        <f>VLOOKUP($A169,'Data shares'!$C:$FA,121)*100</f>
        <v>22.06</v>
      </c>
      <c r="E169" s="143">
        <f>VLOOKUP($A169,'Data shares'!$C:$FA,124)</f>
        <v>0.47</v>
      </c>
      <c r="F169" s="143">
        <f>VLOOKUP($A169,'Data shares'!$C:$FA,125)</f>
        <v>0.53</v>
      </c>
      <c r="G169" s="143">
        <f>VLOOKUP($A169,'Data shares'!$C:$FA,127)*100</f>
        <v>-11.32</v>
      </c>
      <c r="H169" s="103">
        <f>VLOOKUP($A169,'OI(Volume)'!$A$7:$O$427,8)</f>
        <v>112944000</v>
      </c>
      <c r="I169" s="103">
        <f>VLOOKUP($A169,'OI(Volume)'!$A$7:$O$427,9)</f>
        <v>-8120000</v>
      </c>
      <c r="J169" s="103">
        <f>VLOOKUP($A169,'OI(Volume)'!$A$7:$O$427,11)</f>
        <v>93816000</v>
      </c>
      <c r="K169" s="103">
        <f>VLOOKUP($A169,'OI(Volume)'!$A$7:$O$427,12)</f>
        <v>11312000</v>
      </c>
      <c r="L169" s="103">
        <f>VLOOKUP($A169,'OI(Value)'!$A$7:$O$306,8,0)</f>
        <v>1329</v>
      </c>
      <c r="M169" s="103">
        <f>VLOOKUP($A169,'OI(Value)'!$A$7:$O$306,9,0)</f>
        <v>-96</v>
      </c>
      <c r="N169" s="103">
        <f>VLOOKUP($A169,'OI(Value)'!$A$7:$O$306,11,0)</f>
        <v>1104</v>
      </c>
      <c r="O169" s="103">
        <f>VLOOKUP($A169,'OI(Value)'!$A$7:$O$306,12,0)</f>
        <v>133</v>
      </c>
      <c r="P169" s="179">
        <f>VLOOKUP(A169,'OI(Value)'!A169:O370,8,0)</f>
        <v>1329</v>
      </c>
      <c r="Q169" s="179">
        <f>VLOOKUP(A169,'OI(Value)'!A169:O370,9,0)</f>
        <v>-96</v>
      </c>
      <c r="R169" s="179">
        <f>VLOOKUP(A169,'OI(Value)'!A169:O370,11,0)</f>
        <v>1104</v>
      </c>
      <c r="S169" s="179">
        <f>VLOOKUP(A169,'OI(Value)'!A169:O370,11,0)</f>
        <v>1104</v>
      </c>
    </row>
    <row r="170" spans="1:19" x14ac:dyDescent="0.25">
      <c r="A170" s="105" t="str">
        <f>'Data shares'!C165</f>
        <v>PNBHOUSING</v>
      </c>
      <c r="B170" s="143">
        <f>VLOOKUP($A170,'Data shares'!$C:$FA,118)</f>
        <v>0.73</v>
      </c>
      <c r="C170" s="143">
        <f>VLOOKUP($A170,'Data shares'!$C:$FA,119)</f>
        <v>0.68</v>
      </c>
      <c r="D170" s="143">
        <f>VLOOKUP($A170,'Data shares'!$C:$FA,121)*100</f>
        <v>7.35</v>
      </c>
      <c r="E170" s="143">
        <f>VLOOKUP($A170,'Data shares'!$C:$FA,124)</f>
        <v>0.47</v>
      </c>
      <c r="F170" s="143">
        <f>VLOOKUP($A170,'Data shares'!$C:$FA,125)</f>
        <v>0.33</v>
      </c>
      <c r="G170" s="143">
        <f>VLOOKUP($A170,'Data shares'!$C:$FA,127)*100</f>
        <v>42.42</v>
      </c>
      <c r="H170" s="103">
        <f>VLOOKUP($A170,'OI(Volume)'!$A$7:$O$427,8)</f>
        <v>4069650</v>
      </c>
      <c r="I170" s="103">
        <f>VLOOKUP($A170,'OI(Volume)'!$A$7:$O$427,9)</f>
        <v>442000</v>
      </c>
      <c r="J170" s="103">
        <f>VLOOKUP($A170,'OI(Volume)'!$A$7:$O$427,11)</f>
        <v>2978950</v>
      </c>
      <c r="K170" s="103">
        <f>VLOOKUP($A170,'OI(Volume)'!$A$7:$O$427,12)</f>
        <v>516750</v>
      </c>
      <c r="L170" s="103">
        <f>VLOOKUP($A170,'OI(Value)'!$A$7:$O$306,8,0)</f>
        <v>349</v>
      </c>
      <c r="M170" s="103">
        <f>VLOOKUP($A170,'OI(Value)'!$A$7:$O$306,9,0)</f>
        <v>38</v>
      </c>
      <c r="N170" s="103">
        <f>VLOOKUP($A170,'OI(Value)'!$A$7:$O$306,11,0)</f>
        <v>256</v>
      </c>
      <c r="O170" s="103">
        <f>VLOOKUP($A170,'OI(Value)'!$A$7:$O$306,12,0)</f>
        <v>44</v>
      </c>
      <c r="P170" s="179">
        <f>VLOOKUP(A170,'OI(Value)'!A170:O371,8,0)</f>
        <v>349</v>
      </c>
      <c r="Q170" s="179">
        <f>VLOOKUP(A170,'OI(Value)'!A170:O371,9,0)</f>
        <v>38</v>
      </c>
      <c r="R170" s="179">
        <f>VLOOKUP(A170,'OI(Value)'!A170:O371,11,0)</f>
        <v>256</v>
      </c>
      <c r="S170" s="179">
        <f>VLOOKUP(A170,'OI(Value)'!A170:O371,11,0)</f>
        <v>256</v>
      </c>
    </row>
    <row r="171" spans="1:19" x14ac:dyDescent="0.25">
      <c r="A171" s="105" t="str">
        <f>'Data shares'!C166</f>
        <v>POLICYBZR</v>
      </c>
      <c r="B171" s="143">
        <f>VLOOKUP($A171,'Data shares'!$C:$FA,118)</f>
        <v>0.76</v>
      </c>
      <c r="C171" s="143">
        <f>VLOOKUP($A171,'Data shares'!$C:$FA,119)</f>
        <v>0.74</v>
      </c>
      <c r="D171" s="143">
        <f>VLOOKUP($A171,'Data shares'!$C:$FA,121)*100</f>
        <v>2.7</v>
      </c>
      <c r="E171" s="143">
        <f>VLOOKUP($A171,'Data shares'!$C:$FA,124)</f>
        <v>0.47</v>
      </c>
      <c r="F171" s="143">
        <f>VLOOKUP($A171,'Data shares'!$C:$FA,125)</f>
        <v>0.54</v>
      </c>
      <c r="G171" s="143">
        <f>VLOOKUP($A171,'Data shares'!$C:$FA,127)*100</f>
        <v>-12.959999999999999</v>
      </c>
      <c r="H171" s="103">
        <f>VLOOKUP($A171,'OI(Volume)'!$A$7:$O$427,8)</f>
        <v>1189650</v>
      </c>
      <c r="I171" s="103">
        <f>VLOOKUP($A171,'OI(Volume)'!$A$7:$O$427,9)</f>
        <v>-25550</v>
      </c>
      <c r="J171" s="103">
        <f>VLOOKUP($A171,'OI(Volume)'!$A$7:$O$427,11)</f>
        <v>909300</v>
      </c>
      <c r="K171" s="103">
        <f>VLOOKUP($A171,'OI(Volume)'!$A$7:$O$427,12)</f>
        <v>4900</v>
      </c>
      <c r="L171" s="103">
        <f>VLOOKUP($A171,'OI(Value)'!$A$7:$O$306,8,0)</f>
        <v>209</v>
      </c>
      <c r="M171" s="103">
        <f>VLOOKUP($A171,'OI(Value)'!$A$7:$O$306,9,0)</f>
        <v>-4</v>
      </c>
      <c r="N171" s="103">
        <f>VLOOKUP($A171,'OI(Value)'!$A$7:$O$306,11,0)</f>
        <v>159</v>
      </c>
      <c r="O171" s="103">
        <f>VLOOKUP($A171,'OI(Value)'!$A$7:$O$306,12,0)</f>
        <v>1</v>
      </c>
      <c r="P171" s="179">
        <f>VLOOKUP(A171,'OI(Value)'!A171:O372,8,0)</f>
        <v>209</v>
      </c>
      <c r="Q171" s="179">
        <f>VLOOKUP(A171,'OI(Value)'!A171:O372,9,0)</f>
        <v>-4</v>
      </c>
      <c r="R171" s="179">
        <f>VLOOKUP(A171,'OI(Value)'!A171:O372,11,0)</f>
        <v>159</v>
      </c>
      <c r="S171" s="179">
        <f>VLOOKUP(A171,'OI(Value)'!A171:O372,11,0)</f>
        <v>159</v>
      </c>
    </row>
    <row r="172" spans="1:19" x14ac:dyDescent="0.25">
      <c r="A172" s="105" t="str">
        <f>'Data shares'!C167</f>
        <v>POLYCAB</v>
      </c>
      <c r="B172" s="143">
        <f>VLOOKUP($A172,'Data shares'!$C:$FA,118)</f>
        <v>0.48</v>
      </c>
      <c r="C172" s="143">
        <f>VLOOKUP($A172,'Data shares'!$C:$FA,119)</f>
        <v>0.57999999999999996</v>
      </c>
      <c r="D172" s="143">
        <f>VLOOKUP($A172,'Data shares'!$C:$FA,121)*100</f>
        <v>-17.239999999999998</v>
      </c>
      <c r="E172" s="143">
        <f>VLOOKUP($A172,'Data shares'!$C:$FA,124)</f>
        <v>0.27</v>
      </c>
      <c r="F172" s="143">
        <f>VLOOKUP($A172,'Data shares'!$C:$FA,125)</f>
        <v>0.67</v>
      </c>
      <c r="G172" s="143">
        <f>VLOOKUP($A172,'Data shares'!$C:$FA,127)*100</f>
        <v>-59.699999999999996</v>
      </c>
      <c r="H172" s="103">
        <f>VLOOKUP($A172,'OI(Volume)'!$A$7:$O$427,8)</f>
        <v>875750</v>
      </c>
      <c r="I172" s="103">
        <f>VLOOKUP($A172,'OI(Volume)'!$A$7:$O$427,9)</f>
        <v>219250</v>
      </c>
      <c r="J172" s="103">
        <f>VLOOKUP($A172,'OI(Volume)'!$A$7:$O$427,11)</f>
        <v>421625</v>
      </c>
      <c r="K172" s="103">
        <f>VLOOKUP($A172,'OI(Volume)'!$A$7:$O$427,12)</f>
        <v>42000</v>
      </c>
      <c r="L172" s="103">
        <f>VLOOKUP($A172,'OI(Value)'!$A$7:$O$306,8,0)</f>
        <v>680</v>
      </c>
      <c r="M172" s="103">
        <f>VLOOKUP($A172,'OI(Value)'!$A$7:$O$306,9,0)</f>
        <v>170</v>
      </c>
      <c r="N172" s="103">
        <f>VLOOKUP($A172,'OI(Value)'!$A$7:$O$306,11,0)</f>
        <v>328</v>
      </c>
      <c r="O172" s="103">
        <f>VLOOKUP($A172,'OI(Value)'!$A$7:$O$306,12,0)</f>
        <v>33</v>
      </c>
      <c r="P172" s="179">
        <f>VLOOKUP(A172,'OI(Value)'!A172:O373,8,0)</f>
        <v>680</v>
      </c>
      <c r="Q172" s="179">
        <f>VLOOKUP(A172,'OI(Value)'!A172:O373,9,0)</f>
        <v>170</v>
      </c>
      <c r="R172" s="179">
        <f>VLOOKUP(A172,'OI(Value)'!A172:O373,11,0)</f>
        <v>328</v>
      </c>
      <c r="S172" s="179">
        <f>VLOOKUP(A172,'OI(Value)'!A172:O373,11,0)</f>
        <v>328</v>
      </c>
    </row>
    <row r="173" spans="1:19" x14ac:dyDescent="0.25">
      <c r="A173" s="105" t="str">
        <f>'Data shares'!C168</f>
        <v>POWERGRID</v>
      </c>
      <c r="B173" s="143">
        <f>VLOOKUP($A173,'Data shares'!$C:$FA,118)</f>
        <v>0.51</v>
      </c>
      <c r="C173" s="143">
        <f>VLOOKUP($A173,'Data shares'!$C:$FA,119)</f>
        <v>0.51</v>
      </c>
      <c r="D173" s="143">
        <f>VLOOKUP($A173,'Data shares'!$C:$FA,121)*100</f>
        <v>0</v>
      </c>
      <c r="E173" s="143">
        <f>VLOOKUP($A173,'Data shares'!$C:$FA,124)</f>
        <v>0.42</v>
      </c>
      <c r="F173" s="143">
        <f>VLOOKUP($A173,'Data shares'!$C:$FA,125)</f>
        <v>0.59</v>
      </c>
      <c r="G173" s="143">
        <f>VLOOKUP($A173,'Data shares'!$C:$FA,127)*100</f>
        <v>-28.810000000000002</v>
      </c>
      <c r="H173" s="103">
        <f>VLOOKUP($A173,'OI(Volume)'!$A$7:$O$427,8)</f>
        <v>31044100</v>
      </c>
      <c r="I173" s="103">
        <f>VLOOKUP($A173,'OI(Volume)'!$A$7:$O$427,9)</f>
        <v>-157700</v>
      </c>
      <c r="J173" s="103">
        <f>VLOOKUP($A173,'OI(Volume)'!$A$7:$O$427,11)</f>
        <v>15808000</v>
      </c>
      <c r="K173" s="103">
        <f>VLOOKUP($A173,'OI(Volume)'!$A$7:$O$427,12)</f>
        <v>-119700</v>
      </c>
      <c r="L173" s="103">
        <f>VLOOKUP($A173,'OI(Value)'!$A$7:$O$306,8,0)</f>
        <v>899</v>
      </c>
      <c r="M173" s="103">
        <f>VLOOKUP($A173,'OI(Value)'!$A$7:$O$306,9,0)</f>
        <v>-5</v>
      </c>
      <c r="N173" s="103">
        <f>VLOOKUP($A173,'OI(Value)'!$A$7:$O$306,11,0)</f>
        <v>458</v>
      </c>
      <c r="O173" s="103">
        <f>VLOOKUP($A173,'OI(Value)'!$A$7:$O$306,12,0)</f>
        <v>-3</v>
      </c>
    </row>
    <row r="174" spans="1:19" x14ac:dyDescent="0.25">
      <c r="A174" s="105" t="str">
        <f>'Data shares'!C169</f>
        <v>POWERINDIA</v>
      </c>
      <c r="B174" s="143">
        <f>VLOOKUP($A174,'Data shares'!$C:$FA,118)</f>
        <v>0.28000000000000003</v>
      </c>
      <c r="C174" s="143">
        <f>VLOOKUP($A174,'Data shares'!$C:$FA,119)</f>
        <v>0.3</v>
      </c>
      <c r="D174" s="143">
        <f>VLOOKUP($A174,'Data shares'!$C:$FA,121)*100</f>
        <v>-6.67</v>
      </c>
      <c r="E174" s="143">
        <f>VLOOKUP($A174,'Data shares'!$C:$FA,124)</f>
        <v>0.19</v>
      </c>
      <c r="F174" s="143">
        <f>VLOOKUP($A174,'Data shares'!$C:$FA,125)</f>
        <v>0.23</v>
      </c>
      <c r="G174" s="143">
        <f>VLOOKUP($A174,'Data shares'!$C:$FA,127)*100</f>
        <v>-17.39</v>
      </c>
      <c r="H174" s="103">
        <f>VLOOKUP($A174,'OI(Volume)'!$A$7:$O$427,8)</f>
        <v>42600</v>
      </c>
      <c r="I174" s="103">
        <f>VLOOKUP($A174,'OI(Volume)'!$A$7:$O$427,9)</f>
        <v>2650</v>
      </c>
      <c r="J174" s="103">
        <f>VLOOKUP($A174,'OI(Volume)'!$A$7:$O$427,11)</f>
        <v>11900</v>
      </c>
      <c r="K174" s="103">
        <f>VLOOKUP($A174,'OI(Volume)'!$A$7:$O$427,12)</f>
        <v>-150</v>
      </c>
      <c r="L174" s="103">
        <f>VLOOKUP($A174,'OI(Value)'!$A$7:$O$306,8,0)</f>
        <v>75</v>
      </c>
      <c r="M174" s="103">
        <f>VLOOKUP($A174,'OI(Value)'!$A$7:$O$306,9,0)</f>
        <v>5</v>
      </c>
      <c r="N174" s="103">
        <f>VLOOKUP($A174,'OI(Value)'!$A$7:$O$306,11,0)</f>
        <v>21</v>
      </c>
      <c r="O174" s="103">
        <f>VLOOKUP($A174,'OI(Value)'!$A$7:$O$306,12,0)</f>
        <v>0</v>
      </c>
    </row>
    <row r="175" spans="1:19" x14ac:dyDescent="0.25">
      <c r="A175" s="105" t="str">
        <f>'Data shares'!C170</f>
        <v>PPLPHARMA</v>
      </c>
      <c r="B175" s="143">
        <f>VLOOKUP($A175,'Data shares'!$C:$FA,118)</f>
        <v>0.66</v>
      </c>
      <c r="C175" s="143">
        <f>VLOOKUP($A175,'Data shares'!$C:$FA,119)</f>
        <v>0.48</v>
      </c>
      <c r="D175" s="143">
        <f>VLOOKUP($A175,'Data shares'!$C:$FA,121)*100</f>
        <v>37.5</v>
      </c>
      <c r="E175" s="143">
        <f>VLOOKUP($A175,'Data shares'!$C:$FA,124)</f>
        <v>0.4</v>
      </c>
      <c r="F175" s="143">
        <f>VLOOKUP($A175,'Data shares'!$C:$FA,125)</f>
        <v>0.28999999999999998</v>
      </c>
      <c r="G175" s="143">
        <f>VLOOKUP($A175,'Data shares'!$C:$FA,127)*100</f>
        <v>37.93</v>
      </c>
      <c r="H175" s="103">
        <f>VLOOKUP($A175,'OI(Volume)'!$A$7:$O$427,8)</f>
        <v>11510000</v>
      </c>
      <c r="I175" s="103">
        <f>VLOOKUP($A175,'OI(Volume)'!$A$7:$O$427,9)</f>
        <v>562500</v>
      </c>
      <c r="J175" s="103">
        <f>VLOOKUP($A175,'OI(Volume)'!$A$7:$O$427,11)</f>
        <v>7605000</v>
      </c>
      <c r="K175" s="103">
        <f>VLOOKUP($A175,'OI(Volume)'!$A$7:$O$427,12)</f>
        <v>2375000</v>
      </c>
      <c r="L175" s="103">
        <f>VLOOKUP($A175,'OI(Value)'!$A$7:$O$306,8,0)</f>
        <v>233</v>
      </c>
      <c r="M175" s="103">
        <f>VLOOKUP($A175,'OI(Value)'!$A$7:$O$306,9,0)</f>
        <v>11</v>
      </c>
      <c r="N175" s="103">
        <f>VLOOKUP($A175,'OI(Value)'!$A$7:$O$306,11,0)</f>
        <v>154</v>
      </c>
      <c r="O175" s="103">
        <f>VLOOKUP($A175,'OI(Value)'!$A$7:$O$306,12,0)</f>
        <v>48</v>
      </c>
    </row>
    <row r="176" spans="1:19" x14ac:dyDescent="0.25">
      <c r="A176" s="105" t="str">
        <f>'Data shares'!C171</f>
        <v>PRESTIGE</v>
      </c>
      <c r="B176" s="143">
        <f>VLOOKUP($A176,'Data shares'!$C:$FA,118)</f>
        <v>0.67</v>
      </c>
      <c r="C176" s="143">
        <f>VLOOKUP($A176,'Data shares'!$C:$FA,119)</f>
        <v>0.69</v>
      </c>
      <c r="D176" s="143">
        <f>VLOOKUP($A176,'Data shares'!$C:$FA,121)*100</f>
        <v>-2.9000000000000004</v>
      </c>
      <c r="E176" s="143">
        <f>VLOOKUP($A176,'Data shares'!$C:$FA,124)</f>
        <v>0.36</v>
      </c>
      <c r="F176" s="143">
        <f>VLOOKUP($A176,'Data shares'!$C:$FA,125)</f>
        <v>0.43</v>
      </c>
      <c r="G176" s="143">
        <f>VLOOKUP($A176,'Data shares'!$C:$FA,127)*100</f>
        <v>-16.28</v>
      </c>
      <c r="H176" s="103">
        <f>VLOOKUP($A176,'OI(Volume)'!$A$7:$O$427,8)</f>
        <v>1984500</v>
      </c>
      <c r="I176" s="103">
        <f>VLOOKUP($A176,'OI(Volume)'!$A$7:$O$427,9)</f>
        <v>289800</v>
      </c>
      <c r="J176" s="103">
        <f>VLOOKUP($A176,'OI(Volume)'!$A$7:$O$427,11)</f>
        <v>1335150</v>
      </c>
      <c r="K176" s="103">
        <f>VLOOKUP($A176,'OI(Volume)'!$A$7:$O$427,12)</f>
        <v>164250</v>
      </c>
      <c r="L176" s="103">
        <f>VLOOKUP($A176,'OI(Value)'!$A$7:$O$306,8,0)</f>
        <v>323</v>
      </c>
      <c r="M176" s="103">
        <f>VLOOKUP($A176,'OI(Value)'!$A$7:$O$306,9,0)</f>
        <v>47</v>
      </c>
      <c r="N176" s="103">
        <f>VLOOKUP($A176,'OI(Value)'!$A$7:$O$306,11,0)</f>
        <v>217</v>
      </c>
      <c r="O176" s="103">
        <f>VLOOKUP($A176,'OI(Value)'!$A$7:$O$306,12,0)</f>
        <v>27</v>
      </c>
    </row>
    <row r="177" spans="1:15" x14ac:dyDescent="0.25">
      <c r="A177" s="105" t="str">
        <f>'Data shares'!C172</f>
        <v>RBLBANK</v>
      </c>
      <c r="B177" s="143">
        <f>VLOOKUP($A177,'Data shares'!$C:$FA,118)</f>
        <v>0.43</v>
      </c>
      <c r="C177" s="143">
        <f>VLOOKUP($A177,'Data shares'!$C:$FA,119)</f>
        <v>0.43</v>
      </c>
      <c r="D177" s="143">
        <f>VLOOKUP($A177,'Data shares'!$C:$FA,121)*100</f>
        <v>0</v>
      </c>
      <c r="E177" s="143">
        <f>VLOOKUP($A177,'Data shares'!$C:$FA,124)</f>
        <v>0.42</v>
      </c>
      <c r="F177" s="143">
        <f>VLOOKUP($A177,'Data shares'!$C:$FA,125)</f>
        <v>0.43</v>
      </c>
      <c r="G177" s="143">
        <f>VLOOKUP($A177,'Data shares'!$C:$FA,127)*100</f>
        <v>-2.33</v>
      </c>
      <c r="H177" s="103">
        <f>VLOOKUP($A177,'OI(Volume)'!$A$7:$O$427,8)</f>
        <v>21478875</v>
      </c>
      <c r="I177" s="103">
        <f>VLOOKUP($A177,'OI(Volume)'!$A$7:$O$427,9)</f>
        <v>-669925</v>
      </c>
      <c r="J177" s="103">
        <f>VLOOKUP($A177,'OI(Volume)'!$A$7:$O$427,11)</f>
        <v>9305925</v>
      </c>
      <c r="K177" s="103">
        <f>VLOOKUP($A177,'OI(Volume)'!$A$7:$O$427,12)</f>
        <v>-279400</v>
      </c>
      <c r="L177" s="103">
        <f>VLOOKUP($A177,'OI(Value)'!$A$7:$O$306,8,0)</f>
        <v>628</v>
      </c>
      <c r="M177" s="103">
        <f>VLOOKUP($A177,'OI(Value)'!$A$7:$O$306,9,0)</f>
        <v>-20</v>
      </c>
      <c r="N177" s="103">
        <f>VLOOKUP($A177,'OI(Value)'!$A$7:$O$306,11,0)</f>
        <v>272</v>
      </c>
      <c r="O177" s="103">
        <f>VLOOKUP($A177,'OI(Value)'!$A$7:$O$306,12,0)</f>
        <v>-8</v>
      </c>
    </row>
    <row r="178" spans="1:15" x14ac:dyDescent="0.25">
      <c r="A178" s="105" t="str">
        <f>'Data shares'!C173</f>
        <v>RECLTD</v>
      </c>
      <c r="B178" s="143">
        <f>VLOOKUP($A178,'Data shares'!$C:$FA,118)</f>
        <v>0.89</v>
      </c>
      <c r="C178" s="143">
        <f>VLOOKUP($A178,'Data shares'!$C:$FA,119)</f>
        <v>0.91</v>
      </c>
      <c r="D178" s="143">
        <f>VLOOKUP($A178,'Data shares'!$C:$FA,121)*100</f>
        <v>-2.1999999999999997</v>
      </c>
      <c r="E178" s="143">
        <f>VLOOKUP($A178,'Data shares'!$C:$FA,124)</f>
        <v>0.4</v>
      </c>
      <c r="F178" s="143">
        <f>VLOOKUP($A178,'Data shares'!$C:$FA,125)</f>
        <v>0.44</v>
      </c>
      <c r="G178" s="143">
        <f>VLOOKUP($A178,'Data shares'!$C:$FA,127)*100</f>
        <v>-9.09</v>
      </c>
      <c r="H178" s="103">
        <f>VLOOKUP($A178,'OI(Volume)'!$A$7:$O$427,8)</f>
        <v>26505975</v>
      </c>
      <c r="I178" s="103">
        <f>VLOOKUP($A178,'OI(Volume)'!$A$7:$O$427,9)</f>
        <v>863175</v>
      </c>
      <c r="J178" s="103">
        <f>VLOOKUP($A178,'OI(Volume)'!$A$7:$O$427,11)</f>
        <v>23535225</v>
      </c>
      <c r="K178" s="103">
        <f>VLOOKUP($A178,'OI(Volume)'!$A$7:$O$427,12)</f>
        <v>195075</v>
      </c>
      <c r="L178" s="103">
        <f>VLOOKUP($A178,'OI(Value)'!$A$7:$O$306,8,0)</f>
        <v>993</v>
      </c>
      <c r="M178" s="103">
        <f>VLOOKUP($A178,'OI(Value)'!$A$7:$O$306,9,0)</f>
        <v>32</v>
      </c>
      <c r="N178" s="103">
        <f>VLOOKUP($A178,'OI(Value)'!$A$7:$O$306,11,0)</f>
        <v>882</v>
      </c>
      <c r="O178" s="103">
        <f>VLOOKUP($A178,'OI(Value)'!$A$7:$O$306,12,0)</f>
        <v>7</v>
      </c>
    </row>
    <row r="179" spans="1:15" x14ac:dyDescent="0.25">
      <c r="A179" s="105" t="str">
        <f>'Data shares'!C174</f>
        <v>RELIANCE</v>
      </c>
      <c r="B179" s="143">
        <f>VLOOKUP($A179,'Data shares'!$C:$FA,118)</f>
        <v>0.73</v>
      </c>
      <c r="C179" s="143">
        <f>VLOOKUP($A179,'Data shares'!$C:$FA,119)</f>
        <v>0.73</v>
      </c>
      <c r="D179" s="143">
        <f>VLOOKUP($A179,'Data shares'!$C:$FA,121)*100</f>
        <v>0</v>
      </c>
      <c r="E179" s="143">
        <f>VLOOKUP($A179,'Data shares'!$C:$FA,124)</f>
        <v>0.53</v>
      </c>
      <c r="F179" s="143">
        <f>VLOOKUP($A179,'Data shares'!$C:$FA,125)</f>
        <v>0.56000000000000005</v>
      </c>
      <c r="G179" s="143">
        <f>VLOOKUP($A179,'Data shares'!$C:$FA,127)*100</f>
        <v>-5.36</v>
      </c>
      <c r="H179" s="103">
        <f>VLOOKUP($A179,'OI(Volume)'!$A$7:$O$427,8)</f>
        <v>50490000</v>
      </c>
      <c r="I179" s="103">
        <f>VLOOKUP($A179,'OI(Volume)'!$A$7:$O$427,9)</f>
        <v>48000</v>
      </c>
      <c r="J179" s="103">
        <f>VLOOKUP($A179,'OI(Volume)'!$A$7:$O$427,11)</f>
        <v>36843500</v>
      </c>
      <c r="K179" s="103">
        <f>VLOOKUP($A179,'OI(Volume)'!$A$7:$O$427,12)</f>
        <v>221500</v>
      </c>
      <c r="L179" s="103">
        <f>VLOOKUP($A179,'OI(Value)'!$A$7:$O$306,8,0)</f>
        <v>7007</v>
      </c>
      <c r="M179" s="103">
        <f>VLOOKUP($A179,'OI(Value)'!$A$7:$O$306,9,0)</f>
        <v>7</v>
      </c>
      <c r="N179" s="103">
        <f>VLOOKUP($A179,'OI(Value)'!$A$7:$O$306,11,0)</f>
        <v>5113</v>
      </c>
      <c r="O179" s="103">
        <f>VLOOKUP($A179,'OI(Value)'!$A$7:$O$306,12,0)</f>
        <v>31</v>
      </c>
    </row>
    <row r="180" spans="1:15" x14ac:dyDescent="0.25">
      <c r="A180" s="105" t="str">
        <f>'Data shares'!C175</f>
        <v>RVNL</v>
      </c>
      <c r="B180" s="143">
        <f>VLOOKUP($A180,'Data shares'!$C:$FA,118)</f>
        <v>0.4</v>
      </c>
      <c r="C180" s="143">
        <f>VLOOKUP($A180,'Data shares'!$C:$FA,119)</f>
        <v>0.4</v>
      </c>
      <c r="D180" s="143">
        <f>VLOOKUP($A180,'Data shares'!$C:$FA,121)*100</f>
        <v>0</v>
      </c>
      <c r="E180" s="143">
        <f>VLOOKUP($A180,'Data shares'!$C:$FA,124)</f>
        <v>0.3</v>
      </c>
      <c r="F180" s="143">
        <f>VLOOKUP($A180,'Data shares'!$C:$FA,125)</f>
        <v>0.27</v>
      </c>
      <c r="G180" s="143">
        <f>VLOOKUP($A180,'Data shares'!$C:$FA,127)*100</f>
        <v>11.110000000000001</v>
      </c>
      <c r="H180" s="103">
        <f>VLOOKUP($A180,'OI(Volume)'!$A$7:$O$427,8)</f>
        <v>20369250</v>
      </c>
      <c r="I180" s="103">
        <f>VLOOKUP($A180,'OI(Volume)'!$A$7:$O$427,9)</f>
        <v>529375</v>
      </c>
      <c r="J180" s="103">
        <f>VLOOKUP($A180,'OI(Volume)'!$A$7:$O$427,11)</f>
        <v>8241750</v>
      </c>
      <c r="K180" s="103">
        <f>VLOOKUP($A180,'OI(Volume)'!$A$7:$O$427,12)</f>
        <v>342375</v>
      </c>
      <c r="L180" s="103">
        <f>VLOOKUP($A180,'OI(Value)'!$A$7:$O$306,8,0)</f>
        <v>694</v>
      </c>
      <c r="M180" s="103">
        <f>VLOOKUP($A180,'OI(Value)'!$A$7:$O$306,9,0)</f>
        <v>18</v>
      </c>
      <c r="N180" s="103">
        <f>VLOOKUP($A180,'OI(Value)'!$A$7:$O$306,11,0)</f>
        <v>281</v>
      </c>
      <c r="O180" s="103">
        <f>VLOOKUP($A180,'OI(Value)'!$A$7:$O$306,12,0)</f>
        <v>12</v>
      </c>
    </row>
    <row r="181" spans="1:15" x14ac:dyDescent="0.25">
      <c r="A181" s="105" t="str">
        <f>'Data shares'!C176</f>
        <v>SAIL</v>
      </c>
      <c r="B181" s="143">
        <f>VLOOKUP($A181,'Data shares'!$C:$FA,118)</f>
        <v>0.51</v>
      </c>
      <c r="C181" s="143">
        <f>VLOOKUP($A181,'Data shares'!$C:$FA,119)</f>
        <v>0.57999999999999996</v>
      </c>
      <c r="D181" s="143">
        <f>VLOOKUP($A181,'Data shares'!$C:$FA,121)*100</f>
        <v>-12.07</v>
      </c>
      <c r="E181" s="143">
        <f>VLOOKUP($A181,'Data shares'!$C:$FA,124)</f>
        <v>0.4</v>
      </c>
      <c r="F181" s="143">
        <f>VLOOKUP($A181,'Data shares'!$C:$FA,125)</f>
        <v>0.51</v>
      </c>
      <c r="G181" s="143">
        <f>VLOOKUP($A181,'Data shares'!$C:$FA,127)*100</f>
        <v>-21.57</v>
      </c>
      <c r="H181" s="103">
        <f>VLOOKUP($A181,'OI(Volume)'!$A$7:$O$427,8)</f>
        <v>55760800</v>
      </c>
      <c r="I181" s="103">
        <f>VLOOKUP($A181,'OI(Volume)'!$A$7:$O$427,9)</f>
        <v>12431500</v>
      </c>
      <c r="J181" s="103">
        <f>VLOOKUP($A181,'OI(Volume)'!$A$7:$O$427,11)</f>
        <v>28590100</v>
      </c>
      <c r="K181" s="103">
        <f>VLOOKUP($A181,'OI(Volume)'!$A$7:$O$427,12)</f>
        <v>3478000</v>
      </c>
      <c r="L181" s="103">
        <f>VLOOKUP($A181,'OI(Value)'!$A$7:$O$306,8,0)</f>
        <v>740</v>
      </c>
      <c r="M181" s="103">
        <f>VLOOKUP($A181,'OI(Value)'!$A$7:$O$306,9,0)</f>
        <v>165</v>
      </c>
      <c r="N181" s="103">
        <f>VLOOKUP($A181,'OI(Value)'!$A$7:$O$306,11,0)</f>
        <v>379</v>
      </c>
      <c r="O181" s="103">
        <f>VLOOKUP($A181,'OI(Value)'!$A$7:$O$306,12,0)</f>
        <v>46</v>
      </c>
    </row>
    <row r="182" spans="1:15" x14ac:dyDescent="0.25">
      <c r="A182" s="105" t="str">
        <f>'Data shares'!C177</f>
        <v>SAMMAANCAP</v>
      </c>
      <c r="B182" s="143">
        <f>VLOOKUP($A182,'Data shares'!$C:$FA,118)</f>
        <v>1.01</v>
      </c>
      <c r="C182" s="143">
        <f>VLOOKUP($A182,'Data shares'!$C:$FA,119)</f>
        <v>1.03</v>
      </c>
      <c r="D182" s="143">
        <f>VLOOKUP($A182,'Data shares'!$C:$FA,121)*100</f>
        <v>-1.94</v>
      </c>
      <c r="E182" s="143">
        <f>VLOOKUP($A182,'Data shares'!$C:$FA,124)</f>
        <v>0.5</v>
      </c>
      <c r="F182" s="143">
        <f>VLOOKUP($A182,'Data shares'!$C:$FA,125)</f>
        <v>0.71</v>
      </c>
      <c r="G182" s="143">
        <f>VLOOKUP($A182,'Data shares'!$C:$FA,127)*100</f>
        <v>-29.580000000000002</v>
      </c>
      <c r="H182" s="103">
        <f>VLOOKUP($A182,'OI(Volume)'!$A$7:$O$427,8)</f>
        <v>30800900</v>
      </c>
      <c r="I182" s="103">
        <f>VLOOKUP($A182,'OI(Volume)'!$A$7:$O$427,9)</f>
        <v>2623000</v>
      </c>
      <c r="J182" s="103">
        <f>VLOOKUP($A182,'OI(Volume)'!$A$7:$O$427,11)</f>
        <v>31015900</v>
      </c>
      <c r="K182" s="103">
        <f>VLOOKUP($A182,'OI(Volume)'!$A$7:$O$427,12)</f>
        <v>1995200</v>
      </c>
      <c r="L182" s="103">
        <f>VLOOKUP($A182,'OI(Value)'!$A$7:$O$306,8,0)</f>
        <v>502</v>
      </c>
      <c r="M182" s="103">
        <f>VLOOKUP($A182,'OI(Value)'!$A$7:$O$306,9,0)</f>
        <v>43</v>
      </c>
      <c r="N182" s="103">
        <f>VLOOKUP($A182,'OI(Value)'!$A$7:$O$306,11,0)</f>
        <v>506</v>
      </c>
      <c r="O182" s="103">
        <f>VLOOKUP($A182,'OI(Value)'!$A$7:$O$306,12,0)</f>
        <v>33</v>
      </c>
    </row>
    <row r="183" spans="1:15" x14ac:dyDescent="0.25">
      <c r="A183" s="105" t="str">
        <f>'Data shares'!C178</f>
        <v>SBICARD</v>
      </c>
      <c r="B183" s="143">
        <f>VLOOKUP($A183,'Data shares'!$C:$FA,118)</f>
        <v>0.6</v>
      </c>
      <c r="C183" s="143">
        <f>VLOOKUP($A183,'Data shares'!$C:$FA,119)</f>
        <v>0.63</v>
      </c>
      <c r="D183" s="143">
        <f>VLOOKUP($A183,'Data shares'!$C:$FA,121)*100</f>
        <v>-4.7600000000000007</v>
      </c>
      <c r="E183" s="143">
        <f>VLOOKUP($A183,'Data shares'!$C:$FA,124)</f>
        <v>0.47</v>
      </c>
      <c r="F183" s="143">
        <f>VLOOKUP($A183,'Data shares'!$C:$FA,125)</f>
        <v>0.55000000000000004</v>
      </c>
      <c r="G183" s="143">
        <f>VLOOKUP($A183,'Data shares'!$C:$FA,127)*100</f>
        <v>-14.549999999999999</v>
      </c>
      <c r="H183" s="103">
        <f>VLOOKUP($A183,'OI(Volume)'!$A$7:$O$427,8)</f>
        <v>6336800</v>
      </c>
      <c r="I183" s="103">
        <f>VLOOKUP($A183,'OI(Volume)'!$A$7:$O$427,9)</f>
        <v>203200</v>
      </c>
      <c r="J183" s="103">
        <f>VLOOKUP($A183,'OI(Volume)'!$A$7:$O$427,11)</f>
        <v>3823200</v>
      </c>
      <c r="K183" s="103">
        <f>VLOOKUP($A183,'OI(Volume)'!$A$7:$O$427,12)</f>
        <v>-36800</v>
      </c>
      <c r="L183" s="103">
        <f>VLOOKUP($A183,'OI(Value)'!$A$7:$O$306,8,0)</f>
        <v>578</v>
      </c>
      <c r="M183" s="103">
        <f>VLOOKUP($A183,'OI(Value)'!$A$7:$O$306,9,0)</f>
        <v>19</v>
      </c>
      <c r="N183" s="103">
        <f>VLOOKUP($A183,'OI(Value)'!$A$7:$O$306,11,0)</f>
        <v>349</v>
      </c>
      <c r="O183" s="103">
        <f>VLOOKUP($A183,'OI(Value)'!$A$7:$O$306,12,0)</f>
        <v>-3</v>
      </c>
    </row>
    <row r="184" spans="1:15" x14ac:dyDescent="0.25">
      <c r="A184" s="105" t="str">
        <f>'Data shares'!C179</f>
        <v>SBILIFE</v>
      </c>
      <c r="B184" s="143">
        <f>VLOOKUP($A184,'Data shares'!$C:$FA,118)</f>
        <v>0.49</v>
      </c>
      <c r="C184" s="143">
        <f>VLOOKUP($A184,'Data shares'!$C:$FA,119)</f>
        <v>0.56999999999999995</v>
      </c>
      <c r="D184" s="143">
        <f>VLOOKUP($A184,'Data shares'!$C:$FA,121)*100</f>
        <v>-14.04</v>
      </c>
      <c r="E184" s="143">
        <f>VLOOKUP($A184,'Data shares'!$C:$FA,124)</f>
        <v>0.35</v>
      </c>
      <c r="F184" s="143">
        <f>VLOOKUP($A184,'Data shares'!$C:$FA,125)</f>
        <v>0.41</v>
      </c>
      <c r="G184" s="143">
        <f>VLOOKUP($A184,'Data shares'!$C:$FA,127)*100</f>
        <v>-14.63</v>
      </c>
      <c r="H184" s="103">
        <f>VLOOKUP($A184,'OI(Volume)'!$A$7:$O$427,8)</f>
        <v>2504625</v>
      </c>
      <c r="I184" s="103">
        <f>VLOOKUP($A184,'OI(Volume)'!$A$7:$O$427,9)</f>
        <v>691500</v>
      </c>
      <c r="J184" s="103">
        <f>VLOOKUP($A184,'OI(Volume)'!$A$7:$O$427,11)</f>
        <v>1221000</v>
      </c>
      <c r="K184" s="103">
        <f>VLOOKUP($A184,'OI(Volume)'!$A$7:$O$427,12)</f>
        <v>179625</v>
      </c>
      <c r="L184" s="103">
        <f>VLOOKUP($A184,'OI(Value)'!$A$7:$O$306,8,0)</f>
        <v>456</v>
      </c>
      <c r="M184" s="103">
        <f>VLOOKUP($A184,'OI(Value)'!$A$7:$O$306,9,0)</f>
        <v>126</v>
      </c>
      <c r="N184" s="103">
        <f>VLOOKUP($A184,'OI(Value)'!$A$7:$O$306,11,0)</f>
        <v>222</v>
      </c>
      <c r="O184" s="103">
        <f>VLOOKUP($A184,'OI(Value)'!$A$7:$O$306,12,0)</f>
        <v>33</v>
      </c>
    </row>
    <row r="185" spans="1:15" x14ac:dyDescent="0.25">
      <c r="A185" s="105" t="str">
        <f>'Data shares'!C180</f>
        <v>SBIN</v>
      </c>
      <c r="B185" s="143">
        <f>VLOOKUP($A185,'Data shares'!$C:$FA,118)</f>
        <v>0.68</v>
      </c>
      <c r="C185" s="143">
        <f>VLOOKUP($A185,'Data shares'!$C:$FA,119)</f>
        <v>0.56999999999999995</v>
      </c>
      <c r="D185" s="143">
        <f>VLOOKUP($A185,'Data shares'!$C:$FA,121)*100</f>
        <v>19.3</v>
      </c>
      <c r="E185" s="143">
        <f>VLOOKUP($A185,'Data shares'!$C:$FA,124)</f>
        <v>0.5</v>
      </c>
      <c r="F185" s="143">
        <f>VLOOKUP($A185,'Data shares'!$C:$FA,125)</f>
        <v>0.57999999999999996</v>
      </c>
      <c r="G185" s="143">
        <f>VLOOKUP($A185,'Data shares'!$C:$FA,127)*100</f>
        <v>-13.79</v>
      </c>
      <c r="H185" s="103">
        <f>VLOOKUP($A185,'OI(Volume)'!$A$7:$O$427,8)</f>
        <v>46028250</v>
      </c>
      <c r="I185" s="103">
        <f>VLOOKUP($A185,'OI(Volume)'!$A$7:$O$427,9)</f>
        <v>-2913000</v>
      </c>
      <c r="J185" s="103">
        <f>VLOOKUP($A185,'OI(Volume)'!$A$7:$O$427,11)</f>
        <v>31173000</v>
      </c>
      <c r="K185" s="103">
        <f>VLOOKUP($A185,'OI(Volume)'!$A$7:$O$427,12)</f>
        <v>3131250</v>
      </c>
      <c r="L185" s="103">
        <f>VLOOKUP($A185,'OI(Value)'!$A$7:$O$306,8,0)</f>
        <v>4066</v>
      </c>
      <c r="M185" s="103">
        <f>VLOOKUP($A185,'OI(Value)'!$A$7:$O$306,9,0)</f>
        <v>-257</v>
      </c>
      <c r="N185" s="103">
        <f>VLOOKUP($A185,'OI(Value)'!$A$7:$O$306,11,0)</f>
        <v>2754</v>
      </c>
      <c r="O185" s="103">
        <f>VLOOKUP($A185,'OI(Value)'!$A$7:$O$306,12,0)</f>
        <v>277</v>
      </c>
    </row>
    <row r="186" spans="1:15" x14ac:dyDescent="0.25">
      <c r="A186" s="105" t="str">
        <f>'Data shares'!C181</f>
        <v>SHREECEM</v>
      </c>
      <c r="B186" s="143">
        <f>VLOOKUP($A186,'Data shares'!$C:$FA,118)</f>
        <v>0.76</v>
      </c>
      <c r="C186" s="143">
        <f>VLOOKUP($A186,'Data shares'!$C:$FA,119)</f>
        <v>0.77</v>
      </c>
      <c r="D186" s="143">
        <f>VLOOKUP($A186,'Data shares'!$C:$FA,121)*100</f>
        <v>-1.3</v>
      </c>
      <c r="E186" s="143">
        <f>VLOOKUP($A186,'Data shares'!$C:$FA,124)</f>
        <v>0.28000000000000003</v>
      </c>
      <c r="F186" s="143">
        <f>VLOOKUP($A186,'Data shares'!$C:$FA,125)</f>
        <v>1.4</v>
      </c>
      <c r="G186" s="143">
        <f>VLOOKUP($A186,'Data shares'!$C:$FA,127)*100</f>
        <v>-80</v>
      </c>
      <c r="H186" s="103">
        <f>VLOOKUP($A186,'OI(Volume)'!$A$7:$O$427,8)</f>
        <v>26925</v>
      </c>
      <c r="I186" s="103">
        <f>VLOOKUP($A186,'OI(Volume)'!$A$7:$O$427,9)</f>
        <v>400</v>
      </c>
      <c r="J186" s="103">
        <f>VLOOKUP($A186,'OI(Volume)'!$A$7:$O$427,11)</f>
        <v>20425</v>
      </c>
      <c r="K186" s="103">
        <f>VLOOKUP($A186,'OI(Volume)'!$A$7:$O$427,12)</f>
        <v>-125</v>
      </c>
      <c r="L186" s="103">
        <f>VLOOKUP($A186,'OI(Value)'!$A$7:$O$306,8,0)</f>
        <v>80</v>
      </c>
      <c r="M186" s="103">
        <f>VLOOKUP($A186,'OI(Value)'!$A$7:$O$306,9,0)</f>
        <v>1</v>
      </c>
      <c r="N186" s="103">
        <f>VLOOKUP($A186,'OI(Value)'!$A$7:$O$306,11,0)</f>
        <v>60</v>
      </c>
      <c r="O186" s="103">
        <f>VLOOKUP($A186,'OI(Value)'!$A$7:$O$306,12,0)</f>
        <v>0</v>
      </c>
    </row>
    <row r="187" spans="1:15" x14ac:dyDescent="0.25">
      <c r="A187" s="105" t="str">
        <f>'Data shares'!C182</f>
        <v>SHRIRAMFIN</v>
      </c>
      <c r="B187" s="143">
        <f>VLOOKUP($A187,'Data shares'!$C:$FA,118)</f>
        <v>0.93</v>
      </c>
      <c r="C187" s="143">
        <f>VLOOKUP($A187,'Data shares'!$C:$FA,119)</f>
        <v>0.94</v>
      </c>
      <c r="D187" s="143">
        <f>VLOOKUP($A187,'Data shares'!$C:$FA,121)*100</f>
        <v>-1.06</v>
      </c>
      <c r="E187" s="143">
        <f>VLOOKUP($A187,'Data shares'!$C:$FA,124)</f>
        <v>0.56999999999999995</v>
      </c>
      <c r="F187" s="143">
        <f>VLOOKUP($A187,'Data shares'!$C:$FA,125)</f>
        <v>0.56999999999999995</v>
      </c>
      <c r="G187" s="143">
        <f>VLOOKUP($A187,'Data shares'!$C:$FA,127)*100</f>
        <v>0</v>
      </c>
      <c r="H187" s="103">
        <f>VLOOKUP($A187,'OI(Volume)'!$A$7:$O$427,8)</f>
        <v>7000950</v>
      </c>
      <c r="I187" s="103">
        <f>VLOOKUP($A187,'OI(Volume)'!$A$7:$O$427,9)</f>
        <v>-113025</v>
      </c>
      <c r="J187" s="103">
        <f>VLOOKUP($A187,'OI(Volume)'!$A$7:$O$427,11)</f>
        <v>6493575</v>
      </c>
      <c r="K187" s="103">
        <f>VLOOKUP($A187,'OI(Volume)'!$A$7:$O$427,12)</f>
        <v>-210375</v>
      </c>
      <c r="L187" s="103">
        <f>VLOOKUP($A187,'OI(Value)'!$A$7:$O$306,8,0)</f>
        <v>467</v>
      </c>
      <c r="M187" s="103">
        <f>VLOOKUP($A187,'OI(Value)'!$A$7:$O$306,9,0)</f>
        <v>-8</v>
      </c>
      <c r="N187" s="103">
        <f>VLOOKUP($A187,'OI(Value)'!$A$7:$O$306,11,0)</f>
        <v>433</v>
      </c>
      <c r="O187" s="103">
        <f>VLOOKUP($A187,'OI(Value)'!$A$7:$O$306,12,0)</f>
        <v>-14</v>
      </c>
    </row>
    <row r="188" spans="1:15" x14ac:dyDescent="0.25">
      <c r="A188" s="105" t="str">
        <f>'Data shares'!C183</f>
        <v>SIEMENS</v>
      </c>
      <c r="B188" s="143">
        <f>VLOOKUP($A188,'Data shares'!$C:$FA,118)</f>
        <v>0.41</v>
      </c>
      <c r="C188" s="143">
        <f>VLOOKUP($A188,'Data shares'!$C:$FA,119)</f>
        <v>0.45</v>
      </c>
      <c r="D188" s="143">
        <f>VLOOKUP($A188,'Data shares'!$C:$FA,121)*100</f>
        <v>-8.89</v>
      </c>
      <c r="E188" s="143">
        <f>VLOOKUP($A188,'Data shares'!$C:$FA,124)</f>
        <v>0.31</v>
      </c>
      <c r="F188" s="143">
        <f>VLOOKUP($A188,'Data shares'!$C:$FA,125)</f>
        <v>0.49</v>
      </c>
      <c r="G188" s="143">
        <f>VLOOKUP($A188,'Data shares'!$C:$FA,127)*100</f>
        <v>-36.730000000000004</v>
      </c>
      <c r="H188" s="103">
        <f>VLOOKUP($A188,'OI(Volume)'!$A$7:$O$427,8)</f>
        <v>1046250</v>
      </c>
      <c r="I188" s="103">
        <f>VLOOKUP($A188,'OI(Volume)'!$A$7:$O$427,9)</f>
        <v>139375</v>
      </c>
      <c r="J188" s="103">
        <f>VLOOKUP($A188,'OI(Volume)'!$A$7:$O$427,11)</f>
        <v>426500</v>
      </c>
      <c r="K188" s="103">
        <f>VLOOKUP($A188,'OI(Volume)'!$A$7:$O$427,12)</f>
        <v>22875</v>
      </c>
      <c r="L188" s="103">
        <f>VLOOKUP($A188,'OI(Value)'!$A$7:$O$306,8,0)</f>
        <v>330</v>
      </c>
      <c r="M188" s="103">
        <f>VLOOKUP($A188,'OI(Value)'!$A$7:$O$306,9,0)</f>
        <v>44</v>
      </c>
      <c r="N188" s="103">
        <f>VLOOKUP($A188,'OI(Value)'!$A$7:$O$306,11,0)</f>
        <v>135</v>
      </c>
      <c r="O188" s="103">
        <f>VLOOKUP($A188,'OI(Value)'!$A$7:$O$306,12,0)</f>
        <v>7</v>
      </c>
    </row>
    <row r="189" spans="1:15" x14ac:dyDescent="0.25">
      <c r="A189" s="105" t="str">
        <f>'Data shares'!C184</f>
        <v>SOLARINDS</v>
      </c>
      <c r="B189" s="143">
        <f>VLOOKUP($A189,'Data shares'!$C:$FA,118)</f>
        <v>0.72</v>
      </c>
      <c r="C189" s="143">
        <f>VLOOKUP($A189,'Data shares'!$C:$FA,119)</f>
        <v>0.75</v>
      </c>
      <c r="D189" s="143">
        <f>VLOOKUP($A189,'Data shares'!$C:$FA,121)*100</f>
        <v>-4</v>
      </c>
      <c r="E189" s="143">
        <f>VLOOKUP($A189,'Data shares'!$C:$FA,124)</f>
        <v>0.45</v>
      </c>
      <c r="F189" s="143">
        <f>VLOOKUP($A189,'Data shares'!$C:$FA,125)</f>
        <v>0.36</v>
      </c>
      <c r="G189" s="143">
        <f>VLOOKUP($A189,'Data shares'!$C:$FA,127)*100</f>
        <v>25</v>
      </c>
      <c r="H189" s="103">
        <f>VLOOKUP($A189,'OI(Volume)'!$A$7:$O$427,8)</f>
        <v>1046250</v>
      </c>
      <c r="I189" s="103">
        <f>VLOOKUP($A189,'OI(Volume)'!$A$7:$O$427,9)</f>
        <v>139375</v>
      </c>
      <c r="J189" s="103">
        <f>VLOOKUP($A189,'OI(Volume)'!$A$7:$O$427,11)</f>
        <v>426500</v>
      </c>
      <c r="K189" s="103">
        <f>VLOOKUP($A189,'OI(Volume)'!$A$7:$O$427,12)</f>
        <v>22875</v>
      </c>
      <c r="L189" s="103"/>
      <c r="M189" s="103"/>
      <c r="N189" s="103"/>
      <c r="O189" s="103"/>
    </row>
    <row r="190" spans="1:15" x14ac:dyDescent="0.25">
      <c r="A190" s="105" t="str">
        <f>'Data shares'!C216</f>
        <v>ZYDUSLIFE</v>
      </c>
      <c r="B190" s="143">
        <f>VLOOKUP($A190,'Data shares'!$C:$FA,118)</f>
        <v>0.62</v>
      </c>
      <c r="C190" s="143">
        <f>VLOOKUP($A190,'Data shares'!$C:$FA,119)</f>
        <v>0.6</v>
      </c>
      <c r="D190" s="143">
        <f>VLOOKUP($A190,'Data shares'!$C:$FA,121)*100</f>
        <v>3.3300000000000005</v>
      </c>
      <c r="E190" s="143">
        <f>VLOOKUP($A190,'Data shares'!$C:$FA,124)</f>
        <v>0.4</v>
      </c>
      <c r="F190" s="143">
        <f>VLOOKUP($A190,'Data shares'!$C:$FA,125)</f>
        <v>0.22</v>
      </c>
      <c r="G190" s="143">
        <f>VLOOKUP($A190,'Data shares'!$C:$FA,127)*100</f>
        <v>81.820000000000007</v>
      </c>
      <c r="H190" s="103">
        <f>VLOOKUP($A190,'OI(Volume)'!$A$7:$O$427,8)</f>
        <v>0</v>
      </c>
      <c r="I190" s="103">
        <f>VLOOKUP($A190,'OI(Volume)'!$A$7:$O$427,9)</f>
        <v>0</v>
      </c>
      <c r="J190" s="103">
        <f>VLOOKUP($A190,'OI(Volume)'!$A$7:$O$427,11)</f>
        <v>0</v>
      </c>
      <c r="K190" s="103">
        <f>VLOOKUP($A190,'OI(Volume)'!$A$7:$O$427,12)</f>
        <v>0</v>
      </c>
      <c r="L190" s="103">
        <f>VLOOKUP($A190,'OI(Value)'!$A$7:$O$306,8,0)</f>
        <v>325</v>
      </c>
      <c r="M190" s="103">
        <f>VLOOKUP($A190,'OI(Value)'!$A$7:$O$306,9,0)</f>
        <v>2</v>
      </c>
      <c r="N190" s="103">
        <f>VLOOKUP($A190,'OI(Value)'!$A$7:$O$306,11,0)</f>
        <v>201</v>
      </c>
      <c r="O190" s="103">
        <f>VLOOKUP($A190,'OI(Value)'!$A$7:$O$306,12,0)</f>
        <v>6</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5165937958</v>
      </c>
      <c r="I192" s="135">
        <f t="shared" si="0"/>
        <v>198365295</v>
      </c>
      <c r="J192" s="135">
        <f t="shared" si="0"/>
        <v>3323742224</v>
      </c>
      <c r="K192" s="135">
        <f t="shared" si="0"/>
        <v>154199533</v>
      </c>
      <c r="L192" s="135">
        <f t="shared" si="0"/>
        <v>872135</v>
      </c>
      <c r="M192" s="135">
        <f t="shared" si="0"/>
        <v>24447</v>
      </c>
      <c r="N192" s="135">
        <f t="shared" si="0"/>
        <v>1033216</v>
      </c>
      <c r="O192" s="135">
        <f t="shared" si="0"/>
        <v>191516</v>
      </c>
    </row>
    <row r="193" spans="1:15" x14ac:dyDescent="0.25">
      <c r="A193" s="126" t="s">
        <v>415</v>
      </c>
      <c r="B193" s="136"/>
      <c r="C193" s="136"/>
      <c r="D193" s="136"/>
      <c r="E193" s="136"/>
      <c r="F193" s="136"/>
      <c r="G193" s="136"/>
      <c r="H193" s="137">
        <f>H192/10000000</f>
        <v>516.59379579999995</v>
      </c>
      <c r="I193" s="137">
        <f>I192/10000000</f>
        <v>19.836529500000001</v>
      </c>
      <c r="J193" s="137">
        <f>J192/10000000</f>
        <v>332.37422240000001</v>
      </c>
      <c r="K193" s="137">
        <f>K192/10000000</f>
        <v>15.4199533</v>
      </c>
      <c r="L193" s="138">
        <f>L192</f>
        <v>872135</v>
      </c>
      <c r="M193" s="138">
        <f>M192</f>
        <v>24447</v>
      </c>
      <c r="N193" s="138">
        <f>N192</f>
        <v>1033216</v>
      </c>
      <c r="O193" s="138">
        <f>O192</f>
        <v>191516</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J7" sqref="J7"/>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45940</v>
      </c>
      <c r="C5" s="3">
        <f>B5</f>
        <v>45940</v>
      </c>
      <c r="D5" s="76" t="s">
        <v>367</v>
      </c>
      <c r="E5" s="76" t="s">
        <v>321</v>
      </c>
      <c r="F5" s="76" t="s">
        <v>368</v>
      </c>
      <c r="G5" s="76" t="s">
        <v>369</v>
      </c>
      <c r="H5" s="48"/>
    </row>
    <row r="6" spans="1:8" x14ac:dyDescent="0.25">
      <c r="A6" s="101" t="str">
        <f>'Data shares'!C2</f>
        <v>360ONE</v>
      </c>
      <c r="B6" s="144">
        <f>VLOOKUP($A6,'Data shares'!$C:$FA,7)</f>
        <v>1095.0999999999999</v>
      </c>
      <c r="C6" s="144">
        <f>VLOOKUP($A6,'Data shares'!$C:$FA,3)</f>
        <v>1094.3</v>
      </c>
      <c r="D6" s="144">
        <f>VLOOKUP($A6,'Data shares'!$C:$FA,23)</f>
        <v>-0.8</v>
      </c>
      <c r="E6" s="145">
        <f>VLOOKUP($A6,'Data shares'!$C:$FA,26)*100</f>
        <v>-6.9999999999999993E-2</v>
      </c>
      <c r="F6" s="144">
        <f>VLOOKUP($A6,'Data shares'!$C:$FA,24)</f>
        <v>-1.2</v>
      </c>
      <c r="G6" s="144">
        <f>VLOOKUP($A6,'Data shares'!$C:$FA,25)</f>
        <v>0.4</v>
      </c>
    </row>
    <row r="7" spans="1:8" x14ac:dyDescent="0.25">
      <c r="A7" s="101" t="str">
        <f>'Data shares'!C3</f>
        <v>ABB</v>
      </c>
      <c r="B7" s="144">
        <f>VLOOKUP($A7,'Data shares'!$C:$FA,7)</f>
        <v>5186</v>
      </c>
      <c r="C7" s="144">
        <f>VLOOKUP($A7,'Data shares'!$C:$FA,3)</f>
        <v>5199</v>
      </c>
      <c r="D7" s="144">
        <f>VLOOKUP($A7,'Data shares'!$C:$FA,23)</f>
        <v>13</v>
      </c>
      <c r="E7" s="145">
        <f>VLOOKUP($A7,'Data shares'!$C:$FA,26)*100</f>
        <v>0.25</v>
      </c>
      <c r="F7" s="144">
        <f>VLOOKUP($A7,'Data shares'!$C:$FA,24)</f>
        <v>14.5</v>
      </c>
      <c r="G7" s="144">
        <f>VLOOKUP($A7,'Data shares'!$C:$FA,25)</f>
        <v>-1.5</v>
      </c>
    </row>
    <row r="8" spans="1:8" x14ac:dyDescent="0.25">
      <c r="A8" s="101" t="str">
        <f>'Data shares'!C4</f>
        <v>ABCAPITAL</v>
      </c>
      <c r="B8" s="144">
        <f>VLOOKUP($A8,'Data shares'!$C:$FA,7)</f>
        <v>293.35000000000002</v>
      </c>
      <c r="C8" s="144">
        <f>VLOOKUP($A8,'Data shares'!$C:$FA,3)</f>
        <v>295</v>
      </c>
      <c r="D8" s="144">
        <f>VLOOKUP($A8,'Data shares'!$C:$FA,23)</f>
        <v>1.65</v>
      </c>
      <c r="E8" s="145">
        <f>VLOOKUP($A8,'Data shares'!$C:$FA,26)*100</f>
        <v>0.55999999999999994</v>
      </c>
      <c r="F8" s="144">
        <f>VLOOKUP($A8,'Data shares'!$C:$FA,24)</f>
        <v>1.75</v>
      </c>
      <c r="G8" s="144">
        <f>VLOOKUP($A8,'Data shares'!$C:$FA,25)</f>
        <v>-0.1</v>
      </c>
    </row>
    <row r="9" spans="1:8" x14ac:dyDescent="0.25">
      <c r="A9" s="101" t="str">
        <f>'Data shares'!C5</f>
        <v>ADANIENSOL</v>
      </c>
      <c r="B9" s="144">
        <f>VLOOKUP($A9,'Data shares'!$C:$FA,7)</f>
        <v>925.85</v>
      </c>
      <c r="C9" s="144">
        <f>VLOOKUP($A9,'Data shares'!$C:$FA,3)</f>
        <v>931.2</v>
      </c>
      <c r="D9" s="144">
        <f>VLOOKUP($A9,'Data shares'!$C:$FA,23)</f>
        <v>5.35</v>
      </c>
      <c r="E9" s="145">
        <f>VLOOKUP($A9,'Data shares'!$C:$FA,26)*100</f>
        <v>0.57999999999999996</v>
      </c>
      <c r="F9" s="144">
        <f>VLOOKUP($A9,'Data shares'!$C:$FA,24)</f>
        <v>2.7</v>
      </c>
      <c r="G9" s="144">
        <f>VLOOKUP($A9,'Data shares'!$C:$FA,25)</f>
        <v>2.65</v>
      </c>
    </row>
    <row r="10" spans="1:8" x14ac:dyDescent="0.25">
      <c r="A10" s="101" t="str">
        <f>'Data shares'!C6</f>
        <v>ADANIENT</v>
      </c>
      <c r="B10" s="144">
        <f>VLOOKUP($A10,'Data shares'!$C:$FA,7)</f>
        <v>2550.9</v>
      </c>
      <c r="C10" s="144">
        <f>VLOOKUP($A10,'Data shares'!$C:$FA,3)</f>
        <v>2564.6999999999998</v>
      </c>
      <c r="D10" s="144">
        <f>VLOOKUP($A10,'Data shares'!$C:$FA,23)</f>
        <v>13.8</v>
      </c>
      <c r="E10" s="145">
        <f>VLOOKUP($A10,'Data shares'!$C:$FA,26)*100</f>
        <v>0.54</v>
      </c>
      <c r="F10" s="144">
        <f>VLOOKUP($A10,'Data shares'!$C:$FA,24)</f>
        <v>15.5</v>
      </c>
      <c r="G10" s="144">
        <f>VLOOKUP($A10,'Data shares'!$C:$FA,25)</f>
        <v>-1.7</v>
      </c>
    </row>
    <row r="11" spans="1:8" x14ac:dyDescent="0.25">
      <c r="A11" s="101" t="str">
        <f>'Data shares'!C7</f>
        <v>ADANIGREEN</v>
      </c>
      <c r="B11" s="144">
        <f>VLOOKUP($A11,'Data shares'!$C:$FA,7)</f>
        <v>1064.3</v>
      </c>
      <c r="C11" s="144">
        <f>VLOOKUP($A11,'Data shares'!$C:$FA,3)</f>
        <v>1070.2</v>
      </c>
      <c r="D11" s="144">
        <f>VLOOKUP($A11,'Data shares'!$C:$FA,23)</f>
        <v>5.9</v>
      </c>
      <c r="E11" s="145">
        <f>VLOOKUP($A11,'Data shares'!$C:$FA,26)*100</f>
        <v>0.54999999999999993</v>
      </c>
      <c r="F11" s="144">
        <f>VLOOKUP($A11,'Data shares'!$C:$FA,24)</f>
        <v>5.0999999999999996</v>
      </c>
      <c r="G11" s="144">
        <f>VLOOKUP($A11,'Data shares'!$C:$FA,25)</f>
        <v>0.8</v>
      </c>
    </row>
    <row r="12" spans="1:8" x14ac:dyDescent="0.25">
      <c r="A12" s="101" t="str">
        <f>'Data shares'!C8</f>
        <v>ADANIPORTS</v>
      </c>
      <c r="B12" s="144">
        <f>VLOOKUP($A12,'Data shares'!$C:$FA,7)</f>
        <v>1409.4</v>
      </c>
      <c r="C12" s="144">
        <f>VLOOKUP($A12,'Data shares'!$C:$FA,3)</f>
        <v>1417.3</v>
      </c>
      <c r="D12" s="144">
        <f>VLOOKUP($A12,'Data shares'!$C:$FA,23)</f>
        <v>7.9</v>
      </c>
      <c r="E12" s="145">
        <f>VLOOKUP($A12,'Data shares'!$C:$FA,26)*100</f>
        <v>0.55999999999999994</v>
      </c>
      <c r="F12" s="144">
        <f>VLOOKUP($A12,'Data shares'!$C:$FA,24)</f>
        <v>8.3000000000000007</v>
      </c>
      <c r="G12" s="144">
        <f>VLOOKUP($A12,'Data shares'!$C:$FA,25)</f>
        <v>-0.4</v>
      </c>
    </row>
    <row r="13" spans="1:8" x14ac:dyDescent="0.25">
      <c r="A13" s="101" t="str">
        <f>'Data shares'!C9</f>
        <v>ALKEM</v>
      </c>
      <c r="B13" s="144">
        <f>VLOOKUP($A13,'Data shares'!$C:$FA,7)</f>
        <v>5454.5</v>
      </c>
      <c r="C13" s="144">
        <f>VLOOKUP($A13,'Data shares'!$C:$FA,3)</f>
        <v>5483.5</v>
      </c>
      <c r="D13" s="144">
        <f>VLOOKUP($A13,'Data shares'!$C:$FA,23)</f>
        <v>29</v>
      </c>
      <c r="E13" s="145">
        <f>VLOOKUP($A13,'Data shares'!$C:$FA,26)*100</f>
        <v>0.53</v>
      </c>
      <c r="F13" s="144">
        <f>VLOOKUP($A13,'Data shares'!$C:$FA,24)</f>
        <v>32</v>
      </c>
      <c r="G13" s="144">
        <f>VLOOKUP($A13,'Data shares'!$C:$FA,25)</f>
        <v>-3</v>
      </c>
    </row>
    <row r="14" spans="1:8" x14ac:dyDescent="0.25">
      <c r="A14" s="101" t="str">
        <f>'Data shares'!C10</f>
        <v>AMBER</v>
      </c>
      <c r="B14" s="144">
        <f>VLOOKUP($A14,'Data shares'!$C:$FA,7)</f>
        <v>8284.5</v>
      </c>
      <c r="C14" s="144">
        <f>VLOOKUP($A14,'Data shares'!$C:$FA,3)</f>
        <v>8245.5</v>
      </c>
      <c r="D14" s="144">
        <f>VLOOKUP($A14,'Data shares'!$C:$FA,23)</f>
        <v>-39</v>
      </c>
      <c r="E14" s="145">
        <f>VLOOKUP($A14,'Data shares'!$C:$FA,26)*100</f>
        <v>-0.47000000000000003</v>
      </c>
      <c r="F14" s="144">
        <f>VLOOKUP($A14,'Data shares'!$C:$FA,24)</f>
        <v>-108</v>
      </c>
      <c r="G14" s="144">
        <f>VLOOKUP($A14,'Data shares'!$C:$FA,25)</f>
        <v>69</v>
      </c>
    </row>
    <row r="15" spans="1:8" x14ac:dyDescent="0.25">
      <c r="A15" s="101" t="str">
        <f>'Data shares'!C11</f>
        <v>AMBUJACEM</v>
      </c>
      <c r="B15" s="144">
        <f>VLOOKUP($A15,'Data shares'!$C:$FA,7)</f>
        <v>569.25</v>
      </c>
      <c r="C15" s="144">
        <f>VLOOKUP($A15,'Data shares'!$C:$FA,3)</f>
        <v>572.04999999999995</v>
      </c>
      <c r="D15" s="144">
        <f>VLOOKUP($A15,'Data shares'!$C:$FA,23)</f>
        <v>2.8</v>
      </c>
      <c r="E15" s="145">
        <f>VLOOKUP($A15,'Data shares'!$C:$FA,26)*100</f>
        <v>0.49</v>
      </c>
      <c r="F15" s="144">
        <f>VLOOKUP($A15,'Data shares'!$C:$FA,24)</f>
        <v>2.2000000000000002</v>
      </c>
      <c r="G15" s="144">
        <f>VLOOKUP($A15,'Data shares'!$C:$FA,25)</f>
        <v>0.6</v>
      </c>
    </row>
    <row r="16" spans="1:8" x14ac:dyDescent="0.25">
      <c r="A16" s="101" t="str">
        <f>'Data shares'!C12</f>
        <v>ANGELONE</v>
      </c>
      <c r="B16" s="144">
        <f>VLOOKUP($A16,'Data shares'!$C:$FA,7)</f>
        <v>2303.3000000000002</v>
      </c>
      <c r="C16" s="144">
        <f>VLOOKUP($A16,'Data shares'!$C:$FA,3)</f>
        <v>2312.1999999999998</v>
      </c>
      <c r="D16" s="144">
        <f>VLOOKUP($A16,'Data shares'!$C:$FA,23)</f>
        <v>8.9</v>
      </c>
      <c r="E16" s="145">
        <f>VLOOKUP($A16,'Data shares'!$C:$FA,26)*100</f>
        <v>0.38999999999999996</v>
      </c>
      <c r="F16" s="144">
        <f>VLOOKUP($A16,'Data shares'!$C:$FA,24)</f>
        <v>8.6</v>
      </c>
      <c r="G16" s="144">
        <f>VLOOKUP($A16,'Data shares'!$C:$FA,25)</f>
        <v>0.3</v>
      </c>
    </row>
    <row r="17" spans="1:7" x14ac:dyDescent="0.25">
      <c r="A17" s="101" t="str">
        <f>'Data shares'!C13</f>
        <v>APLAPOLLO</v>
      </c>
      <c r="B17" s="144">
        <f>VLOOKUP($A17,'Data shares'!$C:$FA,7)</f>
        <v>1738.6</v>
      </c>
      <c r="C17" s="144">
        <f>VLOOKUP($A17,'Data shares'!$C:$FA,3)</f>
        <v>1746.2</v>
      </c>
      <c r="D17" s="144">
        <f>VLOOKUP($A17,'Data shares'!$C:$FA,23)</f>
        <v>7.6</v>
      </c>
      <c r="E17" s="145">
        <f>VLOOKUP($A17,'Data shares'!$C:$FA,26)*100</f>
        <v>0.44</v>
      </c>
      <c r="F17" s="144">
        <f>VLOOKUP($A17,'Data shares'!$C:$FA,24)</f>
        <v>10.4</v>
      </c>
      <c r="G17" s="144">
        <f>VLOOKUP($A17,'Data shares'!$C:$FA,25)</f>
        <v>-2.8</v>
      </c>
    </row>
    <row r="18" spans="1:7" x14ac:dyDescent="0.25">
      <c r="A18" s="101" t="str">
        <f>'Data shares'!C14</f>
        <v>APOLLOHOSP</v>
      </c>
      <c r="B18" s="144">
        <f>VLOOKUP($A18,'Data shares'!$C:$FA,7)</f>
        <v>7681</v>
      </c>
      <c r="C18" s="144">
        <f>VLOOKUP($A18,'Data shares'!$C:$FA,3)</f>
        <v>7721</v>
      </c>
      <c r="D18" s="144">
        <f>VLOOKUP($A18,'Data shares'!$C:$FA,23)</f>
        <v>40</v>
      </c>
      <c r="E18" s="145">
        <f>VLOOKUP($A18,'Data shares'!$C:$FA,26)*100</f>
        <v>0.52</v>
      </c>
      <c r="F18" s="144">
        <f>VLOOKUP($A18,'Data shares'!$C:$FA,24)</f>
        <v>39</v>
      </c>
      <c r="G18" s="144">
        <f>VLOOKUP($A18,'Data shares'!$C:$FA,25)</f>
        <v>1</v>
      </c>
    </row>
    <row r="19" spans="1:7" x14ac:dyDescent="0.25">
      <c r="A19" s="101" t="str">
        <f>'Data shares'!C15</f>
        <v>ASHOKLEY</v>
      </c>
      <c r="B19" s="144">
        <f>VLOOKUP($A19,'Data shares'!$C:$FA,7)</f>
        <v>137.55000000000001</v>
      </c>
      <c r="C19" s="144">
        <f>VLOOKUP($A19,'Data shares'!$C:$FA,3)</f>
        <v>137.72</v>
      </c>
      <c r="D19" s="144">
        <f>VLOOKUP($A19,'Data shares'!$C:$FA,23)</f>
        <v>0.17</v>
      </c>
      <c r="E19" s="145">
        <f>VLOOKUP($A19,'Data shares'!$C:$FA,26)*100</f>
        <v>0.12</v>
      </c>
      <c r="F19" s="144">
        <f>VLOOKUP($A19,'Data shares'!$C:$FA,24)</f>
        <v>0.09</v>
      </c>
      <c r="G19" s="144">
        <f>VLOOKUP($A19,'Data shares'!$C:$FA,25)</f>
        <v>0.08</v>
      </c>
    </row>
    <row r="20" spans="1:7" x14ac:dyDescent="0.25">
      <c r="A20" s="101" t="str">
        <f>'Data shares'!C16</f>
        <v>ASIANPAINT</v>
      </c>
      <c r="B20" s="144">
        <f>VLOOKUP($A20,'Data shares'!$C:$FA,7)</f>
        <v>2340.1999999999998</v>
      </c>
      <c r="C20" s="144">
        <f>VLOOKUP($A20,'Data shares'!$C:$FA,3)</f>
        <v>2351.1999999999998</v>
      </c>
      <c r="D20" s="144">
        <f>VLOOKUP($A20,'Data shares'!$C:$FA,23)</f>
        <v>11</v>
      </c>
      <c r="E20" s="145">
        <f>VLOOKUP($A20,'Data shares'!$C:$FA,26)*100</f>
        <v>0.47000000000000003</v>
      </c>
      <c r="F20" s="144">
        <f>VLOOKUP($A20,'Data shares'!$C:$FA,24)</f>
        <v>11</v>
      </c>
      <c r="G20" s="144">
        <f>VLOOKUP($A20,'Data shares'!$C:$FA,25)</f>
        <v>0</v>
      </c>
    </row>
    <row r="21" spans="1:7" x14ac:dyDescent="0.25">
      <c r="A21" s="101" t="str">
        <f>'Data shares'!C17</f>
        <v>ASTRAL</v>
      </c>
      <c r="B21" s="144">
        <f>VLOOKUP($A21,'Data shares'!$C:$FA,7)</f>
        <v>1427.1</v>
      </c>
      <c r="C21" s="144">
        <f>VLOOKUP($A21,'Data shares'!$C:$FA,3)</f>
        <v>1433</v>
      </c>
      <c r="D21" s="144">
        <f>VLOOKUP($A21,'Data shares'!$C:$FA,23)</f>
        <v>5.9</v>
      </c>
      <c r="E21" s="145">
        <f>VLOOKUP($A21,'Data shares'!$C:$FA,26)*100</f>
        <v>0.41000000000000003</v>
      </c>
      <c r="F21" s="144">
        <f>VLOOKUP($A21,'Data shares'!$C:$FA,24)</f>
        <v>3.5</v>
      </c>
      <c r="G21" s="144">
        <f>VLOOKUP($A21,'Data shares'!$C:$FA,25)</f>
        <v>2.4</v>
      </c>
    </row>
    <row r="22" spans="1:7" x14ac:dyDescent="0.25">
      <c r="A22" s="101" t="str">
        <f>'Data shares'!C18</f>
        <v>AUBANK</v>
      </c>
      <c r="B22" s="144">
        <f>VLOOKUP($A22,'Data shares'!$C:$FA,7)</f>
        <v>763.25</v>
      </c>
      <c r="C22" s="144">
        <f>VLOOKUP($A22,'Data shares'!$C:$FA,3)</f>
        <v>767.6</v>
      </c>
      <c r="D22" s="144">
        <f>VLOOKUP($A22,'Data shares'!$C:$FA,23)</f>
        <v>4.3499999999999996</v>
      </c>
      <c r="E22" s="145">
        <f>VLOOKUP($A22,'Data shares'!$C:$FA,26)*100</f>
        <v>0.57000000000000006</v>
      </c>
      <c r="F22" s="144">
        <f>VLOOKUP($A22,'Data shares'!$C:$FA,24)</f>
        <v>2.65</v>
      </c>
      <c r="G22" s="144">
        <f>VLOOKUP($A22,'Data shares'!$C:$FA,25)</f>
        <v>1.7</v>
      </c>
    </row>
    <row r="23" spans="1:7" x14ac:dyDescent="0.25">
      <c r="A23" s="101" t="str">
        <f>'Data shares'!C19</f>
        <v>AUROPHARMA</v>
      </c>
      <c r="B23" s="144">
        <f>VLOOKUP($A23,'Data shares'!$C:$FA,7)</f>
        <v>1130.3</v>
      </c>
      <c r="C23" s="144">
        <f>VLOOKUP($A23,'Data shares'!$C:$FA,3)</f>
        <v>1136.5</v>
      </c>
      <c r="D23" s="144">
        <f>VLOOKUP($A23,'Data shares'!$C:$FA,23)</f>
        <v>6.2</v>
      </c>
      <c r="E23" s="145">
        <f>VLOOKUP($A23,'Data shares'!$C:$FA,26)*100</f>
        <v>0.54999999999999993</v>
      </c>
      <c r="F23" s="144">
        <f>VLOOKUP($A23,'Data shares'!$C:$FA,24)</f>
        <v>7</v>
      </c>
      <c r="G23" s="144">
        <f>VLOOKUP($A23,'Data shares'!$C:$FA,25)</f>
        <v>-0.8</v>
      </c>
    </row>
    <row r="24" spans="1:7" x14ac:dyDescent="0.25">
      <c r="A24" s="101" t="str">
        <f>'Data shares'!C20</f>
        <v>AXISBANK</v>
      </c>
      <c r="B24" s="144">
        <f>VLOOKUP($A24,'Data shares'!$C:$FA,7)</f>
        <v>1180.4000000000001</v>
      </c>
      <c r="C24" s="144">
        <f>VLOOKUP($A24,'Data shares'!$C:$FA,3)</f>
        <v>1183.8</v>
      </c>
      <c r="D24" s="144">
        <f>VLOOKUP($A24,'Data shares'!$C:$FA,23)</f>
        <v>3.4</v>
      </c>
      <c r="E24" s="145">
        <f>VLOOKUP($A24,'Data shares'!$C:$FA,26)*100</f>
        <v>0.28999999999999998</v>
      </c>
      <c r="F24" s="144">
        <f>VLOOKUP($A24,'Data shares'!$C:$FA,24)</f>
        <v>5.7</v>
      </c>
      <c r="G24" s="144">
        <f>VLOOKUP($A24,'Data shares'!$C:$FA,25)</f>
        <v>-2.2999999999999998</v>
      </c>
    </row>
    <row r="25" spans="1:7" x14ac:dyDescent="0.25">
      <c r="A25" s="101" t="str">
        <f>'Data shares'!C21</f>
        <v>BAJAJ-AUTO</v>
      </c>
      <c r="B25" s="144">
        <f>VLOOKUP($A25,'Data shares'!$C:$FA,7)</f>
        <v>8946.5</v>
      </c>
      <c r="C25" s="144">
        <f>VLOOKUP($A25,'Data shares'!$C:$FA,3)</f>
        <v>8993.5</v>
      </c>
      <c r="D25" s="144">
        <f>VLOOKUP($A25,'Data shares'!$C:$FA,23)</f>
        <v>47</v>
      </c>
      <c r="E25" s="145">
        <f>VLOOKUP($A25,'Data shares'!$C:$FA,26)*100</f>
        <v>0.53</v>
      </c>
      <c r="F25" s="144">
        <f>VLOOKUP($A25,'Data shares'!$C:$FA,24)</f>
        <v>41</v>
      </c>
      <c r="G25" s="144">
        <f>VLOOKUP($A25,'Data shares'!$C:$FA,25)</f>
        <v>6</v>
      </c>
    </row>
    <row r="26" spans="1:7" x14ac:dyDescent="0.25">
      <c r="A26" s="101" t="str">
        <f>'Data shares'!C22</f>
        <v>BAJAJFINSV</v>
      </c>
      <c r="B26" s="144">
        <f>VLOOKUP($A26,'Data shares'!$C:$FA,7)</f>
        <v>2004.3</v>
      </c>
      <c r="C26" s="144">
        <f>VLOOKUP($A26,'Data shares'!$C:$FA,3)</f>
        <v>2015.7</v>
      </c>
      <c r="D26" s="144">
        <f>VLOOKUP($A26,'Data shares'!$C:$FA,23)</f>
        <v>11.4</v>
      </c>
      <c r="E26" s="145">
        <f>VLOOKUP($A26,'Data shares'!$C:$FA,26)*100</f>
        <v>0.57000000000000006</v>
      </c>
      <c r="F26" s="144">
        <f>VLOOKUP($A26,'Data shares'!$C:$FA,24)</f>
        <v>10.5</v>
      </c>
      <c r="G26" s="144">
        <f>VLOOKUP($A26,'Data shares'!$C:$FA,25)</f>
        <v>0.9</v>
      </c>
    </row>
    <row r="27" spans="1:7" x14ac:dyDescent="0.25">
      <c r="A27" s="101" t="str">
        <f>'Data shares'!C23</f>
        <v>BAJFINANCE</v>
      </c>
      <c r="B27" s="144">
        <f>VLOOKUP($A27,'Data shares'!$C:$FA,7)</f>
        <v>1023.85</v>
      </c>
      <c r="C27" s="144">
        <f>VLOOKUP($A27,'Data shares'!$C:$FA,3)</f>
        <v>1029.3</v>
      </c>
      <c r="D27" s="144">
        <f>VLOOKUP($A27,'Data shares'!$C:$FA,23)</f>
        <v>5.45</v>
      </c>
      <c r="E27" s="145">
        <f>VLOOKUP($A27,'Data shares'!$C:$FA,26)*100</f>
        <v>0.53</v>
      </c>
      <c r="F27" s="144">
        <f>VLOOKUP($A27,'Data shares'!$C:$FA,24)</f>
        <v>4.25</v>
      </c>
      <c r="G27" s="144">
        <f>VLOOKUP($A27,'Data shares'!$C:$FA,25)</f>
        <v>1.2</v>
      </c>
    </row>
    <row r="28" spans="1:7" x14ac:dyDescent="0.25">
      <c r="A28" s="101" t="str">
        <f>'Data shares'!C24</f>
        <v>BANDHANBNK</v>
      </c>
      <c r="B28" s="144">
        <f>VLOOKUP($A28,'Data shares'!$C:$FA,7)</f>
        <v>169.32</v>
      </c>
      <c r="C28" s="144">
        <f>VLOOKUP($A28,'Data shares'!$C:$FA,3)</f>
        <v>170.24</v>
      </c>
      <c r="D28" s="144">
        <f>VLOOKUP($A28,'Data shares'!$C:$FA,23)</f>
        <v>0.92</v>
      </c>
      <c r="E28" s="145">
        <f>VLOOKUP($A28,'Data shares'!$C:$FA,26)*100</f>
        <v>0.54</v>
      </c>
      <c r="F28" s="144">
        <f>VLOOKUP($A28,'Data shares'!$C:$FA,24)</f>
        <v>0.89</v>
      </c>
      <c r="G28" s="144">
        <f>VLOOKUP($A28,'Data shares'!$C:$FA,25)</f>
        <v>0.03</v>
      </c>
    </row>
    <row r="29" spans="1:7" x14ac:dyDescent="0.25">
      <c r="A29" s="101" t="str">
        <f>'Data shares'!C25</f>
        <v>BANKBARODA</v>
      </c>
      <c r="B29" s="144">
        <f>VLOOKUP($A29,'Data shares'!$C:$FA,7)</f>
        <v>266.95</v>
      </c>
      <c r="C29" s="144">
        <f>VLOOKUP($A29,'Data shares'!$C:$FA,3)</f>
        <v>267.64999999999998</v>
      </c>
      <c r="D29" s="144">
        <f>VLOOKUP($A29,'Data shares'!$C:$FA,23)</f>
        <v>0.7</v>
      </c>
      <c r="E29" s="145">
        <f>VLOOKUP($A29,'Data shares'!$C:$FA,26)*100</f>
        <v>0.26</v>
      </c>
      <c r="F29" s="144">
        <f>VLOOKUP($A29,'Data shares'!$C:$FA,24)</f>
        <v>0.8</v>
      </c>
      <c r="G29" s="144">
        <f>VLOOKUP($A29,'Data shares'!$C:$FA,25)</f>
        <v>-0.1</v>
      </c>
    </row>
    <row r="30" spans="1:7" x14ac:dyDescent="0.25">
      <c r="A30" s="101" t="str">
        <f>'Data shares'!C26</f>
        <v>BANKINDIA</v>
      </c>
      <c r="B30" s="144">
        <f>VLOOKUP($A30,'Data shares'!$C:$FA,7)</f>
        <v>126.77</v>
      </c>
      <c r="C30" s="144">
        <f>VLOOKUP($A30,'Data shares'!$C:$FA,3)</f>
        <v>127.3</v>
      </c>
      <c r="D30" s="144">
        <f>VLOOKUP($A30,'Data shares'!$C:$FA,23)</f>
        <v>0.53</v>
      </c>
      <c r="E30" s="145">
        <f>VLOOKUP($A30,'Data shares'!$C:$FA,26)*100</f>
        <v>0.42</v>
      </c>
      <c r="F30" s="144">
        <f>VLOOKUP($A30,'Data shares'!$C:$FA,24)</f>
        <v>0.74</v>
      </c>
      <c r="G30" s="144">
        <f>VLOOKUP($A30,'Data shares'!$C:$FA,25)</f>
        <v>-0.21</v>
      </c>
    </row>
    <row r="31" spans="1:7" x14ac:dyDescent="0.25">
      <c r="A31" s="101" t="str">
        <f>'Data shares'!C27</f>
        <v>BANKNIFTY</v>
      </c>
      <c r="B31" s="144">
        <f>VLOOKUP($A31,'Data shares'!$C:$FA,7)</f>
        <v>56609.75</v>
      </c>
      <c r="C31" s="144">
        <f>VLOOKUP($A31,'Data shares'!$C:$FA,3)</f>
        <v>56862.2</v>
      </c>
      <c r="D31" s="144">
        <f>VLOOKUP($A31,'Data shares'!$C:$FA,23)</f>
        <v>252.45</v>
      </c>
      <c r="E31" s="145">
        <f>VLOOKUP($A31,'Data shares'!$C:$FA,26)*100</f>
        <v>0.44999999999999996</v>
      </c>
      <c r="F31" s="144">
        <f>VLOOKUP($A31,'Data shares'!$C:$FA,24)</f>
        <v>221.15</v>
      </c>
      <c r="G31" s="144">
        <f>VLOOKUP($A31,'Data shares'!$C:$FA,25)</f>
        <v>31.3</v>
      </c>
    </row>
    <row r="32" spans="1:7" x14ac:dyDescent="0.25">
      <c r="A32" s="101" t="str">
        <f>'Data shares'!C28</f>
        <v>BDL</v>
      </c>
      <c r="B32" s="144">
        <f>VLOOKUP($A32,'Data shares'!$C:$FA,7)</f>
        <v>1537.1</v>
      </c>
      <c r="C32" s="144">
        <f>VLOOKUP($A32,'Data shares'!$C:$FA,3)</f>
        <v>1539.7</v>
      </c>
      <c r="D32" s="144">
        <f>VLOOKUP($A32,'Data shares'!$C:$FA,23)</f>
        <v>2.6</v>
      </c>
      <c r="E32" s="145">
        <f>VLOOKUP($A32,'Data shares'!$C:$FA,26)*100</f>
        <v>0.16999999999999998</v>
      </c>
      <c r="F32" s="144">
        <f>VLOOKUP($A32,'Data shares'!$C:$FA,24)</f>
        <v>4.5999999999999996</v>
      </c>
      <c r="G32" s="144">
        <f>VLOOKUP($A32,'Data shares'!$C:$FA,25)</f>
        <v>-2</v>
      </c>
    </row>
    <row r="33" spans="1:7" x14ac:dyDescent="0.25">
      <c r="A33" s="101" t="str">
        <f>'Data shares'!C29</f>
        <v>BEL</v>
      </c>
      <c r="B33" s="144">
        <f>VLOOKUP($A33,'Data shares'!$C:$FA,7)</f>
        <v>413.5</v>
      </c>
      <c r="C33" s="144">
        <f>VLOOKUP($A33,'Data shares'!$C:$FA,3)</f>
        <v>414.95</v>
      </c>
      <c r="D33" s="144">
        <f>VLOOKUP($A33,'Data shares'!$C:$FA,23)</f>
        <v>1.45</v>
      </c>
      <c r="E33" s="145">
        <f>VLOOKUP($A33,'Data shares'!$C:$FA,26)*100</f>
        <v>0.35000000000000003</v>
      </c>
      <c r="F33" s="144">
        <f>VLOOKUP($A33,'Data shares'!$C:$FA,24)</f>
        <v>2.2999999999999998</v>
      </c>
      <c r="G33" s="144">
        <f>VLOOKUP($A33,'Data shares'!$C:$FA,25)</f>
        <v>-0.85</v>
      </c>
    </row>
    <row r="34" spans="1:7" x14ac:dyDescent="0.25">
      <c r="A34" s="101" t="str">
        <f>'Data shares'!C30</f>
        <v>BHARATFORG</v>
      </c>
      <c r="B34" s="144">
        <f>VLOOKUP($A34,'Data shares'!$C:$FA,7)</f>
        <v>1220</v>
      </c>
      <c r="C34" s="144">
        <f>VLOOKUP($A34,'Data shares'!$C:$FA,3)</f>
        <v>1214.8</v>
      </c>
      <c r="D34" s="144">
        <f>VLOOKUP($A34,'Data shares'!$C:$FA,23)</f>
        <v>-5.2</v>
      </c>
      <c r="E34" s="145">
        <f>VLOOKUP($A34,'Data shares'!$C:$FA,26)*100</f>
        <v>-0.43</v>
      </c>
      <c r="F34" s="144">
        <f>VLOOKUP($A34,'Data shares'!$C:$FA,24)</f>
        <v>-2.9</v>
      </c>
      <c r="G34" s="144">
        <f>VLOOKUP($A34,'Data shares'!$C:$FA,25)</f>
        <v>-2.2999999999999998</v>
      </c>
    </row>
    <row r="35" spans="1:7" x14ac:dyDescent="0.25">
      <c r="A35" s="101" t="str">
        <f>'Data shares'!C31</f>
        <v>BHARTIARTL</v>
      </c>
      <c r="B35" s="144">
        <f>VLOOKUP($A35,'Data shares'!$C:$FA,7)</f>
        <v>1939.9</v>
      </c>
      <c r="C35" s="144">
        <f>VLOOKUP($A35,'Data shares'!$C:$FA,3)</f>
        <v>1950.5</v>
      </c>
      <c r="D35" s="144">
        <f>VLOOKUP($A35,'Data shares'!$C:$FA,23)</f>
        <v>10.6</v>
      </c>
      <c r="E35" s="145">
        <f>VLOOKUP($A35,'Data shares'!$C:$FA,26)*100</f>
        <v>0.54999999999999993</v>
      </c>
      <c r="F35" s="144">
        <f>VLOOKUP($A35,'Data shares'!$C:$FA,24)</f>
        <v>6.7</v>
      </c>
      <c r="G35" s="144">
        <f>VLOOKUP($A35,'Data shares'!$C:$FA,25)</f>
        <v>3.9</v>
      </c>
    </row>
    <row r="36" spans="1:7" x14ac:dyDescent="0.25">
      <c r="A36" s="101" t="str">
        <f>'Data shares'!C32</f>
        <v>BHEL</v>
      </c>
      <c r="B36" s="144">
        <f>VLOOKUP($A36,'Data shares'!$C:$FA,7)</f>
        <v>239.64</v>
      </c>
      <c r="C36" s="144">
        <f>VLOOKUP($A36,'Data shares'!$C:$FA,3)</f>
        <v>240.26</v>
      </c>
      <c r="D36" s="144">
        <f>VLOOKUP($A36,'Data shares'!$C:$FA,23)</f>
        <v>0.62</v>
      </c>
      <c r="E36" s="145">
        <f>VLOOKUP($A36,'Data shares'!$C:$FA,26)*100</f>
        <v>0.26</v>
      </c>
      <c r="F36" s="144">
        <f>VLOOKUP($A36,'Data shares'!$C:$FA,24)</f>
        <v>1.43</v>
      </c>
      <c r="G36" s="144">
        <f>VLOOKUP($A36,'Data shares'!$C:$FA,25)</f>
        <v>-0.81</v>
      </c>
    </row>
    <row r="37" spans="1:7" x14ac:dyDescent="0.25">
      <c r="A37" s="101" t="str">
        <f>'Data shares'!C33</f>
        <v>BIOCON</v>
      </c>
      <c r="B37" s="144">
        <f>VLOOKUP($A37,'Data shares'!$C:$FA,7)</f>
        <v>353.45</v>
      </c>
      <c r="C37" s="144">
        <f>VLOOKUP($A37,'Data shares'!$C:$FA,3)</f>
        <v>354.7</v>
      </c>
      <c r="D37" s="144">
        <f>VLOOKUP($A37,'Data shares'!$C:$FA,23)</f>
        <v>1.25</v>
      </c>
      <c r="E37" s="145">
        <f>VLOOKUP($A37,'Data shares'!$C:$FA,26)*100</f>
        <v>0.35000000000000003</v>
      </c>
      <c r="F37" s="144">
        <f>VLOOKUP($A37,'Data shares'!$C:$FA,24)</f>
        <v>1.75</v>
      </c>
      <c r="G37" s="144">
        <f>VLOOKUP($A37,'Data shares'!$C:$FA,25)</f>
        <v>-0.5</v>
      </c>
    </row>
    <row r="38" spans="1:7" x14ac:dyDescent="0.25">
      <c r="A38" s="101" t="str">
        <f>'Data shares'!C34</f>
        <v>BLUESTARCO</v>
      </c>
      <c r="B38" s="144">
        <f>VLOOKUP($A38,'Data shares'!$C:$FA,7)</f>
        <v>1949.1</v>
      </c>
      <c r="C38" s="144">
        <f>VLOOKUP($A38,'Data shares'!$C:$FA,3)</f>
        <v>1958</v>
      </c>
      <c r="D38" s="144">
        <f>VLOOKUP($A38,'Data shares'!$C:$FA,23)</f>
        <v>8.9</v>
      </c>
      <c r="E38" s="145">
        <f>VLOOKUP($A38,'Data shares'!$C:$FA,26)*100</f>
        <v>0.45999999999999996</v>
      </c>
      <c r="F38" s="144">
        <f>VLOOKUP($A38,'Data shares'!$C:$FA,24)</f>
        <v>6.7</v>
      </c>
      <c r="G38" s="144">
        <f>VLOOKUP($A38,'Data shares'!$C:$FA,25)</f>
        <v>2.2000000000000002</v>
      </c>
    </row>
    <row r="39" spans="1:7" x14ac:dyDescent="0.25">
      <c r="A39" s="101" t="str">
        <f>'Data shares'!C35</f>
        <v>BOSCHLTD</v>
      </c>
      <c r="B39" s="144">
        <f>VLOOKUP($A39,'Data shares'!$C:$FA,7)</f>
        <v>38625</v>
      </c>
      <c r="C39" s="144">
        <f>VLOOKUP($A39,'Data shares'!$C:$FA,3)</f>
        <v>38805</v>
      </c>
      <c r="D39" s="144">
        <f>VLOOKUP($A39,'Data shares'!$C:$FA,23)</f>
        <v>180</v>
      </c>
      <c r="E39" s="145">
        <f>VLOOKUP($A39,'Data shares'!$C:$FA,26)*100</f>
        <v>0.47000000000000003</v>
      </c>
      <c r="F39" s="144">
        <f>VLOOKUP($A39,'Data shares'!$C:$FA,24)</f>
        <v>200</v>
      </c>
      <c r="G39" s="144">
        <f>VLOOKUP($A39,'Data shares'!$C:$FA,25)</f>
        <v>-20</v>
      </c>
    </row>
    <row r="40" spans="1:7" x14ac:dyDescent="0.25">
      <c r="A40" s="101" t="str">
        <f>'Data shares'!C36</f>
        <v>BPCL</v>
      </c>
      <c r="B40" s="144">
        <f>VLOOKUP($A40,'Data shares'!$C:$FA,7)</f>
        <v>338.7</v>
      </c>
      <c r="C40" s="144">
        <f>VLOOKUP($A40,'Data shares'!$C:$FA,3)</f>
        <v>339.95</v>
      </c>
      <c r="D40" s="144">
        <f>VLOOKUP($A40,'Data shares'!$C:$FA,23)</f>
        <v>1.25</v>
      </c>
      <c r="E40" s="145">
        <f>VLOOKUP($A40,'Data shares'!$C:$FA,26)*100</f>
        <v>0.37</v>
      </c>
      <c r="F40" s="144">
        <f>VLOOKUP($A40,'Data shares'!$C:$FA,24)</f>
        <v>1.85</v>
      </c>
      <c r="G40" s="144">
        <f>VLOOKUP($A40,'Data shares'!$C:$FA,25)</f>
        <v>-0.6</v>
      </c>
    </row>
    <row r="41" spans="1:7" x14ac:dyDescent="0.25">
      <c r="A41" s="101" t="str">
        <f>'Data shares'!C37</f>
        <v>BRITANNIA</v>
      </c>
      <c r="B41" s="144">
        <f>VLOOKUP($A41,'Data shares'!$C:$FA,7)</f>
        <v>5871.5</v>
      </c>
      <c r="C41" s="144">
        <f>VLOOKUP($A41,'Data shares'!$C:$FA,3)</f>
        <v>5895.5</v>
      </c>
      <c r="D41" s="144">
        <f>VLOOKUP($A41,'Data shares'!$C:$FA,23)</f>
        <v>24</v>
      </c>
      <c r="E41" s="145">
        <f>VLOOKUP($A41,'Data shares'!$C:$FA,26)*100</f>
        <v>0.41000000000000003</v>
      </c>
      <c r="F41" s="144">
        <f>VLOOKUP($A41,'Data shares'!$C:$FA,24)</f>
        <v>23.5</v>
      </c>
      <c r="G41" s="144">
        <f>VLOOKUP($A41,'Data shares'!$C:$FA,25)</f>
        <v>0.5</v>
      </c>
    </row>
    <row r="42" spans="1:7" x14ac:dyDescent="0.25">
      <c r="A42" s="101" t="str">
        <f>'Data shares'!C38</f>
        <v>BSE</v>
      </c>
      <c r="B42" s="144">
        <f>VLOOKUP($A42,'Data shares'!$C:$FA,7)</f>
        <v>2385</v>
      </c>
      <c r="C42" s="144">
        <f>VLOOKUP($A42,'Data shares'!$C:$FA,3)</f>
        <v>2393.4</v>
      </c>
      <c r="D42" s="144">
        <f>VLOOKUP($A42,'Data shares'!$C:$FA,23)</f>
        <v>8.4</v>
      </c>
      <c r="E42" s="145">
        <f>VLOOKUP($A42,'Data shares'!$C:$FA,26)*100</f>
        <v>0.35000000000000003</v>
      </c>
      <c r="F42" s="144">
        <f>VLOOKUP($A42,'Data shares'!$C:$FA,24)</f>
        <v>13.8</v>
      </c>
      <c r="G42" s="144">
        <f>VLOOKUP($A42,'Data shares'!$C:$FA,25)</f>
        <v>-5.4</v>
      </c>
    </row>
    <row r="43" spans="1:7" x14ac:dyDescent="0.25">
      <c r="A43" s="101" t="str">
        <f>'Data shares'!C39</f>
        <v>CAMS</v>
      </c>
      <c r="B43" s="144">
        <f>VLOOKUP($A43,'Data shares'!$C:$FA,7)</f>
        <v>3860.8</v>
      </c>
      <c r="C43" s="144">
        <f>VLOOKUP($A43,'Data shares'!$C:$FA,3)</f>
        <v>3872.3</v>
      </c>
      <c r="D43" s="144">
        <f>VLOOKUP($A43,'Data shares'!$C:$FA,23)</f>
        <v>11.5</v>
      </c>
      <c r="E43" s="145">
        <f>VLOOKUP($A43,'Data shares'!$C:$FA,26)*100</f>
        <v>0.3</v>
      </c>
      <c r="F43" s="144">
        <f>VLOOKUP($A43,'Data shares'!$C:$FA,24)</f>
        <v>18.3</v>
      </c>
      <c r="G43" s="144">
        <f>VLOOKUP($A43,'Data shares'!$C:$FA,25)</f>
        <v>-6.8</v>
      </c>
    </row>
    <row r="44" spans="1:7" x14ac:dyDescent="0.25">
      <c r="A44" s="101" t="str">
        <f>'Data shares'!C40</f>
        <v>CANBK</v>
      </c>
      <c r="B44" s="144">
        <f>VLOOKUP($A44,'Data shares'!$C:$FA,7)</f>
        <v>127.39</v>
      </c>
      <c r="C44" s="144">
        <f>VLOOKUP($A44,'Data shares'!$C:$FA,3)</f>
        <v>127.76</v>
      </c>
      <c r="D44" s="144">
        <f>VLOOKUP($A44,'Data shares'!$C:$FA,23)</f>
        <v>0.37</v>
      </c>
      <c r="E44" s="145">
        <f>VLOOKUP($A44,'Data shares'!$C:$FA,26)*100</f>
        <v>0.28999999999999998</v>
      </c>
      <c r="F44" s="144">
        <f>VLOOKUP($A44,'Data shares'!$C:$FA,24)</f>
        <v>0.67</v>
      </c>
      <c r="G44" s="144">
        <f>VLOOKUP($A44,'Data shares'!$C:$FA,25)</f>
        <v>-0.3</v>
      </c>
    </row>
    <row r="45" spans="1:7" x14ac:dyDescent="0.25">
      <c r="A45" s="101" t="str">
        <f>'Data shares'!C41</f>
        <v>CDSL</v>
      </c>
      <c r="B45" s="144">
        <f>VLOOKUP($A45,'Data shares'!$C:$FA,7)</f>
        <v>1605.3</v>
      </c>
      <c r="C45" s="144">
        <f>VLOOKUP($A45,'Data shares'!$C:$FA,3)</f>
        <v>1614.6</v>
      </c>
      <c r="D45" s="144">
        <f>VLOOKUP($A45,'Data shares'!$C:$FA,23)</f>
        <v>9.3000000000000007</v>
      </c>
      <c r="E45" s="145">
        <f>VLOOKUP($A45,'Data shares'!$C:$FA,26)*100</f>
        <v>0.57999999999999996</v>
      </c>
      <c r="F45" s="144">
        <f>VLOOKUP($A45,'Data shares'!$C:$FA,24)</f>
        <v>8.8000000000000007</v>
      </c>
      <c r="G45" s="144">
        <f>VLOOKUP($A45,'Data shares'!$C:$FA,25)</f>
        <v>0.5</v>
      </c>
    </row>
    <row r="46" spans="1:7" x14ac:dyDescent="0.25">
      <c r="A46" s="101" t="str">
        <f>'Data shares'!C42</f>
        <v>CGPOWER</v>
      </c>
      <c r="B46" s="144">
        <f>VLOOKUP($A46,'Data shares'!$C:$FA,7)</f>
        <v>753.4</v>
      </c>
      <c r="C46" s="144">
        <f>VLOOKUP($A46,'Data shares'!$C:$FA,3)</f>
        <v>756</v>
      </c>
      <c r="D46" s="144">
        <f>VLOOKUP($A46,'Data shares'!$C:$FA,23)</f>
        <v>2.6</v>
      </c>
      <c r="E46" s="145">
        <f>VLOOKUP($A46,'Data shares'!$C:$FA,26)*100</f>
        <v>0.35000000000000003</v>
      </c>
      <c r="F46" s="144">
        <f>VLOOKUP($A46,'Data shares'!$C:$FA,24)</f>
        <v>2.1</v>
      </c>
      <c r="G46" s="144">
        <f>VLOOKUP($A46,'Data shares'!$C:$FA,25)</f>
        <v>0.5</v>
      </c>
    </row>
    <row r="47" spans="1:7" x14ac:dyDescent="0.25">
      <c r="A47" s="101" t="str">
        <f>'Data shares'!C43</f>
        <v>CHOLAFIN</v>
      </c>
      <c r="B47" s="144">
        <f>VLOOKUP($A47,'Data shares'!$C:$FA,7)</f>
        <v>1614.2</v>
      </c>
      <c r="C47" s="144">
        <f>VLOOKUP($A47,'Data shares'!$C:$FA,3)</f>
        <v>1611.6</v>
      </c>
      <c r="D47" s="144">
        <f>VLOOKUP($A47,'Data shares'!$C:$FA,23)</f>
        <v>-2.6</v>
      </c>
      <c r="E47" s="145">
        <f>VLOOKUP($A47,'Data shares'!$C:$FA,26)*100</f>
        <v>-0.16</v>
      </c>
      <c r="F47" s="144">
        <f>VLOOKUP($A47,'Data shares'!$C:$FA,24)</f>
        <v>-4</v>
      </c>
      <c r="G47" s="144">
        <f>VLOOKUP($A47,'Data shares'!$C:$FA,25)</f>
        <v>1.4</v>
      </c>
    </row>
    <row r="48" spans="1:7" x14ac:dyDescent="0.25">
      <c r="A48" s="101" t="str">
        <f>'Data shares'!C44</f>
        <v>CIPLA</v>
      </c>
      <c r="B48" s="144">
        <f>VLOOKUP($A48,'Data shares'!$C:$FA,7)</f>
        <v>1561.8</v>
      </c>
      <c r="C48" s="144">
        <f>VLOOKUP($A48,'Data shares'!$C:$FA,3)</f>
        <v>1572.2</v>
      </c>
      <c r="D48" s="144">
        <f>VLOOKUP($A48,'Data shares'!$C:$FA,23)</f>
        <v>10.4</v>
      </c>
      <c r="E48" s="145">
        <f>VLOOKUP($A48,'Data shares'!$C:$FA,26)*100</f>
        <v>0.67</v>
      </c>
      <c r="F48" s="144">
        <f>VLOOKUP($A48,'Data shares'!$C:$FA,24)</f>
        <v>4.2</v>
      </c>
      <c r="G48" s="144">
        <f>VLOOKUP($A48,'Data shares'!$C:$FA,25)</f>
        <v>6.2</v>
      </c>
    </row>
    <row r="49" spans="1:7" x14ac:dyDescent="0.25">
      <c r="A49" s="101" t="str">
        <f>'Data shares'!C45</f>
        <v>COALINDIA</v>
      </c>
      <c r="B49" s="144">
        <f>VLOOKUP($A49,'Data shares'!$C:$FA,7)</f>
        <v>384.5</v>
      </c>
      <c r="C49" s="144">
        <f>VLOOKUP($A49,'Data shares'!$C:$FA,3)</f>
        <v>385.7</v>
      </c>
      <c r="D49" s="144">
        <f>VLOOKUP($A49,'Data shares'!$C:$FA,23)</f>
        <v>1.2</v>
      </c>
      <c r="E49" s="145">
        <f>VLOOKUP($A49,'Data shares'!$C:$FA,26)*100</f>
        <v>0.31</v>
      </c>
      <c r="F49" s="144">
        <f>VLOOKUP($A49,'Data shares'!$C:$FA,24)</f>
        <v>2.1</v>
      </c>
      <c r="G49" s="144">
        <f>VLOOKUP($A49,'Data shares'!$C:$FA,25)</f>
        <v>-0.9</v>
      </c>
    </row>
    <row r="50" spans="1:7" x14ac:dyDescent="0.25">
      <c r="A50" s="101" t="str">
        <f>'Data shares'!C46</f>
        <v>COFORGE</v>
      </c>
      <c r="B50" s="144">
        <f>VLOOKUP($A50,'Data shares'!$C:$FA,7)</f>
        <v>1722.3</v>
      </c>
      <c r="C50" s="144">
        <f>VLOOKUP($A50,'Data shares'!$C:$FA,3)</f>
        <v>1731.1</v>
      </c>
      <c r="D50" s="144">
        <f>VLOOKUP($A50,'Data shares'!$C:$FA,23)</f>
        <v>8.8000000000000007</v>
      </c>
      <c r="E50" s="145">
        <f>VLOOKUP($A50,'Data shares'!$C:$FA,26)*100</f>
        <v>0.51</v>
      </c>
      <c r="F50" s="144">
        <f>VLOOKUP($A50,'Data shares'!$C:$FA,24)</f>
        <v>9.3000000000000007</v>
      </c>
      <c r="G50" s="144">
        <f>VLOOKUP($A50,'Data shares'!$C:$FA,25)</f>
        <v>-0.5</v>
      </c>
    </row>
    <row r="51" spans="1:7" x14ac:dyDescent="0.25">
      <c r="A51" s="101" t="str">
        <f>'Data shares'!C47</f>
        <v>COLPAL</v>
      </c>
      <c r="B51" s="144">
        <f>VLOOKUP($A51,'Data shares'!$C:$FA,7)</f>
        <v>2227.8000000000002</v>
      </c>
      <c r="C51" s="144">
        <f>VLOOKUP($A51,'Data shares'!$C:$FA,3)</f>
        <v>2238.8000000000002</v>
      </c>
      <c r="D51" s="144">
        <f>VLOOKUP($A51,'Data shares'!$C:$FA,23)</f>
        <v>11</v>
      </c>
      <c r="E51" s="145">
        <f>VLOOKUP($A51,'Data shares'!$C:$FA,26)*100</f>
        <v>0.49</v>
      </c>
      <c r="F51" s="144">
        <f>VLOOKUP($A51,'Data shares'!$C:$FA,24)</f>
        <v>10.1</v>
      </c>
      <c r="G51" s="144">
        <f>VLOOKUP($A51,'Data shares'!$C:$FA,25)</f>
        <v>0.9</v>
      </c>
    </row>
    <row r="52" spans="1:7" x14ac:dyDescent="0.25">
      <c r="A52" s="101" t="str">
        <f>'Data shares'!C48</f>
        <v>CONCOR</v>
      </c>
      <c r="B52" s="144">
        <f>VLOOKUP($A52,'Data shares'!$C:$FA,7)</f>
        <v>541.4</v>
      </c>
      <c r="C52" s="144">
        <f>VLOOKUP($A52,'Data shares'!$C:$FA,3)</f>
        <v>542.65</v>
      </c>
      <c r="D52" s="144">
        <f>VLOOKUP($A52,'Data shares'!$C:$FA,23)</f>
        <v>1.25</v>
      </c>
      <c r="E52" s="145">
        <f>VLOOKUP($A52,'Data shares'!$C:$FA,26)*100</f>
        <v>0.22999999999999998</v>
      </c>
      <c r="F52" s="144">
        <f>VLOOKUP($A52,'Data shares'!$C:$FA,24)</f>
        <v>2.35</v>
      </c>
      <c r="G52" s="144">
        <f>VLOOKUP($A52,'Data shares'!$C:$FA,25)</f>
        <v>-1.1000000000000001</v>
      </c>
    </row>
    <row r="53" spans="1:7" x14ac:dyDescent="0.25">
      <c r="A53" s="101" t="str">
        <f>'Data shares'!C49</f>
        <v>CROMPTON</v>
      </c>
      <c r="B53" s="144">
        <f>VLOOKUP($A53,'Data shares'!$C:$FA,7)</f>
        <v>287.75</v>
      </c>
      <c r="C53" s="144">
        <f>VLOOKUP($A53,'Data shares'!$C:$FA,3)</f>
        <v>289.14999999999998</v>
      </c>
      <c r="D53" s="144">
        <f>VLOOKUP($A53,'Data shares'!$C:$FA,23)</f>
        <v>1.4</v>
      </c>
      <c r="E53" s="145">
        <f>VLOOKUP($A53,'Data shares'!$C:$FA,26)*100</f>
        <v>0.49</v>
      </c>
      <c r="F53" s="144">
        <f>VLOOKUP($A53,'Data shares'!$C:$FA,24)</f>
        <v>1.75</v>
      </c>
      <c r="G53" s="144">
        <f>VLOOKUP($A53,'Data shares'!$C:$FA,25)</f>
        <v>-0.35</v>
      </c>
    </row>
    <row r="54" spans="1:7" x14ac:dyDescent="0.25">
      <c r="A54" s="101" t="str">
        <f>'Data shares'!C50</f>
        <v>CUMMINSIND</v>
      </c>
      <c r="B54" s="144">
        <f>VLOOKUP($A54,'Data shares'!$C:$FA,7)</f>
        <v>3966</v>
      </c>
      <c r="C54" s="144">
        <f>VLOOKUP($A54,'Data shares'!$C:$FA,3)</f>
        <v>3988.3</v>
      </c>
      <c r="D54" s="144">
        <f>VLOOKUP($A54,'Data shares'!$C:$FA,23)</f>
        <v>22.3</v>
      </c>
      <c r="E54" s="145">
        <f>VLOOKUP($A54,'Data shares'!$C:$FA,26)*100</f>
        <v>0.55999999999999994</v>
      </c>
      <c r="F54" s="144">
        <f>VLOOKUP($A54,'Data shares'!$C:$FA,24)</f>
        <v>16</v>
      </c>
      <c r="G54" s="144">
        <f>VLOOKUP($A54,'Data shares'!$C:$FA,25)</f>
        <v>6.3</v>
      </c>
    </row>
    <row r="55" spans="1:7" x14ac:dyDescent="0.25">
      <c r="A55" s="101" t="str">
        <f>'Data shares'!C51</f>
        <v>CYIENT</v>
      </c>
      <c r="B55" s="144">
        <f>VLOOKUP($A55,'Data shares'!$C:$FA,7)</f>
        <v>1176.9000000000001</v>
      </c>
      <c r="C55" s="144">
        <f>VLOOKUP($A55,'Data shares'!$C:$FA,3)</f>
        <v>1179</v>
      </c>
      <c r="D55" s="144">
        <f>VLOOKUP($A55,'Data shares'!$C:$FA,23)</f>
        <v>2.1</v>
      </c>
      <c r="E55" s="145">
        <f>VLOOKUP($A55,'Data shares'!$C:$FA,26)*100</f>
        <v>0.18</v>
      </c>
      <c r="F55" s="144">
        <f>VLOOKUP($A55,'Data shares'!$C:$FA,24)</f>
        <v>5.2</v>
      </c>
      <c r="G55" s="144">
        <f>VLOOKUP($A55,'Data shares'!$C:$FA,25)</f>
        <v>-3.1</v>
      </c>
    </row>
    <row r="56" spans="1:7" x14ac:dyDescent="0.25">
      <c r="A56" s="101" t="str">
        <f>'Data shares'!C52</f>
        <v>DABUR</v>
      </c>
      <c r="B56" s="144">
        <f>VLOOKUP($A56,'Data shares'!$C:$FA,7)</f>
        <v>489.7</v>
      </c>
      <c r="C56" s="144">
        <f>VLOOKUP($A56,'Data shares'!$C:$FA,3)</f>
        <v>491.35</v>
      </c>
      <c r="D56" s="144">
        <f>VLOOKUP($A56,'Data shares'!$C:$FA,23)</f>
        <v>1.65</v>
      </c>
      <c r="E56" s="145">
        <f>VLOOKUP($A56,'Data shares'!$C:$FA,26)*100</f>
        <v>0.33999999999999997</v>
      </c>
      <c r="F56" s="144">
        <f>VLOOKUP($A56,'Data shares'!$C:$FA,24)</f>
        <v>2.75</v>
      </c>
      <c r="G56" s="144">
        <f>VLOOKUP($A56,'Data shares'!$C:$FA,25)</f>
        <v>-1.1000000000000001</v>
      </c>
    </row>
    <row r="57" spans="1:7" x14ac:dyDescent="0.25">
      <c r="A57" s="101" t="str">
        <f>'Data shares'!C53</f>
        <v>DALBHARAT</v>
      </c>
      <c r="B57" s="144">
        <f>VLOOKUP($A57,'Data shares'!$C:$FA,7)</f>
        <v>2227.6999999999998</v>
      </c>
      <c r="C57" s="144">
        <f>VLOOKUP($A57,'Data shares'!$C:$FA,3)</f>
        <v>2237.8000000000002</v>
      </c>
      <c r="D57" s="144">
        <f>VLOOKUP($A57,'Data shares'!$C:$FA,23)</f>
        <v>10.1</v>
      </c>
      <c r="E57" s="145">
        <f>VLOOKUP($A57,'Data shares'!$C:$FA,26)*100</f>
        <v>0.44999999999999996</v>
      </c>
      <c r="F57" s="144">
        <f>VLOOKUP($A57,'Data shares'!$C:$FA,24)</f>
        <v>8.9</v>
      </c>
      <c r="G57" s="144">
        <f>VLOOKUP($A57,'Data shares'!$C:$FA,25)</f>
        <v>1.2</v>
      </c>
    </row>
    <row r="58" spans="1:7" x14ac:dyDescent="0.25">
      <c r="A58" s="101" t="str">
        <f>'Data shares'!C54</f>
        <v>DELHIVERY</v>
      </c>
      <c r="B58" s="144">
        <f>VLOOKUP($A58,'Data shares'!$C:$FA,7)</f>
        <v>464.85</v>
      </c>
      <c r="C58" s="144">
        <f>VLOOKUP($A58,'Data shares'!$C:$FA,3)</f>
        <v>467.6</v>
      </c>
      <c r="D58" s="144">
        <f>VLOOKUP($A58,'Data shares'!$C:$FA,23)</f>
        <v>2.75</v>
      </c>
      <c r="E58" s="145">
        <f>VLOOKUP($A58,'Data shares'!$C:$FA,26)*100</f>
        <v>0.59</v>
      </c>
      <c r="F58" s="144">
        <f>VLOOKUP($A58,'Data shares'!$C:$FA,24)</f>
        <v>2.7</v>
      </c>
      <c r="G58" s="144">
        <f>VLOOKUP($A58,'Data shares'!$C:$FA,25)</f>
        <v>0.05</v>
      </c>
    </row>
    <row r="59" spans="1:7" x14ac:dyDescent="0.25">
      <c r="A59" s="101" t="str">
        <f>'Data shares'!C55</f>
        <v>DIVISLAB</v>
      </c>
      <c r="B59" s="144">
        <f>VLOOKUP($A59,'Data shares'!$C:$FA,7)</f>
        <v>6474.5</v>
      </c>
      <c r="C59" s="144">
        <f>VLOOKUP($A59,'Data shares'!$C:$FA,3)</f>
        <v>6498.5</v>
      </c>
      <c r="D59" s="144">
        <f>VLOOKUP($A59,'Data shares'!$C:$FA,23)</f>
        <v>24</v>
      </c>
      <c r="E59" s="145">
        <f>VLOOKUP($A59,'Data shares'!$C:$FA,26)*100</f>
        <v>0.37</v>
      </c>
      <c r="F59" s="144">
        <f>VLOOKUP($A59,'Data shares'!$C:$FA,24)</f>
        <v>33.5</v>
      </c>
      <c r="G59" s="144">
        <f>VLOOKUP($A59,'Data shares'!$C:$FA,25)</f>
        <v>-9.5</v>
      </c>
    </row>
    <row r="60" spans="1:7" x14ac:dyDescent="0.25">
      <c r="A60" s="101" t="str">
        <f>'Data shares'!C56</f>
        <v>DIXON</v>
      </c>
      <c r="B60" s="144">
        <f>VLOOKUP($A60,'Data shares'!$C:$FA,7)</f>
        <v>17445</v>
      </c>
      <c r="C60" s="144">
        <f>VLOOKUP($A60,'Data shares'!$C:$FA,3)</f>
        <v>17489</v>
      </c>
      <c r="D60" s="144">
        <f>VLOOKUP($A60,'Data shares'!$C:$FA,23)</f>
        <v>44</v>
      </c>
      <c r="E60" s="145">
        <f>VLOOKUP($A60,'Data shares'!$C:$FA,26)*100</f>
        <v>0.25</v>
      </c>
      <c r="F60" s="144">
        <f>VLOOKUP($A60,'Data shares'!$C:$FA,24)</f>
        <v>82</v>
      </c>
      <c r="G60" s="144">
        <f>VLOOKUP($A60,'Data shares'!$C:$FA,25)</f>
        <v>-38</v>
      </c>
    </row>
    <row r="61" spans="1:7" x14ac:dyDescent="0.25">
      <c r="A61" s="101" t="str">
        <f>'Data shares'!C57</f>
        <v>DLF</v>
      </c>
      <c r="B61" s="144">
        <f>VLOOKUP($A61,'Data shares'!$C:$FA,7)</f>
        <v>740.2</v>
      </c>
      <c r="C61" s="144">
        <f>VLOOKUP($A61,'Data shares'!$C:$FA,3)</f>
        <v>742.6</v>
      </c>
      <c r="D61" s="144">
        <f>VLOOKUP($A61,'Data shares'!$C:$FA,23)</f>
        <v>2.4</v>
      </c>
      <c r="E61" s="145">
        <f>VLOOKUP($A61,'Data shares'!$C:$FA,26)*100</f>
        <v>0.32</v>
      </c>
      <c r="F61" s="144">
        <f>VLOOKUP($A61,'Data shares'!$C:$FA,24)</f>
        <v>4.0999999999999996</v>
      </c>
      <c r="G61" s="144">
        <f>VLOOKUP($A61,'Data shares'!$C:$FA,25)</f>
        <v>-1.7</v>
      </c>
    </row>
    <row r="62" spans="1:7" x14ac:dyDescent="0.25">
      <c r="A62" s="101" t="str">
        <f>'Data shares'!C58</f>
        <v>DMART</v>
      </c>
      <c r="B62" s="144">
        <f>VLOOKUP($A62,'Data shares'!$C:$FA,7)</f>
        <v>4320.3999999999996</v>
      </c>
      <c r="C62" s="144">
        <f>VLOOKUP($A62,'Data shares'!$C:$FA,3)</f>
        <v>4337.7</v>
      </c>
      <c r="D62" s="144">
        <f>VLOOKUP($A62,'Data shares'!$C:$FA,23)</f>
        <v>17.3</v>
      </c>
      <c r="E62" s="145">
        <f>VLOOKUP($A62,'Data shares'!$C:$FA,26)*100</f>
        <v>0.4</v>
      </c>
      <c r="F62" s="144">
        <f>VLOOKUP($A62,'Data shares'!$C:$FA,24)</f>
        <v>11.8</v>
      </c>
      <c r="G62" s="144">
        <f>VLOOKUP($A62,'Data shares'!$C:$FA,25)</f>
        <v>5.5</v>
      </c>
    </row>
    <row r="63" spans="1:7" x14ac:dyDescent="0.25">
      <c r="A63" s="101" t="str">
        <f>'Data shares'!C59</f>
        <v>DRREDDY</v>
      </c>
      <c r="B63" s="144">
        <f>VLOOKUP($A63,'Data shares'!$C:$FA,7)</f>
        <v>1264.4000000000001</v>
      </c>
      <c r="C63" s="144">
        <f>VLOOKUP($A63,'Data shares'!$C:$FA,3)</f>
        <v>1270.9000000000001</v>
      </c>
      <c r="D63" s="144">
        <f>VLOOKUP($A63,'Data shares'!$C:$FA,23)</f>
        <v>6.5</v>
      </c>
      <c r="E63" s="145">
        <f>VLOOKUP($A63,'Data shares'!$C:$FA,26)*100</f>
        <v>0.51</v>
      </c>
      <c r="F63" s="144">
        <f>VLOOKUP($A63,'Data shares'!$C:$FA,24)</f>
        <v>6.8</v>
      </c>
      <c r="G63" s="144">
        <f>VLOOKUP($A63,'Data shares'!$C:$FA,25)</f>
        <v>-0.3</v>
      </c>
    </row>
    <row r="64" spans="1:7" x14ac:dyDescent="0.25">
      <c r="A64" s="101" t="str">
        <f>'Data shares'!C60</f>
        <v>EICHERMOT</v>
      </c>
      <c r="B64" s="144">
        <f>VLOOKUP($A64,'Data shares'!$C:$FA,7)</f>
        <v>6965</v>
      </c>
      <c r="C64" s="144">
        <f>VLOOKUP($A64,'Data shares'!$C:$FA,3)</f>
        <v>6984</v>
      </c>
      <c r="D64" s="144">
        <f>VLOOKUP($A64,'Data shares'!$C:$FA,23)</f>
        <v>19</v>
      </c>
      <c r="E64" s="145">
        <f>VLOOKUP($A64,'Data shares'!$C:$FA,26)*100</f>
        <v>0.27</v>
      </c>
      <c r="F64" s="144">
        <f>VLOOKUP($A64,'Data shares'!$C:$FA,24)</f>
        <v>18</v>
      </c>
      <c r="G64" s="144">
        <f>VLOOKUP($A64,'Data shares'!$C:$FA,25)</f>
        <v>1</v>
      </c>
    </row>
    <row r="65" spans="1:7" x14ac:dyDescent="0.25">
      <c r="A65" s="101" t="str">
        <f>'Data shares'!C61</f>
        <v>ETERNAL</v>
      </c>
      <c r="B65" s="144">
        <f>VLOOKUP($A65,'Data shares'!$C:$FA,7)</f>
        <v>348.3</v>
      </c>
      <c r="C65" s="144">
        <f>VLOOKUP($A65,'Data shares'!$C:$FA,3)</f>
        <v>349.4</v>
      </c>
      <c r="D65" s="144">
        <f>VLOOKUP($A65,'Data shares'!$C:$FA,23)</f>
        <v>1.1000000000000001</v>
      </c>
      <c r="E65" s="145">
        <f>VLOOKUP($A65,'Data shares'!$C:$FA,26)*100</f>
        <v>0.32</v>
      </c>
      <c r="F65" s="144">
        <f>VLOOKUP($A65,'Data shares'!$C:$FA,24)</f>
        <v>1.05</v>
      </c>
      <c r="G65" s="144">
        <f>VLOOKUP($A65,'Data shares'!$C:$FA,25)</f>
        <v>0.05</v>
      </c>
    </row>
    <row r="66" spans="1:7" x14ac:dyDescent="0.25">
      <c r="A66" s="101" t="str">
        <f>'Data shares'!C62</f>
        <v>EXIDEIND</v>
      </c>
      <c r="B66" s="144">
        <f>VLOOKUP($A66,'Data shares'!$C:$FA,7)</f>
        <v>400.65</v>
      </c>
      <c r="C66" s="144">
        <f>VLOOKUP($A66,'Data shares'!$C:$FA,3)</f>
        <v>402.85</v>
      </c>
      <c r="D66" s="144">
        <f>VLOOKUP($A66,'Data shares'!$C:$FA,23)</f>
        <v>2.2000000000000002</v>
      </c>
      <c r="E66" s="145">
        <f>VLOOKUP($A66,'Data shares'!$C:$FA,26)*100</f>
        <v>0.54999999999999993</v>
      </c>
      <c r="F66" s="144">
        <f>VLOOKUP($A66,'Data shares'!$C:$FA,24)</f>
        <v>1.05</v>
      </c>
      <c r="G66" s="144">
        <f>VLOOKUP($A66,'Data shares'!$C:$FA,25)</f>
        <v>1.1499999999999999</v>
      </c>
    </row>
    <row r="67" spans="1:7" x14ac:dyDescent="0.25">
      <c r="A67" s="101" t="str">
        <f>'Data shares'!C63</f>
        <v>FEDERALBNK</v>
      </c>
      <c r="B67" s="144">
        <f>VLOOKUP($A67,'Data shares'!$C:$FA,7)</f>
        <v>208.3</v>
      </c>
      <c r="C67" s="144">
        <f>VLOOKUP($A67,'Data shares'!$C:$FA,3)</f>
        <v>209.3</v>
      </c>
      <c r="D67" s="144">
        <f>VLOOKUP($A67,'Data shares'!$C:$FA,23)</f>
        <v>1</v>
      </c>
      <c r="E67" s="145">
        <f>VLOOKUP($A67,'Data shares'!$C:$FA,26)*100</f>
        <v>0.48</v>
      </c>
      <c r="F67" s="144">
        <f>VLOOKUP($A67,'Data shares'!$C:$FA,24)</f>
        <v>0.57999999999999996</v>
      </c>
      <c r="G67" s="144">
        <f>VLOOKUP($A67,'Data shares'!$C:$FA,25)</f>
        <v>0.42</v>
      </c>
    </row>
    <row r="68" spans="1:7" x14ac:dyDescent="0.25">
      <c r="A68" s="101" t="str">
        <f>'Data shares'!C64</f>
        <v>FINNIFTY</v>
      </c>
      <c r="B68" s="144">
        <f>VLOOKUP($A68,'Data shares'!$C:$FA,7)</f>
        <v>26842.25</v>
      </c>
      <c r="C68" s="144">
        <f>VLOOKUP($A68,'Data shares'!$C:$FA,3)</f>
        <v>26965.599999999999</v>
      </c>
      <c r="D68" s="144">
        <f>VLOOKUP($A68,'Data shares'!$C:$FA,23)</f>
        <v>123.35</v>
      </c>
      <c r="E68" s="145">
        <f>VLOOKUP($A68,'Data shares'!$C:$FA,26)*100</f>
        <v>0.45999999999999996</v>
      </c>
      <c r="F68" s="144">
        <f>VLOOKUP($A68,'Data shares'!$C:$FA,24)</f>
        <v>109.2</v>
      </c>
      <c r="G68" s="144">
        <f>VLOOKUP($A68,'Data shares'!$C:$FA,25)</f>
        <v>14.15</v>
      </c>
    </row>
    <row r="69" spans="1:7" x14ac:dyDescent="0.25">
      <c r="A69" s="101" t="str">
        <f>'Data shares'!C65</f>
        <v>FORTIS</v>
      </c>
      <c r="B69" s="144">
        <f>VLOOKUP($A69,'Data shares'!$C:$FA,7)</f>
        <v>1060.3</v>
      </c>
      <c r="C69" s="144">
        <f>VLOOKUP($A69,'Data shares'!$C:$FA,3)</f>
        <v>1066.7</v>
      </c>
      <c r="D69" s="144">
        <f>VLOOKUP($A69,'Data shares'!$C:$FA,23)</f>
        <v>6.4</v>
      </c>
      <c r="E69" s="145">
        <f>VLOOKUP($A69,'Data shares'!$C:$FA,26)*100</f>
        <v>0.6</v>
      </c>
      <c r="F69" s="144">
        <f>VLOOKUP($A69,'Data shares'!$C:$FA,24)</f>
        <v>3</v>
      </c>
      <c r="G69" s="144">
        <f>VLOOKUP($A69,'Data shares'!$C:$FA,25)</f>
        <v>3.4</v>
      </c>
    </row>
    <row r="70" spans="1:7" x14ac:dyDescent="0.25">
      <c r="A70" s="101" t="str">
        <f>'Data shares'!C66</f>
        <v>GAIL</v>
      </c>
      <c r="B70" s="144">
        <f>VLOOKUP($A70,'Data shares'!$C:$FA,7)</f>
        <v>179.21</v>
      </c>
      <c r="C70" s="144">
        <f>VLOOKUP($A70,'Data shares'!$C:$FA,3)</f>
        <v>179.58</v>
      </c>
      <c r="D70" s="144">
        <f>VLOOKUP($A70,'Data shares'!$C:$FA,23)</f>
        <v>0.37</v>
      </c>
      <c r="E70" s="145">
        <f>VLOOKUP($A70,'Data shares'!$C:$FA,26)*100</f>
        <v>0.21</v>
      </c>
      <c r="F70" s="144">
        <f>VLOOKUP($A70,'Data shares'!$C:$FA,24)</f>
        <v>0.54</v>
      </c>
      <c r="G70" s="144">
        <f>VLOOKUP($A70,'Data shares'!$C:$FA,25)</f>
        <v>-0.17</v>
      </c>
    </row>
    <row r="71" spans="1:7" x14ac:dyDescent="0.25">
      <c r="A71" s="101" t="str">
        <f>'Data shares'!C67</f>
        <v>GLENMARK</v>
      </c>
      <c r="B71" s="144">
        <f>VLOOKUP($A71,'Data shares'!$C:$FA,7)</f>
        <v>1939.3</v>
      </c>
      <c r="C71" s="144">
        <f>VLOOKUP($A71,'Data shares'!$C:$FA,3)</f>
        <v>1949.7</v>
      </c>
      <c r="D71" s="144">
        <f>VLOOKUP($A71,'Data shares'!$C:$FA,23)</f>
        <v>10.4</v>
      </c>
      <c r="E71" s="145">
        <f>VLOOKUP($A71,'Data shares'!$C:$FA,26)*100</f>
        <v>0.54</v>
      </c>
      <c r="F71" s="144">
        <f>VLOOKUP($A71,'Data shares'!$C:$FA,24)</f>
        <v>10.8</v>
      </c>
      <c r="G71" s="144">
        <f>VLOOKUP($A71,'Data shares'!$C:$FA,25)</f>
        <v>-0.4</v>
      </c>
    </row>
    <row r="72" spans="1:7" x14ac:dyDescent="0.25">
      <c r="A72" s="101" t="str">
        <f>'Data shares'!C68</f>
        <v>GMRAIRPORT</v>
      </c>
      <c r="B72" s="144">
        <f>VLOOKUP($A72,'Data shares'!$C:$FA,7)</f>
        <v>90.35</v>
      </c>
      <c r="C72" s="144">
        <f>VLOOKUP($A72,'Data shares'!$C:$FA,3)</f>
        <v>90.68</v>
      </c>
      <c r="D72" s="144">
        <f>VLOOKUP($A72,'Data shares'!$C:$FA,23)</f>
        <v>0.33</v>
      </c>
      <c r="E72" s="145">
        <f>VLOOKUP($A72,'Data shares'!$C:$FA,26)*100</f>
        <v>0.37</v>
      </c>
      <c r="F72" s="144">
        <f>VLOOKUP($A72,'Data shares'!$C:$FA,24)</f>
        <v>0.44</v>
      </c>
      <c r="G72" s="144">
        <f>VLOOKUP($A72,'Data shares'!$C:$FA,25)</f>
        <v>-0.11</v>
      </c>
    </row>
    <row r="73" spans="1:7" x14ac:dyDescent="0.25">
      <c r="A73" s="101" t="str">
        <f>'Data shares'!C69</f>
        <v>GODREJCP</v>
      </c>
      <c r="B73" s="144">
        <f>VLOOKUP($A73,'Data shares'!$C:$FA,7)</f>
        <v>1129.8</v>
      </c>
      <c r="C73" s="144">
        <f>VLOOKUP($A73,'Data shares'!$C:$FA,3)</f>
        <v>1134.8</v>
      </c>
      <c r="D73" s="144">
        <f>VLOOKUP($A73,'Data shares'!$C:$FA,23)</f>
        <v>5</v>
      </c>
      <c r="E73" s="145">
        <f>VLOOKUP($A73,'Data shares'!$C:$FA,26)*100</f>
        <v>0.44</v>
      </c>
      <c r="F73" s="144">
        <f>VLOOKUP($A73,'Data shares'!$C:$FA,24)</f>
        <v>2.5</v>
      </c>
      <c r="G73" s="144">
        <f>VLOOKUP($A73,'Data shares'!$C:$FA,25)</f>
        <v>2.5</v>
      </c>
    </row>
    <row r="74" spans="1:7" x14ac:dyDescent="0.25">
      <c r="A74" s="101" t="str">
        <f>'Data shares'!C70</f>
        <v>GODREJPROP</v>
      </c>
      <c r="B74" s="144">
        <f>VLOOKUP($A74,'Data shares'!$C:$FA,7)</f>
        <v>2091.9</v>
      </c>
      <c r="C74" s="144">
        <f>VLOOKUP($A74,'Data shares'!$C:$FA,3)</f>
        <v>2100.1999999999998</v>
      </c>
      <c r="D74" s="144">
        <f>VLOOKUP($A74,'Data shares'!$C:$FA,23)</f>
        <v>8.3000000000000007</v>
      </c>
      <c r="E74" s="145">
        <f>VLOOKUP($A74,'Data shares'!$C:$FA,26)*100</f>
        <v>0.4</v>
      </c>
      <c r="F74" s="144">
        <f>VLOOKUP($A74,'Data shares'!$C:$FA,24)</f>
        <v>11.5</v>
      </c>
      <c r="G74" s="144">
        <f>VLOOKUP($A74,'Data shares'!$C:$FA,25)</f>
        <v>-3.2</v>
      </c>
    </row>
    <row r="75" spans="1:7" x14ac:dyDescent="0.25">
      <c r="A75" s="101" t="str">
        <f>'Data shares'!C71</f>
        <v>GRASIM</v>
      </c>
      <c r="B75" s="144">
        <f>VLOOKUP($A75,'Data shares'!$C:$FA,7)</f>
        <v>2811</v>
      </c>
      <c r="C75" s="144">
        <f>VLOOKUP($A75,'Data shares'!$C:$FA,3)</f>
        <v>2826.5</v>
      </c>
      <c r="D75" s="144">
        <f>VLOOKUP($A75,'Data shares'!$C:$FA,23)</f>
        <v>15.5</v>
      </c>
      <c r="E75" s="145">
        <f>VLOOKUP($A75,'Data shares'!$C:$FA,26)*100</f>
        <v>0.54999999999999993</v>
      </c>
      <c r="F75" s="144">
        <f>VLOOKUP($A75,'Data shares'!$C:$FA,24)</f>
        <v>14.1</v>
      </c>
      <c r="G75" s="144">
        <f>VLOOKUP($A75,'Data shares'!$C:$FA,25)</f>
        <v>1.4</v>
      </c>
    </row>
    <row r="76" spans="1:7" x14ac:dyDescent="0.25">
      <c r="A76" s="101" t="str">
        <f>'Data shares'!C72</f>
        <v>HAL</v>
      </c>
      <c r="B76" s="144">
        <f>VLOOKUP($A76,'Data shares'!$C:$FA,7)</f>
        <v>4832.8999999999996</v>
      </c>
      <c r="C76" s="144">
        <f>VLOOKUP($A76,'Data shares'!$C:$FA,3)</f>
        <v>4859.3999999999996</v>
      </c>
      <c r="D76" s="144">
        <f>VLOOKUP($A76,'Data shares'!$C:$FA,23)</f>
        <v>26.5</v>
      </c>
      <c r="E76" s="145">
        <f>VLOOKUP($A76,'Data shares'!$C:$FA,26)*100</f>
        <v>0.54999999999999993</v>
      </c>
      <c r="F76" s="144">
        <f>VLOOKUP($A76,'Data shares'!$C:$FA,24)</f>
        <v>27.4</v>
      </c>
      <c r="G76" s="144">
        <f>VLOOKUP($A76,'Data shares'!$C:$FA,25)</f>
        <v>-0.9</v>
      </c>
    </row>
    <row r="77" spans="1:7" x14ac:dyDescent="0.25">
      <c r="A77" s="101" t="str">
        <f>'Data shares'!C73</f>
        <v>HAVELLS</v>
      </c>
      <c r="B77" s="144">
        <f>VLOOKUP($A77,'Data shares'!$C:$FA,7)</f>
        <v>1495.9</v>
      </c>
      <c r="C77" s="144">
        <f>VLOOKUP($A77,'Data shares'!$C:$FA,3)</f>
        <v>1504.1</v>
      </c>
      <c r="D77" s="144">
        <f>VLOOKUP($A77,'Data shares'!$C:$FA,23)</f>
        <v>8.1999999999999993</v>
      </c>
      <c r="E77" s="145">
        <f>VLOOKUP($A77,'Data shares'!$C:$FA,26)*100</f>
        <v>0.54999999999999993</v>
      </c>
      <c r="F77" s="144">
        <f>VLOOKUP($A77,'Data shares'!$C:$FA,24)</f>
        <v>6.5</v>
      </c>
      <c r="G77" s="144">
        <f>VLOOKUP($A77,'Data shares'!$C:$FA,25)</f>
        <v>1.7</v>
      </c>
    </row>
    <row r="78" spans="1:7" x14ac:dyDescent="0.25">
      <c r="A78" s="101" t="str">
        <f>'Data shares'!C74</f>
        <v>HCLTECH</v>
      </c>
      <c r="B78" s="144">
        <f>VLOOKUP($A78,'Data shares'!$C:$FA,7)</f>
        <v>1495.5</v>
      </c>
      <c r="C78" s="144">
        <f>VLOOKUP($A78,'Data shares'!$C:$FA,3)</f>
        <v>1487.8</v>
      </c>
      <c r="D78" s="144">
        <f>VLOOKUP($A78,'Data shares'!$C:$FA,23)</f>
        <v>-7.7</v>
      </c>
      <c r="E78" s="145">
        <f>VLOOKUP($A78,'Data shares'!$C:$FA,26)*100</f>
        <v>-0.51</v>
      </c>
      <c r="F78" s="144">
        <f>VLOOKUP($A78,'Data shares'!$C:$FA,24)</f>
        <v>-7.3</v>
      </c>
      <c r="G78" s="144">
        <f>VLOOKUP($A78,'Data shares'!$C:$FA,25)</f>
        <v>-0.4</v>
      </c>
    </row>
    <row r="79" spans="1:7" x14ac:dyDescent="0.25">
      <c r="A79" s="101" t="str">
        <f>'Data shares'!C75</f>
        <v>HDFCAMC</v>
      </c>
      <c r="B79" s="144">
        <f>VLOOKUP($A79,'Data shares'!$C:$FA,7)</f>
        <v>5520</v>
      </c>
      <c r="C79" s="144">
        <f>VLOOKUP($A79,'Data shares'!$C:$FA,3)</f>
        <v>5549.5</v>
      </c>
      <c r="D79" s="144">
        <f>VLOOKUP($A79,'Data shares'!$C:$FA,23)</f>
        <v>29.5</v>
      </c>
      <c r="E79" s="145">
        <f>VLOOKUP($A79,'Data shares'!$C:$FA,26)*100</f>
        <v>0.53</v>
      </c>
      <c r="F79" s="144">
        <f>VLOOKUP($A79,'Data shares'!$C:$FA,24)</f>
        <v>18.5</v>
      </c>
      <c r="G79" s="144">
        <f>VLOOKUP($A79,'Data shares'!$C:$FA,25)</f>
        <v>11</v>
      </c>
    </row>
    <row r="80" spans="1:7" x14ac:dyDescent="0.25">
      <c r="A80" s="101" t="str">
        <f>'Data shares'!C76</f>
        <v>HDFCBANK</v>
      </c>
      <c r="B80" s="144">
        <f>VLOOKUP($A80,'Data shares'!$C:$FA,7)</f>
        <v>980.9</v>
      </c>
      <c r="C80" s="144">
        <f>VLOOKUP($A80,'Data shares'!$C:$FA,3)</f>
        <v>985.9</v>
      </c>
      <c r="D80" s="144">
        <f>VLOOKUP($A80,'Data shares'!$C:$FA,23)</f>
        <v>5</v>
      </c>
      <c r="E80" s="145">
        <f>VLOOKUP($A80,'Data shares'!$C:$FA,26)*100</f>
        <v>0.51</v>
      </c>
      <c r="F80" s="144">
        <f>VLOOKUP($A80,'Data shares'!$C:$FA,24)</f>
        <v>2.5</v>
      </c>
      <c r="G80" s="144">
        <f>VLOOKUP($A80,'Data shares'!$C:$FA,25)</f>
        <v>2.5</v>
      </c>
    </row>
    <row r="81" spans="1:7" x14ac:dyDescent="0.25">
      <c r="A81" s="101" t="str">
        <f>'Data shares'!C77</f>
        <v>HDFCLIFE</v>
      </c>
      <c r="B81" s="144">
        <f>VLOOKUP($A81,'Data shares'!$C:$FA,7)</f>
        <v>747.3</v>
      </c>
      <c r="C81" s="144">
        <f>VLOOKUP($A81,'Data shares'!$C:$FA,3)</f>
        <v>750.2</v>
      </c>
      <c r="D81" s="144">
        <f>VLOOKUP($A81,'Data shares'!$C:$FA,23)</f>
        <v>2.9</v>
      </c>
      <c r="E81" s="145">
        <f>VLOOKUP($A81,'Data shares'!$C:$FA,26)*100</f>
        <v>0.38999999999999996</v>
      </c>
      <c r="F81" s="144">
        <f>VLOOKUP($A81,'Data shares'!$C:$FA,24)</f>
        <v>3.9</v>
      </c>
      <c r="G81" s="144">
        <f>VLOOKUP($A81,'Data shares'!$C:$FA,25)</f>
        <v>-1</v>
      </c>
    </row>
    <row r="82" spans="1:7" x14ac:dyDescent="0.25">
      <c r="A82" s="101" t="str">
        <f>'Data shares'!C78</f>
        <v>HEROMOTOCO</v>
      </c>
      <c r="B82" s="144">
        <f>VLOOKUP($A82,'Data shares'!$C:$FA,7)</f>
        <v>5500</v>
      </c>
      <c r="C82" s="144">
        <f>VLOOKUP($A82,'Data shares'!$C:$FA,3)</f>
        <v>5529</v>
      </c>
      <c r="D82" s="144">
        <f>VLOOKUP($A82,'Data shares'!$C:$FA,23)</f>
        <v>29</v>
      </c>
      <c r="E82" s="145">
        <f>VLOOKUP($A82,'Data shares'!$C:$FA,26)*100</f>
        <v>0.53</v>
      </c>
      <c r="F82" s="144">
        <f>VLOOKUP($A82,'Data shares'!$C:$FA,24)</f>
        <v>31.5</v>
      </c>
      <c r="G82" s="144">
        <f>VLOOKUP($A82,'Data shares'!$C:$FA,25)</f>
        <v>-2.5</v>
      </c>
    </row>
    <row r="83" spans="1:7" x14ac:dyDescent="0.25">
      <c r="A83" s="101" t="str">
        <f>'Data shares'!C79</f>
        <v>HFCL</v>
      </c>
      <c r="B83" s="144">
        <f>VLOOKUP($A83,'Data shares'!$C:$FA,7)</f>
        <v>76.040000000000006</v>
      </c>
      <c r="C83" s="144">
        <f>VLOOKUP($A83,'Data shares'!$C:$FA,3)</f>
        <v>76.44</v>
      </c>
      <c r="D83" s="144">
        <f>VLOOKUP($A83,'Data shares'!$C:$FA,23)</f>
        <v>0.4</v>
      </c>
      <c r="E83" s="145">
        <f>VLOOKUP($A83,'Data shares'!$C:$FA,26)*100</f>
        <v>0.53</v>
      </c>
      <c r="F83" s="144">
        <f>VLOOKUP($A83,'Data shares'!$C:$FA,24)</f>
        <v>0.44</v>
      </c>
      <c r="G83" s="144">
        <f>VLOOKUP($A83,'Data shares'!$C:$FA,25)</f>
        <v>-0.04</v>
      </c>
    </row>
    <row r="84" spans="1:7" x14ac:dyDescent="0.25">
      <c r="A84" s="101" t="str">
        <f>'Data shares'!C80</f>
        <v>HINDALCO</v>
      </c>
      <c r="B84" s="144">
        <f>VLOOKUP($A84,'Data shares'!$C:$FA,7)</f>
        <v>773.95</v>
      </c>
      <c r="C84" s="144">
        <f>VLOOKUP($A84,'Data shares'!$C:$FA,3)</f>
        <v>777.1</v>
      </c>
      <c r="D84" s="144">
        <f>VLOOKUP($A84,'Data shares'!$C:$FA,23)</f>
        <v>3.15</v>
      </c>
      <c r="E84" s="145">
        <f>VLOOKUP($A84,'Data shares'!$C:$FA,26)*100</f>
        <v>0.41000000000000003</v>
      </c>
      <c r="F84" s="144">
        <f>VLOOKUP($A84,'Data shares'!$C:$FA,24)</f>
        <v>4.1500000000000004</v>
      </c>
      <c r="G84" s="144">
        <f>VLOOKUP($A84,'Data shares'!$C:$FA,25)</f>
        <v>-1</v>
      </c>
    </row>
    <row r="85" spans="1:7" x14ac:dyDescent="0.25">
      <c r="A85" s="101" t="str">
        <f>'Data shares'!C81</f>
        <v>HINDPETRO</v>
      </c>
      <c r="B85" s="144">
        <f>VLOOKUP($A85,'Data shares'!$C:$FA,7)</f>
        <v>452.5</v>
      </c>
      <c r="C85" s="144">
        <f>VLOOKUP($A85,'Data shares'!$C:$FA,3)</f>
        <v>454.9</v>
      </c>
      <c r="D85" s="144">
        <f>VLOOKUP($A85,'Data shares'!$C:$FA,23)</f>
        <v>2.4</v>
      </c>
      <c r="E85" s="145">
        <f>VLOOKUP($A85,'Data shares'!$C:$FA,26)*100</f>
        <v>0.53</v>
      </c>
      <c r="F85" s="144">
        <f>VLOOKUP($A85,'Data shares'!$C:$FA,24)</f>
        <v>1.65</v>
      </c>
      <c r="G85" s="144">
        <f>VLOOKUP($A85,'Data shares'!$C:$FA,25)</f>
        <v>0.75</v>
      </c>
    </row>
    <row r="86" spans="1:7" x14ac:dyDescent="0.25">
      <c r="A86" s="101" t="str">
        <f>'Data shares'!C82</f>
        <v>HINDUNILVR</v>
      </c>
      <c r="B86" s="144">
        <f>VLOOKUP($A86,'Data shares'!$C:$FA,7)</f>
        <v>2528.9</v>
      </c>
      <c r="C86" s="144">
        <f>VLOOKUP($A86,'Data shares'!$C:$FA,3)</f>
        <v>2534.6999999999998</v>
      </c>
      <c r="D86" s="144">
        <f>VLOOKUP($A86,'Data shares'!$C:$FA,23)</f>
        <v>5.8</v>
      </c>
      <c r="E86" s="145">
        <f>VLOOKUP($A86,'Data shares'!$C:$FA,26)*100</f>
        <v>0.22999999999999998</v>
      </c>
      <c r="F86" s="144">
        <f>VLOOKUP($A86,'Data shares'!$C:$FA,24)</f>
        <v>6.7</v>
      </c>
      <c r="G86" s="144">
        <f>VLOOKUP($A86,'Data shares'!$C:$FA,25)</f>
        <v>-0.9</v>
      </c>
    </row>
    <row r="87" spans="1:7" x14ac:dyDescent="0.25">
      <c r="A87" s="101" t="str">
        <f>'Data shares'!C83</f>
        <v>HINDZINC</v>
      </c>
      <c r="B87" s="144">
        <f>VLOOKUP($A87,'Data shares'!$C:$FA,7)</f>
        <v>498.3</v>
      </c>
      <c r="C87" s="144">
        <f>VLOOKUP($A87,'Data shares'!$C:$FA,3)</f>
        <v>500.2</v>
      </c>
      <c r="D87" s="144">
        <f>VLOOKUP($A87,'Data shares'!$C:$FA,23)</f>
        <v>1.9</v>
      </c>
      <c r="E87" s="145">
        <f>VLOOKUP($A87,'Data shares'!$C:$FA,26)*100</f>
        <v>0.38</v>
      </c>
      <c r="F87" s="144">
        <f>VLOOKUP($A87,'Data shares'!$C:$FA,24)</f>
        <v>2.75</v>
      </c>
      <c r="G87" s="144">
        <f>VLOOKUP($A87,'Data shares'!$C:$FA,25)</f>
        <v>-0.85</v>
      </c>
    </row>
    <row r="88" spans="1:7" x14ac:dyDescent="0.25">
      <c r="A88" s="101" t="str">
        <f>'Data shares'!C84</f>
        <v>HUDCO</v>
      </c>
      <c r="B88" s="144">
        <f>VLOOKUP($A88,'Data shares'!$C:$FA,7)</f>
        <v>232.92</v>
      </c>
      <c r="C88" s="144">
        <f>VLOOKUP($A88,'Data shares'!$C:$FA,3)</f>
        <v>234.19</v>
      </c>
      <c r="D88" s="144">
        <f>VLOOKUP($A88,'Data shares'!$C:$FA,23)</f>
        <v>1.27</v>
      </c>
      <c r="E88" s="145">
        <f>VLOOKUP($A88,'Data shares'!$C:$FA,26)*100</f>
        <v>0.54999999999999993</v>
      </c>
      <c r="F88" s="144">
        <f>VLOOKUP($A88,'Data shares'!$C:$FA,24)</f>
        <v>1.45</v>
      </c>
      <c r="G88" s="144">
        <f>VLOOKUP($A88,'Data shares'!$C:$FA,25)</f>
        <v>-0.18</v>
      </c>
    </row>
    <row r="89" spans="1:7" x14ac:dyDescent="0.25">
      <c r="A89" s="101" t="str">
        <f>'Data shares'!C85</f>
        <v>ICICIBANK</v>
      </c>
      <c r="B89" s="144">
        <f>VLOOKUP($A89,'Data shares'!$C:$FA,7)</f>
        <v>1380.3</v>
      </c>
      <c r="C89" s="144">
        <f>VLOOKUP($A89,'Data shares'!$C:$FA,3)</f>
        <v>1387.9</v>
      </c>
      <c r="D89" s="144">
        <f>VLOOKUP($A89,'Data shares'!$C:$FA,23)</f>
        <v>7.6</v>
      </c>
      <c r="E89" s="145">
        <f>VLOOKUP($A89,'Data shares'!$C:$FA,26)*100</f>
        <v>0.54999999999999993</v>
      </c>
      <c r="F89" s="144">
        <f>VLOOKUP($A89,'Data shares'!$C:$FA,24)</f>
        <v>4</v>
      </c>
      <c r="G89" s="144">
        <f>VLOOKUP($A89,'Data shares'!$C:$FA,25)</f>
        <v>3.6</v>
      </c>
    </row>
    <row r="90" spans="1:7" x14ac:dyDescent="0.25">
      <c r="A90" s="101" t="str">
        <f>'Data shares'!C86</f>
        <v>ICICIGI</v>
      </c>
      <c r="B90" s="144">
        <f>VLOOKUP($A90,'Data shares'!$C:$FA,7)</f>
        <v>1862.8</v>
      </c>
      <c r="C90" s="144">
        <f>VLOOKUP($A90,'Data shares'!$C:$FA,3)</f>
        <v>1866.3</v>
      </c>
      <c r="D90" s="144">
        <f>VLOOKUP($A90,'Data shares'!$C:$FA,23)</f>
        <v>3.5</v>
      </c>
      <c r="E90" s="145">
        <f>VLOOKUP($A90,'Data shares'!$C:$FA,26)*100</f>
        <v>0.19</v>
      </c>
      <c r="F90" s="144">
        <f>VLOOKUP($A90,'Data shares'!$C:$FA,24)</f>
        <v>1.2</v>
      </c>
      <c r="G90" s="144">
        <f>VLOOKUP($A90,'Data shares'!$C:$FA,25)</f>
        <v>2.2999999999999998</v>
      </c>
    </row>
    <row r="91" spans="1:7" x14ac:dyDescent="0.25">
      <c r="A91" s="101" t="str">
        <f>'Data shares'!C87</f>
        <v>ICICIPRULI</v>
      </c>
      <c r="B91" s="144">
        <f>VLOOKUP($A91,'Data shares'!$C:$FA,7)</f>
        <v>597.70000000000005</v>
      </c>
      <c r="C91" s="144">
        <f>VLOOKUP($A91,'Data shares'!$C:$FA,3)</f>
        <v>601.1</v>
      </c>
      <c r="D91" s="144">
        <f>VLOOKUP($A91,'Data shares'!$C:$FA,23)</f>
        <v>3.4</v>
      </c>
      <c r="E91" s="145">
        <f>VLOOKUP($A91,'Data shares'!$C:$FA,26)*100</f>
        <v>0.57000000000000006</v>
      </c>
      <c r="F91" s="144">
        <f>VLOOKUP($A91,'Data shares'!$C:$FA,24)</f>
        <v>3.35</v>
      </c>
      <c r="G91" s="144">
        <f>VLOOKUP($A91,'Data shares'!$C:$FA,25)</f>
        <v>0.05</v>
      </c>
    </row>
    <row r="92" spans="1:7" x14ac:dyDescent="0.25">
      <c r="A92" s="101" t="str">
        <f>'Data shares'!C88</f>
        <v>IDEA</v>
      </c>
      <c r="B92" s="144">
        <f>VLOOKUP($A92,'Data shares'!$C:$FA,7)</f>
        <v>9.0399999999999991</v>
      </c>
      <c r="C92" s="144">
        <f>VLOOKUP($A92,'Data shares'!$C:$FA,3)</f>
        <v>9.08</v>
      </c>
      <c r="D92" s="144">
        <f>VLOOKUP($A92,'Data shares'!$C:$FA,23)</f>
        <v>0.04</v>
      </c>
      <c r="E92" s="145">
        <f>VLOOKUP($A92,'Data shares'!$C:$FA,26)*100</f>
        <v>0.44</v>
      </c>
      <c r="F92" s="144">
        <f>VLOOKUP($A92,'Data shares'!$C:$FA,24)</f>
        <v>0.03</v>
      </c>
      <c r="G92" s="144">
        <f>VLOOKUP($A92,'Data shares'!$C:$FA,25)</f>
        <v>0.01</v>
      </c>
    </row>
    <row r="93" spans="1:7" x14ac:dyDescent="0.25">
      <c r="A93" s="101" t="str">
        <f>'Data shares'!C89</f>
        <v>IDFCFIRSTB</v>
      </c>
      <c r="B93" s="144">
        <f>VLOOKUP($A93,'Data shares'!$C:$FA,7)</f>
        <v>74.430000000000007</v>
      </c>
      <c r="C93" s="144">
        <f>VLOOKUP($A93,'Data shares'!$C:$FA,3)</f>
        <v>74.62</v>
      </c>
      <c r="D93" s="144">
        <f>VLOOKUP($A93,'Data shares'!$C:$FA,23)</f>
        <v>0.19</v>
      </c>
      <c r="E93" s="145">
        <f>VLOOKUP($A93,'Data shares'!$C:$FA,26)*100</f>
        <v>0.26</v>
      </c>
      <c r="F93" s="144">
        <f>VLOOKUP($A93,'Data shares'!$C:$FA,24)</f>
        <v>0.26</v>
      </c>
      <c r="G93" s="144">
        <f>VLOOKUP($A93,'Data shares'!$C:$FA,25)</f>
        <v>-7.0000000000000007E-2</v>
      </c>
    </row>
    <row r="94" spans="1:7" x14ac:dyDescent="0.25">
      <c r="A94" s="101" t="str">
        <f>'Data shares'!C90</f>
        <v>IEX</v>
      </c>
      <c r="B94" s="144">
        <f>VLOOKUP($A94,'Data shares'!$C:$FA,7)</f>
        <v>139.87</v>
      </c>
      <c r="C94" s="144">
        <f>VLOOKUP($A94,'Data shares'!$C:$FA,3)</f>
        <v>140.27000000000001</v>
      </c>
      <c r="D94" s="144">
        <f>VLOOKUP($A94,'Data shares'!$C:$FA,23)</f>
        <v>0.4</v>
      </c>
      <c r="E94" s="145">
        <f>VLOOKUP($A94,'Data shares'!$C:$FA,26)*100</f>
        <v>0.28999999999999998</v>
      </c>
      <c r="F94" s="144">
        <f>VLOOKUP($A94,'Data shares'!$C:$FA,24)</f>
        <v>0.55000000000000004</v>
      </c>
      <c r="G94" s="144">
        <f>VLOOKUP($A94,'Data shares'!$C:$FA,25)</f>
        <v>-0.15</v>
      </c>
    </row>
    <row r="95" spans="1:7" x14ac:dyDescent="0.25">
      <c r="A95" s="101" t="str">
        <f>'Data shares'!C91</f>
        <v>IGL</v>
      </c>
      <c r="B95" s="144">
        <f>VLOOKUP($A95,'Data shares'!$C:$FA,7)</f>
        <v>216.18</v>
      </c>
      <c r="C95" s="144">
        <f>VLOOKUP($A95,'Data shares'!$C:$FA,3)</f>
        <v>216.94</v>
      </c>
      <c r="D95" s="144">
        <f>VLOOKUP($A95,'Data shares'!$C:$FA,23)</f>
        <v>0.76</v>
      </c>
      <c r="E95" s="145">
        <f>VLOOKUP($A95,'Data shares'!$C:$FA,26)*100</f>
        <v>0.35000000000000003</v>
      </c>
      <c r="F95" s="144">
        <f>VLOOKUP($A95,'Data shares'!$C:$FA,24)</f>
        <v>0.61</v>
      </c>
      <c r="G95" s="144">
        <f>VLOOKUP($A95,'Data shares'!$C:$FA,25)</f>
        <v>0.15</v>
      </c>
    </row>
    <row r="96" spans="1:7" x14ac:dyDescent="0.25">
      <c r="A96" s="101" t="str">
        <f>'Data shares'!C92</f>
        <v>IIFL</v>
      </c>
      <c r="B96" s="144">
        <f>VLOOKUP($A96,'Data shares'!$C:$FA,7)</f>
        <v>490</v>
      </c>
      <c r="C96" s="144">
        <f>VLOOKUP($A96,'Data shares'!$C:$FA,3)</f>
        <v>492.55</v>
      </c>
      <c r="D96" s="144">
        <f>VLOOKUP($A96,'Data shares'!$C:$FA,23)</f>
        <v>2.5499999999999998</v>
      </c>
      <c r="E96" s="145">
        <f>VLOOKUP($A96,'Data shares'!$C:$FA,26)*100</f>
        <v>0.52</v>
      </c>
      <c r="F96" s="144">
        <f>VLOOKUP($A96,'Data shares'!$C:$FA,24)</f>
        <v>3.05</v>
      </c>
      <c r="G96" s="144">
        <f>VLOOKUP($A96,'Data shares'!$C:$FA,25)</f>
        <v>-0.5</v>
      </c>
    </row>
    <row r="97" spans="1:7" x14ac:dyDescent="0.25">
      <c r="A97" s="101" t="str">
        <f>'Data shares'!C93</f>
        <v>INDHOTEL</v>
      </c>
      <c r="B97" s="144">
        <f>VLOOKUP($A97,'Data shares'!$C:$FA,7)</f>
        <v>735.55</v>
      </c>
      <c r="C97" s="144">
        <f>VLOOKUP($A97,'Data shares'!$C:$FA,3)</f>
        <v>738.75</v>
      </c>
      <c r="D97" s="144">
        <f>VLOOKUP($A97,'Data shares'!$C:$FA,23)</f>
        <v>3.2</v>
      </c>
      <c r="E97" s="145">
        <f>VLOOKUP($A97,'Data shares'!$C:$FA,26)*100</f>
        <v>0.44</v>
      </c>
      <c r="F97" s="144">
        <f>VLOOKUP($A97,'Data shares'!$C:$FA,24)</f>
        <v>2.5</v>
      </c>
      <c r="G97" s="144">
        <f>VLOOKUP($A97,'Data shares'!$C:$FA,25)</f>
        <v>0.7</v>
      </c>
    </row>
    <row r="98" spans="1:7" x14ac:dyDescent="0.25">
      <c r="A98" s="101" t="str">
        <f>'Data shares'!C94</f>
        <v>INDIANB</v>
      </c>
      <c r="B98" s="144">
        <f>VLOOKUP($A98,'Data shares'!$C:$FA,7)</f>
        <v>776.25</v>
      </c>
      <c r="C98" s="144">
        <f>VLOOKUP($A98,'Data shares'!$C:$FA,3)</f>
        <v>776.1</v>
      </c>
      <c r="D98" s="144">
        <f>VLOOKUP($A98,'Data shares'!$C:$FA,23)</f>
        <v>-0.15</v>
      </c>
      <c r="E98" s="145">
        <f>VLOOKUP($A98,'Data shares'!$C:$FA,26)*100</f>
        <v>-0.02</v>
      </c>
      <c r="F98" s="144">
        <f>VLOOKUP($A98,'Data shares'!$C:$FA,24)</f>
        <v>3.2</v>
      </c>
      <c r="G98" s="144">
        <f>VLOOKUP($A98,'Data shares'!$C:$FA,25)</f>
        <v>-3.35</v>
      </c>
    </row>
    <row r="99" spans="1:7" x14ac:dyDescent="0.25">
      <c r="A99" s="101" t="str">
        <f>'Data shares'!C95</f>
        <v>INDIAVIX</v>
      </c>
      <c r="B99" s="144">
        <f>VLOOKUP($A99,'Data shares'!$C:$FA,7)</f>
        <v>10.1</v>
      </c>
      <c r="C99" s="144">
        <f>VLOOKUP($A99,'Data shares'!$C:$FA,3)</f>
        <v>10.1</v>
      </c>
      <c r="D99" s="144">
        <f>VLOOKUP($A99,'Data shares'!$C:$FA,23)</f>
        <v>0</v>
      </c>
      <c r="E99" s="145">
        <f>VLOOKUP($A99,'Data shares'!$C:$FA,26)*100</f>
        <v>0</v>
      </c>
      <c r="F99" s="144">
        <f>VLOOKUP($A99,'Data shares'!$C:$FA,24)</f>
        <v>0</v>
      </c>
      <c r="G99" s="144">
        <f>VLOOKUP($A99,'Data shares'!$C:$FA,25)</f>
        <v>0</v>
      </c>
    </row>
    <row r="100" spans="1:7" x14ac:dyDescent="0.25">
      <c r="A100" s="101" t="str">
        <f>'Data shares'!C96</f>
        <v>INDIGO</v>
      </c>
      <c r="B100" s="144">
        <f>VLOOKUP($A100,'Data shares'!$C:$FA,7)</f>
        <v>5735</v>
      </c>
      <c r="C100" s="144">
        <f>VLOOKUP($A100,'Data shares'!$C:$FA,3)</f>
        <v>5764</v>
      </c>
      <c r="D100" s="144">
        <f>VLOOKUP($A100,'Data shares'!$C:$FA,23)</f>
        <v>29</v>
      </c>
      <c r="E100" s="145">
        <f>VLOOKUP($A100,'Data shares'!$C:$FA,26)*100</f>
        <v>0.51</v>
      </c>
      <c r="F100" s="144">
        <f>VLOOKUP($A100,'Data shares'!$C:$FA,24)</f>
        <v>28</v>
      </c>
      <c r="G100" s="144">
        <f>VLOOKUP($A100,'Data shares'!$C:$FA,25)</f>
        <v>1</v>
      </c>
    </row>
    <row r="101" spans="1:7" x14ac:dyDescent="0.25">
      <c r="A101" s="101" t="str">
        <f>'Data shares'!C97</f>
        <v>INDUSINDBK</v>
      </c>
      <c r="B101" s="144">
        <f>VLOOKUP($A101,'Data shares'!$C:$FA,7)</f>
        <v>763.35</v>
      </c>
      <c r="C101" s="144">
        <f>VLOOKUP($A101,'Data shares'!$C:$FA,3)</f>
        <v>767.65</v>
      </c>
      <c r="D101" s="144">
        <f>VLOOKUP($A101,'Data shares'!$C:$FA,23)</f>
        <v>4.3</v>
      </c>
      <c r="E101" s="145">
        <f>VLOOKUP($A101,'Data shares'!$C:$FA,26)*100</f>
        <v>0.55999999999999994</v>
      </c>
      <c r="F101" s="144">
        <f>VLOOKUP($A101,'Data shares'!$C:$FA,24)</f>
        <v>4.3499999999999996</v>
      </c>
      <c r="G101" s="144">
        <f>VLOOKUP($A101,'Data shares'!$C:$FA,25)</f>
        <v>-0.05</v>
      </c>
    </row>
    <row r="102" spans="1:7" x14ac:dyDescent="0.25">
      <c r="A102" s="101" t="str">
        <f>'Data shares'!C98</f>
        <v>INDUSTOWER</v>
      </c>
      <c r="B102" s="144">
        <f>VLOOKUP($A102,'Data shares'!$C:$FA,7)</f>
        <v>353.7</v>
      </c>
      <c r="C102" s="144">
        <f>VLOOKUP($A102,'Data shares'!$C:$FA,3)</f>
        <v>355.65</v>
      </c>
      <c r="D102" s="144">
        <f>VLOOKUP($A102,'Data shares'!$C:$FA,23)</f>
        <v>1.95</v>
      </c>
      <c r="E102" s="145">
        <f>VLOOKUP($A102,'Data shares'!$C:$FA,26)*100</f>
        <v>0.54999999999999993</v>
      </c>
      <c r="F102" s="144">
        <f>VLOOKUP($A102,'Data shares'!$C:$FA,24)</f>
        <v>2.35</v>
      </c>
      <c r="G102" s="144">
        <f>VLOOKUP($A102,'Data shares'!$C:$FA,25)</f>
        <v>-0.4</v>
      </c>
    </row>
    <row r="103" spans="1:7" x14ac:dyDescent="0.25">
      <c r="A103" s="101" t="str">
        <f>'Data shares'!C99</f>
        <v>INFY</v>
      </c>
      <c r="B103" s="144">
        <f>VLOOKUP($A103,'Data shares'!$C:$FA,7)</f>
        <v>1514.9</v>
      </c>
      <c r="C103" s="144">
        <f>VLOOKUP($A103,'Data shares'!$C:$FA,3)</f>
        <v>1508.2</v>
      </c>
      <c r="D103" s="144">
        <f>VLOOKUP($A103,'Data shares'!$C:$FA,23)</f>
        <v>-6.7</v>
      </c>
      <c r="E103" s="145">
        <f>VLOOKUP($A103,'Data shares'!$C:$FA,26)*100</f>
        <v>-0.44</v>
      </c>
      <c r="F103" s="144">
        <f>VLOOKUP($A103,'Data shares'!$C:$FA,24)</f>
        <v>-2.7</v>
      </c>
      <c r="G103" s="144">
        <f>VLOOKUP($A103,'Data shares'!$C:$FA,25)</f>
        <v>-4</v>
      </c>
    </row>
    <row r="104" spans="1:7" x14ac:dyDescent="0.25">
      <c r="A104" s="101" t="str">
        <f>'Data shares'!C100</f>
        <v>INOXWIND</v>
      </c>
      <c r="B104" s="144">
        <f>VLOOKUP($A104,'Data shares'!$C:$FA,7)</f>
        <v>150.08000000000001</v>
      </c>
      <c r="C104" s="144">
        <f>VLOOKUP($A104,'Data shares'!$C:$FA,3)</f>
        <v>150.93</v>
      </c>
      <c r="D104" s="144">
        <f>VLOOKUP($A104,'Data shares'!$C:$FA,23)</f>
        <v>0.85</v>
      </c>
      <c r="E104" s="145">
        <f>VLOOKUP($A104,'Data shares'!$C:$FA,26)*100</f>
        <v>0.57000000000000006</v>
      </c>
      <c r="F104" s="144">
        <f>VLOOKUP($A104,'Data shares'!$C:$FA,24)</f>
        <v>0.87</v>
      </c>
      <c r="G104" s="144">
        <f>VLOOKUP($A104,'Data shares'!$C:$FA,25)</f>
        <v>-0.02</v>
      </c>
    </row>
    <row r="105" spans="1:7" x14ac:dyDescent="0.25">
      <c r="A105" s="101" t="str">
        <f>'Data shares'!C101</f>
        <v>IOC</v>
      </c>
      <c r="B105" s="144">
        <f>VLOOKUP($A105,'Data shares'!$C:$FA,7)</f>
        <v>154.11000000000001</v>
      </c>
      <c r="C105" s="144">
        <f>VLOOKUP($A105,'Data shares'!$C:$FA,3)</f>
        <v>154.69999999999999</v>
      </c>
      <c r="D105" s="144">
        <f>VLOOKUP($A105,'Data shares'!$C:$FA,23)</f>
        <v>0.59</v>
      </c>
      <c r="E105" s="145">
        <f>VLOOKUP($A105,'Data shares'!$C:$FA,26)*100</f>
        <v>0.38</v>
      </c>
      <c r="F105" s="144">
        <f>VLOOKUP($A105,'Data shares'!$C:$FA,24)</f>
        <v>0.84</v>
      </c>
      <c r="G105" s="144">
        <f>VLOOKUP($A105,'Data shares'!$C:$FA,25)</f>
        <v>-0.25</v>
      </c>
    </row>
    <row r="106" spans="1:7" x14ac:dyDescent="0.25">
      <c r="A106" s="101" t="str">
        <f>'Data shares'!C102</f>
        <v>IRCTC</v>
      </c>
      <c r="B106" s="144">
        <f>VLOOKUP($A106,'Data shares'!$C:$FA,7)</f>
        <v>715.7</v>
      </c>
      <c r="C106" s="144">
        <f>VLOOKUP($A106,'Data shares'!$C:$FA,3)</f>
        <v>717.15</v>
      </c>
      <c r="D106" s="144">
        <f>VLOOKUP($A106,'Data shares'!$C:$FA,23)</f>
        <v>1.45</v>
      </c>
      <c r="E106" s="145">
        <f>VLOOKUP($A106,'Data shares'!$C:$FA,26)*100</f>
        <v>0.2</v>
      </c>
      <c r="F106" s="144">
        <f>VLOOKUP($A106,'Data shares'!$C:$FA,24)</f>
        <v>3.9</v>
      </c>
      <c r="G106" s="144">
        <f>VLOOKUP($A106,'Data shares'!$C:$FA,25)</f>
        <v>-2.4500000000000002</v>
      </c>
    </row>
    <row r="107" spans="1:7" x14ac:dyDescent="0.25">
      <c r="A107" s="101" t="str">
        <f>'Data shares'!C103</f>
        <v>IREDA</v>
      </c>
      <c r="B107" s="144">
        <f>VLOOKUP($A107,'Data shares'!$C:$FA,7)</f>
        <v>150.96</v>
      </c>
      <c r="C107" s="144">
        <f>VLOOKUP($A107,'Data shares'!$C:$FA,3)</f>
        <v>151.61000000000001</v>
      </c>
      <c r="D107" s="144">
        <f>VLOOKUP($A107,'Data shares'!$C:$FA,23)</f>
        <v>0.65</v>
      </c>
      <c r="E107" s="145">
        <f>VLOOKUP($A107,'Data shares'!$C:$FA,26)*100</f>
        <v>0.43</v>
      </c>
      <c r="F107" s="144">
        <f>VLOOKUP($A107,'Data shares'!$C:$FA,24)</f>
        <v>0.73</v>
      </c>
      <c r="G107" s="144">
        <f>VLOOKUP($A107,'Data shares'!$C:$FA,25)</f>
        <v>-0.08</v>
      </c>
    </row>
    <row r="108" spans="1:7" x14ac:dyDescent="0.25">
      <c r="A108" s="101" t="str">
        <f>'Data shares'!C104</f>
        <v>IRFC</v>
      </c>
      <c r="B108" s="144">
        <f>VLOOKUP($A108,'Data shares'!$C:$FA,7)</f>
        <v>126.5</v>
      </c>
      <c r="C108" s="144">
        <f>VLOOKUP($A108,'Data shares'!$C:$FA,3)</f>
        <v>126.39</v>
      </c>
      <c r="D108" s="144">
        <f>VLOOKUP($A108,'Data shares'!$C:$FA,23)</f>
        <v>-0.11</v>
      </c>
      <c r="E108" s="145">
        <f>VLOOKUP($A108,'Data shares'!$C:$FA,26)*100</f>
        <v>-0.09</v>
      </c>
      <c r="F108" s="144">
        <f>VLOOKUP($A108,'Data shares'!$C:$FA,24)</f>
        <v>-0.09</v>
      </c>
      <c r="G108" s="144">
        <f>VLOOKUP($A108,'Data shares'!$C:$FA,25)</f>
        <v>-0.02</v>
      </c>
    </row>
    <row r="109" spans="1:7" x14ac:dyDescent="0.25">
      <c r="A109" s="101" t="str">
        <f>'Data shares'!C105</f>
        <v>ITC</v>
      </c>
      <c r="B109" s="144">
        <f>VLOOKUP($A109,'Data shares'!$C:$FA,7)</f>
        <v>402.8</v>
      </c>
      <c r="C109" s="144">
        <f>VLOOKUP($A109,'Data shares'!$C:$FA,3)</f>
        <v>405</v>
      </c>
      <c r="D109" s="144">
        <f>VLOOKUP($A109,'Data shares'!$C:$FA,23)</f>
        <v>2.2000000000000002</v>
      </c>
      <c r="E109" s="145">
        <f>VLOOKUP($A109,'Data shares'!$C:$FA,26)*100</f>
        <v>0.54999999999999993</v>
      </c>
      <c r="F109" s="144">
        <f>VLOOKUP($A109,'Data shares'!$C:$FA,24)</f>
        <v>2.2999999999999998</v>
      </c>
      <c r="G109" s="144">
        <f>VLOOKUP($A109,'Data shares'!$C:$FA,25)</f>
        <v>-0.1</v>
      </c>
    </row>
    <row r="110" spans="1:7" x14ac:dyDescent="0.25">
      <c r="A110" s="101" t="str">
        <f>'Data shares'!C106</f>
        <v>JINDALSTEL</v>
      </c>
      <c r="B110" s="144">
        <f>VLOOKUP($A110,'Data shares'!$C:$FA,7)</f>
        <v>1015.2</v>
      </c>
      <c r="C110" s="144">
        <f>VLOOKUP($A110,'Data shares'!$C:$FA,3)</f>
        <v>1020.2</v>
      </c>
      <c r="D110" s="144">
        <f>VLOOKUP($A110,'Data shares'!$C:$FA,23)</f>
        <v>5</v>
      </c>
      <c r="E110" s="145">
        <f>VLOOKUP($A110,'Data shares'!$C:$FA,26)*100</f>
        <v>0.49</v>
      </c>
      <c r="F110" s="144">
        <f>VLOOKUP($A110,'Data shares'!$C:$FA,24)</f>
        <v>2.2000000000000002</v>
      </c>
      <c r="G110" s="144">
        <f>VLOOKUP($A110,'Data shares'!$C:$FA,25)</f>
        <v>2.8</v>
      </c>
    </row>
    <row r="111" spans="1:7" x14ac:dyDescent="0.25">
      <c r="A111" s="101" t="str">
        <f>'Data shares'!C107</f>
        <v>JIOFIN</v>
      </c>
      <c r="B111" s="144">
        <f>VLOOKUP($A111,'Data shares'!$C:$FA,7)</f>
        <v>308.14999999999998</v>
      </c>
      <c r="C111" s="144">
        <f>VLOOKUP($A111,'Data shares'!$C:$FA,3)</f>
        <v>309.89999999999998</v>
      </c>
      <c r="D111" s="144">
        <f>VLOOKUP($A111,'Data shares'!$C:$FA,23)</f>
        <v>1.75</v>
      </c>
      <c r="E111" s="145">
        <f>VLOOKUP($A111,'Data shares'!$C:$FA,26)*100</f>
        <v>0.57000000000000006</v>
      </c>
      <c r="F111" s="144">
        <f>VLOOKUP($A111,'Data shares'!$C:$FA,24)</f>
        <v>1.6</v>
      </c>
      <c r="G111" s="144">
        <f>VLOOKUP($A111,'Data shares'!$C:$FA,25)</f>
        <v>0.15</v>
      </c>
    </row>
    <row r="112" spans="1:7" x14ac:dyDescent="0.25">
      <c r="A112" s="101" t="str">
        <f>'Data shares'!C108</f>
        <v>JSWENERGY</v>
      </c>
      <c r="B112" s="144">
        <f>VLOOKUP($A112,'Data shares'!$C:$FA,7)</f>
        <v>546</v>
      </c>
      <c r="C112" s="144">
        <f>VLOOKUP($A112,'Data shares'!$C:$FA,3)</f>
        <v>548.75</v>
      </c>
      <c r="D112" s="144">
        <f>VLOOKUP($A112,'Data shares'!$C:$FA,23)</f>
        <v>2.75</v>
      </c>
      <c r="E112" s="145">
        <f>VLOOKUP($A112,'Data shares'!$C:$FA,26)*100</f>
        <v>0.5</v>
      </c>
      <c r="F112" s="144">
        <f>VLOOKUP($A112,'Data shares'!$C:$FA,24)</f>
        <v>2.4</v>
      </c>
      <c r="G112" s="144">
        <f>VLOOKUP($A112,'Data shares'!$C:$FA,25)</f>
        <v>0.35</v>
      </c>
    </row>
    <row r="113" spans="1:7" x14ac:dyDescent="0.25">
      <c r="A113" s="101" t="str">
        <f>'Data shares'!C109</f>
        <v>JSWSTEEL</v>
      </c>
      <c r="B113" s="144">
        <f>VLOOKUP($A113,'Data shares'!$C:$FA,7)</f>
        <v>1167.8</v>
      </c>
      <c r="C113" s="144">
        <f>VLOOKUP($A113,'Data shares'!$C:$FA,3)</f>
        <v>1171.4000000000001</v>
      </c>
      <c r="D113" s="144">
        <f>VLOOKUP($A113,'Data shares'!$C:$FA,23)</f>
        <v>3.6</v>
      </c>
      <c r="E113" s="145">
        <f>VLOOKUP($A113,'Data shares'!$C:$FA,26)*100</f>
        <v>0.31</v>
      </c>
      <c r="F113" s="144">
        <f>VLOOKUP($A113,'Data shares'!$C:$FA,24)</f>
        <v>4.4000000000000004</v>
      </c>
      <c r="G113" s="144">
        <f>VLOOKUP($A113,'Data shares'!$C:$FA,25)</f>
        <v>-0.8</v>
      </c>
    </row>
    <row r="114" spans="1:7" x14ac:dyDescent="0.25">
      <c r="A114" s="101" t="str">
        <f>'Data shares'!C110</f>
        <v>JUBLFOOD</v>
      </c>
      <c r="B114" s="144">
        <f>VLOOKUP($A114,'Data shares'!$C:$FA,7)</f>
        <v>602.29999999999995</v>
      </c>
      <c r="C114" s="144">
        <f>VLOOKUP($A114,'Data shares'!$C:$FA,3)</f>
        <v>605.70000000000005</v>
      </c>
      <c r="D114" s="144">
        <f>VLOOKUP($A114,'Data shares'!$C:$FA,23)</f>
        <v>3.4</v>
      </c>
      <c r="E114" s="145">
        <f>VLOOKUP($A114,'Data shares'!$C:$FA,26)*100</f>
        <v>0.55999999999999994</v>
      </c>
      <c r="F114" s="144">
        <f>VLOOKUP($A114,'Data shares'!$C:$FA,24)</f>
        <v>3.45</v>
      </c>
      <c r="G114" s="144">
        <f>VLOOKUP($A114,'Data shares'!$C:$FA,25)</f>
        <v>-0.05</v>
      </c>
    </row>
    <row r="115" spans="1:7" x14ac:dyDescent="0.25">
      <c r="A115" s="101" t="str">
        <f>'Data shares'!C111</f>
        <v>KALYANKJIL</v>
      </c>
      <c r="B115" s="144">
        <f>VLOOKUP($A115,'Data shares'!$C:$FA,7)</f>
        <v>484.85</v>
      </c>
      <c r="C115" s="144">
        <f>VLOOKUP($A115,'Data shares'!$C:$FA,3)</f>
        <v>487.65</v>
      </c>
      <c r="D115" s="144">
        <f>VLOOKUP($A115,'Data shares'!$C:$FA,23)</f>
        <v>2.8</v>
      </c>
      <c r="E115" s="145">
        <f>VLOOKUP($A115,'Data shares'!$C:$FA,26)*100</f>
        <v>0.57999999999999996</v>
      </c>
      <c r="F115" s="144">
        <f>VLOOKUP($A115,'Data shares'!$C:$FA,24)</f>
        <v>2</v>
      </c>
      <c r="G115" s="144">
        <f>VLOOKUP($A115,'Data shares'!$C:$FA,25)</f>
        <v>0.8</v>
      </c>
    </row>
    <row r="116" spans="1:7" x14ac:dyDescent="0.25">
      <c r="A116" s="101" t="str">
        <f>'Data shares'!C112</f>
        <v>KAYNES</v>
      </c>
      <c r="B116" s="144">
        <f>VLOOKUP($A116,'Data shares'!$C:$FA,7)</f>
        <v>7102</v>
      </c>
      <c r="C116" s="144">
        <f>VLOOKUP($A116,'Data shares'!$C:$FA,3)</f>
        <v>7140.5</v>
      </c>
      <c r="D116" s="144">
        <f>VLOOKUP($A116,'Data shares'!$C:$FA,23)</f>
        <v>38.5</v>
      </c>
      <c r="E116" s="145">
        <f>VLOOKUP($A116,'Data shares'!$C:$FA,26)*100</f>
        <v>0.54</v>
      </c>
      <c r="F116" s="144">
        <f>VLOOKUP($A116,'Data shares'!$C:$FA,24)</f>
        <v>41</v>
      </c>
      <c r="G116" s="144">
        <f>VLOOKUP($A116,'Data shares'!$C:$FA,25)</f>
        <v>-2.5</v>
      </c>
    </row>
    <row r="117" spans="1:7" x14ac:dyDescent="0.25">
      <c r="A117" s="101" t="str">
        <f>'Data shares'!C113</f>
        <v>KEI</v>
      </c>
      <c r="B117" s="144">
        <f>VLOOKUP($A117,'Data shares'!$C:$FA,7)</f>
        <v>4278.2</v>
      </c>
      <c r="C117" s="144">
        <f>VLOOKUP($A117,'Data shares'!$C:$FA,3)</f>
        <v>4294.6000000000004</v>
      </c>
      <c r="D117" s="144">
        <f>VLOOKUP($A117,'Data shares'!$C:$FA,23)</f>
        <v>16.399999999999999</v>
      </c>
      <c r="E117" s="145">
        <f>VLOOKUP($A117,'Data shares'!$C:$FA,26)*100</f>
        <v>0.38</v>
      </c>
      <c r="F117" s="144">
        <f>VLOOKUP($A117,'Data shares'!$C:$FA,24)</f>
        <v>11.6</v>
      </c>
      <c r="G117" s="144">
        <f>VLOOKUP($A117,'Data shares'!$C:$FA,25)</f>
        <v>4.8</v>
      </c>
    </row>
    <row r="118" spans="1:7" x14ac:dyDescent="0.25">
      <c r="A118" s="101" t="str">
        <f>'Data shares'!C114</f>
        <v>KFINTECH</v>
      </c>
      <c r="B118" s="144">
        <f>VLOOKUP($A118,'Data shares'!$C:$FA,7)</f>
        <v>1072.5</v>
      </c>
      <c r="C118" s="144">
        <f>VLOOKUP($A118,'Data shares'!$C:$FA,3)</f>
        <v>1078.8</v>
      </c>
      <c r="D118" s="144">
        <f>VLOOKUP($A118,'Data shares'!$C:$FA,23)</f>
        <v>6.3</v>
      </c>
      <c r="E118" s="145">
        <f>VLOOKUP($A118,'Data shares'!$C:$FA,26)*100</f>
        <v>0.59</v>
      </c>
      <c r="F118" s="144">
        <f>VLOOKUP($A118,'Data shares'!$C:$FA,24)</f>
        <v>1.6</v>
      </c>
      <c r="G118" s="144">
        <f>VLOOKUP($A118,'Data shares'!$C:$FA,25)</f>
        <v>4.7</v>
      </c>
    </row>
    <row r="119" spans="1:7" x14ac:dyDescent="0.25">
      <c r="A119" s="101" t="str">
        <f>'Data shares'!C115</f>
        <v>KOTAKBANK</v>
      </c>
      <c r="B119" s="144">
        <f>VLOOKUP($A119,'Data shares'!$C:$FA,7)</f>
        <v>2150.1</v>
      </c>
      <c r="C119" s="144">
        <f>VLOOKUP($A119,'Data shares'!$C:$FA,3)</f>
        <v>2156</v>
      </c>
      <c r="D119" s="144">
        <f>VLOOKUP($A119,'Data shares'!$C:$FA,23)</f>
        <v>5.9</v>
      </c>
      <c r="E119" s="145">
        <f>VLOOKUP($A119,'Data shares'!$C:$FA,26)*100</f>
        <v>0.27</v>
      </c>
      <c r="F119" s="144">
        <f>VLOOKUP($A119,'Data shares'!$C:$FA,24)</f>
        <v>6.9</v>
      </c>
      <c r="G119" s="144">
        <f>VLOOKUP($A119,'Data shares'!$C:$FA,25)</f>
        <v>-1</v>
      </c>
    </row>
    <row r="120" spans="1:7" x14ac:dyDescent="0.25">
      <c r="A120" s="101" t="str">
        <f>'Data shares'!C116</f>
        <v>KPITTECH</v>
      </c>
      <c r="B120" s="144">
        <f>VLOOKUP($A120,'Data shares'!$C:$FA,7)</f>
        <v>1154.0999999999999</v>
      </c>
      <c r="C120" s="144">
        <f>VLOOKUP($A120,'Data shares'!$C:$FA,3)</f>
        <v>1154.7</v>
      </c>
      <c r="D120" s="144">
        <f>VLOOKUP($A120,'Data shares'!$C:$FA,23)</f>
        <v>0.6</v>
      </c>
      <c r="E120" s="145">
        <f>VLOOKUP($A120,'Data shares'!$C:$FA,26)*100</f>
        <v>0.05</v>
      </c>
      <c r="F120" s="144">
        <f>VLOOKUP($A120,'Data shares'!$C:$FA,24)</f>
        <v>-3.8</v>
      </c>
      <c r="G120" s="144">
        <f>VLOOKUP($A120,'Data shares'!$C:$FA,25)</f>
        <v>4.4000000000000004</v>
      </c>
    </row>
    <row r="121" spans="1:7" x14ac:dyDescent="0.25">
      <c r="A121" s="101" t="str">
        <f>'Data shares'!C117</f>
        <v>LAURUSLABS</v>
      </c>
      <c r="B121" s="144">
        <f>VLOOKUP($A121,'Data shares'!$C:$FA,7)</f>
        <v>876.75</v>
      </c>
      <c r="C121" s="144">
        <f>VLOOKUP($A121,'Data shares'!$C:$FA,3)</f>
        <v>880.8</v>
      </c>
      <c r="D121" s="144">
        <f>VLOOKUP($A121,'Data shares'!$C:$FA,23)</f>
        <v>4.05</v>
      </c>
      <c r="E121" s="145">
        <f>VLOOKUP($A121,'Data shares'!$C:$FA,26)*100</f>
        <v>0.45999999999999996</v>
      </c>
      <c r="F121" s="144">
        <f>VLOOKUP($A121,'Data shares'!$C:$FA,24)</f>
        <v>4.3499999999999996</v>
      </c>
      <c r="G121" s="144">
        <f>VLOOKUP($A121,'Data shares'!$C:$FA,25)</f>
        <v>-0.3</v>
      </c>
    </row>
    <row r="122" spans="1:7" x14ac:dyDescent="0.25">
      <c r="A122" s="101" t="str">
        <f>'Data shares'!C118</f>
        <v>LICHSGFIN</v>
      </c>
      <c r="B122" s="144">
        <f>VLOOKUP($A122,'Data shares'!$C:$FA,7)</f>
        <v>568.45000000000005</v>
      </c>
      <c r="C122" s="144">
        <f>VLOOKUP($A122,'Data shares'!$C:$FA,3)</f>
        <v>570.35</v>
      </c>
      <c r="D122" s="144">
        <f>VLOOKUP($A122,'Data shares'!$C:$FA,23)</f>
        <v>1.9</v>
      </c>
      <c r="E122" s="145">
        <f>VLOOKUP($A122,'Data shares'!$C:$FA,26)*100</f>
        <v>0.33</v>
      </c>
      <c r="F122" s="144">
        <f>VLOOKUP($A122,'Data shares'!$C:$FA,24)</f>
        <v>3.45</v>
      </c>
      <c r="G122" s="144">
        <f>VLOOKUP($A122,'Data shares'!$C:$FA,25)</f>
        <v>-1.55</v>
      </c>
    </row>
    <row r="123" spans="1:7" x14ac:dyDescent="0.25">
      <c r="A123" s="101" t="str">
        <f>'Data shares'!C119</f>
        <v>LICI</v>
      </c>
      <c r="B123" s="144">
        <f>VLOOKUP($A123,'Data shares'!$C:$FA,7)</f>
        <v>897.8</v>
      </c>
      <c r="C123" s="144">
        <f>VLOOKUP($A123,'Data shares'!$C:$FA,3)</f>
        <v>902.25</v>
      </c>
      <c r="D123" s="144">
        <f>VLOOKUP($A123,'Data shares'!$C:$FA,23)</f>
        <v>4.45</v>
      </c>
      <c r="E123" s="145">
        <f>VLOOKUP($A123,'Data shares'!$C:$FA,26)*100</f>
        <v>0.5</v>
      </c>
      <c r="F123" s="144">
        <f>VLOOKUP($A123,'Data shares'!$C:$FA,24)</f>
        <v>5.35</v>
      </c>
      <c r="G123" s="144">
        <f>VLOOKUP($A123,'Data shares'!$C:$FA,25)</f>
        <v>-0.9</v>
      </c>
    </row>
    <row r="124" spans="1:7" x14ac:dyDescent="0.25">
      <c r="A124" s="101" t="str">
        <f>'Data shares'!C120</f>
        <v>LODHA</v>
      </c>
      <c r="B124" s="144">
        <f>VLOOKUP($A124,'Data shares'!$C:$FA,7)</f>
        <v>1155.9000000000001</v>
      </c>
      <c r="C124" s="144">
        <f>VLOOKUP($A124,'Data shares'!$C:$FA,3)</f>
        <v>1159.5999999999999</v>
      </c>
      <c r="D124" s="144">
        <f>VLOOKUP($A124,'Data shares'!$C:$FA,23)</f>
        <v>3.7</v>
      </c>
      <c r="E124" s="145">
        <f>VLOOKUP($A124,'Data shares'!$C:$FA,26)*100</f>
        <v>0.32</v>
      </c>
      <c r="F124" s="144">
        <f>VLOOKUP($A124,'Data shares'!$C:$FA,24)</f>
        <v>5.2</v>
      </c>
      <c r="G124" s="144">
        <f>VLOOKUP($A124,'Data shares'!$C:$FA,25)</f>
        <v>-1.5</v>
      </c>
    </row>
    <row r="125" spans="1:7" x14ac:dyDescent="0.25">
      <c r="A125" s="101" t="str">
        <f>'Data shares'!C121</f>
        <v>LT</v>
      </c>
      <c r="B125" s="144">
        <f>VLOOKUP($A125,'Data shares'!$C:$FA,7)</f>
        <v>3784</v>
      </c>
      <c r="C125" s="144">
        <f>VLOOKUP($A125,'Data shares'!$C:$FA,3)</f>
        <v>3804.1</v>
      </c>
      <c r="D125" s="144">
        <f>VLOOKUP($A125,'Data shares'!$C:$FA,23)</f>
        <v>20.100000000000001</v>
      </c>
      <c r="E125" s="145">
        <f>VLOOKUP($A125,'Data shares'!$C:$FA,26)*100</f>
        <v>0.53</v>
      </c>
      <c r="F125" s="144">
        <f>VLOOKUP($A125,'Data shares'!$C:$FA,24)</f>
        <v>12</v>
      </c>
      <c r="G125" s="144">
        <f>VLOOKUP($A125,'Data shares'!$C:$FA,25)</f>
        <v>8.1</v>
      </c>
    </row>
    <row r="126" spans="1:7" x14ac:dyDescent="0.25">
      <c r="A126" s="101" t="str">
        <f>'Data shares'!C122</f>
        <v>LTF</v>
      </c>
      <c r="B126" s="144">
        <f>VLOOKUP($A126,'Data shares'!$C:$FA,7)</f>
        <v>256.04000000000002</v>
      </c>
      <c r="C126" s="144">
        <f>VLOOKUP($A126,'Data shares'!$C:$FA,3)</f>
        <v>257.07</v>
      </c>
      <c r="D126" s="144">
        <f>VLOOKUP($A126,'Data shares'!$C:$FA,23)</f>
        <v>1.03</v>
      </c>
      <c r="E126" s="145">
        <f>VLOOKUP($A126,'Data shares'!$C:$FA,26)*100</f>
        <v>0.4</v>
      </c>
      <c r="F126" s="144">
        <f>VLOOKUP($A126,'Data shares'!$C:$FA,24)</f>
        <v>1.01</v>
      </c>
      <c r="G126" s="144">
        <f>VLOOKUP($A126,'Data shares'!$C:$FA,25)</f>
        <v>0.02</v>
      </c>
    </row>
    <row r="127" spans="1:7" x14ac:dyDescent="0.25">
      <c r="A127" s="101" t="str">
        <f>'Data shares'!C123</f>
        <v>LTIM</v>
      </c>
      <c r="B127" s="144">
        <f>VLOOKUP($A127,'Data shares'!$C:$FA,7)</f>
        <v>5471.5</v>
      </c>
      <c r="C127" s="144">
        <f>VLOOKUP($A127,'Data shares'!$C:$FA,3)</f>
        <v>5481</v>
      </c>
      <c r="D127" s="144">
        <f>VLOOKUP($A127,'Data shares'!$C:$FA,23)</f>
        <v>9.5</v>
      </c>
      <c r="E127" s="145">
        <f>VLOOKUP($A127,'Data shares'!$C:$FA,26)*100</f>
        <v>0.16999999999999998</v>
      </c>
      <c r="F127" s="144">
        <f>VLOOKUP($A127,'Data shares'!$C:$FA,24)</f>
        <v>9.5</v>
      </c>
      <c r="G127" s="144">
        <f>VLOOKUP($A127,'Data shares'!$C:$FA,25)</f>
        <v>0</v>
      </c>
    </row>
    <row r="128" spans="1:7" x14ac:dyDescent="0.25">
      <c r="A128" s="101" t="str">
        <f>'Data shares'!C124</f>
        <v>LUPIN</v>
      </c>
      <c r="B128" s="144">
        <f>VLOOKUP($A128,'Data shares'!$C:$FA,7)</f>
        <v>1959.3</v>
      </c>
      <c r="C128" s="144">
        <f>VLOOKUP($A128,'Data shares'!$C:$FA,3)</f>
        <v>1969.9</v>
      </c>
      <c r="D128" s="144">
        <f>VLOOKUP($A128,'Data shares'!$C:$FA,23)</f>
        <v>10.6</v>
      </c>
      <c r="E128" s="145">
        <f>VLOOKUP($A128,'Data shares'!$C:$FA,26)*100</f>
        <v>0.54</v>
      </c>
      <c r="F128" s="144">
        <f>VLOOKUP($A128,'Data shares'!$C:$FA,24)</f>
        <v>10.6</v>
      </c>
      <c r="G128" s="144">
        <f>VLOOKUP($A128,'Data shares'!$C:$FA,25)</f>
        <v>0</v>
      </c>
    </row>
    <row r="129" spans="1:7" x14ac:dyDescent="0.25">
      <c r="A129" s="101" t="str">
        <f>'Data shares'!C125</f>
        <v>M&amp;M</v>
      </c>
      <c r="B129" s="144">
        <f>VLOOKUP($A129,'Data shares'!$C:$FA,7)</f>
        <v>3454.9</v>
      </c>
      <c r="C129" s="144">
        <f>VLOOKUP($A129,'Data shares'!$C:$FA,3)</f>
        <v>3473.1</v>
      </c>
      <c r="D129" s="144">
        <f>VLOOKUP($A129,'Data shares'!$C:$FA,23)</f>
        <v>18.2</v>
      </c>
      <c r="E129" s="145">
        <f>VLOOKUP($A129,'Data shares'!$C:$FA,26)*100</f>
        <v>0.53</v>
      </c>
      <c r="F129" s="144">
        <f>VLOOKUP($A129,'Data shares'!$C:$FA,24)</f>
        <v>10.3</v>
      </c>
      <c r="G129" s="144">
        <f>VLOOKUP($A129,'Data shares'!$C:$FA,25)</f>
        <v>7.9</v>
      </c>
    </row>
    <row r="130" spans="1:7" x14ac:dyDescent="0.25">
      <c r="A130" s="101" t="str">
        <f>'Data shares'!C126</f>
        <v>MANAPPURAM</v>
      </c>
      <c r="B130" s="144">
        <f>VLOOKUP($A130,'Data shares'!$C:$FA,7)</f>
        <v>284.75</v>
      </c>
      <c r="C130" s="144">
        <f>VLOOKUP($A130,'Data shares'!$C:$FA,3)</f>
        <v>286.39999999999998</v>
      </c>
      <c r="D130" s="144">
        <f>VLOOKUP($A130,'Data shares'!$C:$FA,23)</f>
        <v>1.65</v>
      </c>
      <c r="E130" s="145">
        <f>VLOOKUP($A130,'Data shares'!$C:$FA,26)*100</f>
        <v>0.57999999999999996</v>
      </c>
      <c r="F130" s="144">
        <f>VLOOKUP($A130,'Data shares'!$C:$FA,24)</f>
        <v>0.85</v>
      </c>
      <c r="G130" s="144">
        <f>VLOOKUP($A130,'Data shares'!$C:$FA,25)</f>
        <v>0.8</v>
      </c>
    </row>
    <row r="131" spans="1:7" x14ac:dyDescent="0.25">
      <c r="A131" s="101" t="str">
        <f>'Data shares'!C127</f>
        <v>MANKIND</v>
      </c>
      <c r="B131" s="144">
        <f>VLOOKUP($A131,'Data shares'!$C:$FA,7)</f>
        <v>2459.9</v>
      </c>
      <c r="C131" s="144">
        <f>VLOOKUP($A131,'Data shares'!$C:$FA,3)</f>
        <v>2465</v>
      </c>
      <c r="D131" s="144">
        <f>VLOOKUP($A131,'Data shares'!$C:$FA,23)</f>
        <v>5.0999999999999996</v>
      </c>
      <c r="E131" s="145">
        <f>VLOOKUP($A131,'Data shares'!$C:$FA,26)*100</f>
        <v>0.21</v>
      </c>
      <c r="F131" s="144">
        <f>VLOOKUP($A131,'Data shares'!$C:$FA,24)</f>
        <v>4.0999999999999996</v>
      </c>
      <c r="G131" s="144">
        <f>VLOOKUP($A131,'Data shares'!$C:$FA,25)</f>
        <v>1</v>
      </c>
    </row>
    <row r="132" spans="1:7" x14ac:dyDescent="0.25">
      <c r="A132" s="101" t="str">
        <f>'Data shares'!C128</f>
        <v>MARICO</v>
      </c>
      <c r="B132" s="144">
        <f>VLOOKUP($A132,'Data shares'!$C:$FA,7)</f>
        <v>714.3</v>
      </c>
      <c r="C132" s="144">
        <f>VLOOKUP($A132,'Data shares'!$C:$FA,3)</f>
        <v>718.15</v>
      </c>
      <c r="D132" s="144">
        <f>VLOOKUP($A132,'Data shares'!$C:$FA,23)</f>
        <v>3.85</v>
      </c>
      <c r="E132" s="145">
        <f>VLOOKUP($A132,'Data shares'!$C:$FA,26)*100</f>
        <v>0.54</v>
      </c>
      <c r="F132" s="144">
        <f>VLOOKUP($A132,'Data shares'!$C:$FA,24)</f>
        <v>2.4</v>
      </c>
      <c r="G132" s="144">
        <f>VLOOKUP($A132,'Data shares'!$C:$FA,25)</f>
        <v>1.45</v>
      </c>
    </row>
    <row r="133" spans="1:7" x14ac:dyDescent="0.25">
      <c r="A133" s="101" t="str">
        <f>'Data shares'!C129</f>
        <v>MARUTI</v>
      </c>
      <c r="B133" s="144">
        <f>VLOOKUP($A133,'Data shares'!$C:$FA,7)</f>
        <v>16265</v>
      </c>
      <c r="C133" s="144">
        <f>VLOOKUP($A133,'Data shares'!$C:$FA,3)</f>
        <v>16349</v>
      </c>
      <c r="D133" s="144">
        <f>VLOOKUP($A133,'Data shares'!$C:$FA,23)</f>
        <v>84</v>
      </c>
      <c r="E133" s="145">
        <f>VLOOKUP($A133,'Data shares'!$C:$FA,26)*100</f>
        <v>0.52</v>
      </c>
      <c r="F133" s="144">
        <f>VLOOKUP($A133,'Data shares'!$C:$FA,24)</f>
        <v>19</v>
      </c>
      <c r="G133" s="144">
        <f>VLOOKUP($A133,'Data shares'!$C:$FA,25)</f>
        <v>65</v>
      </c>
    </row>
    <row r="134" spans="1:7" x14ac:dyDescent="0.25">
      <c r="A134" s="101" t="str">
        <f>'Data shares'!C130</f>
        <v>MAXHEALTH</v>
      </c>
      <c r="B134" s="144">
        <f>VLOOKUP($A134,'Data shares'!$C:$FA,7)</f>
        <v>1156.4000000000001</v>
      </c>
      <c r="C134" s="144">
        <f>VLOOKUP($A134,'Data shares'!$C:$FA,3)</f>
        <v>1159.4000000000001</v>
      </c>
      <c r="D134" s="144">
        <f>VLOOKUP($A134,'Data shares'!$C:$FA,23)</f>
        <v>3</v>
      </c>
      <c r="E134" s="145">
        <f>VLOOKUP($A134,'Data shares'!$C:$FA,26)*100</f>
        <v>0.26</v>
      </c>
      <c r="F134" s="144">
        <f>VLOOKUP($A134,'Data shares'!$C:$FA,24)</f>
        <v>3.4</v>
      </c>
      <c r="G134" s="144">
        <f>VLOOKUP($A134,'Data shares'!$C:$FA,25)</f>
        <v>-0.4</v>
      </c>
    </row>
    <row r="135" spans="1:7" x14ac:dyDescent="0.25">
      <c r="A135" s="101" t="str">
        <f>'Data shares'!C131</f>
        <v>MAZDOCK</v>
      </c>
      <c r="B135" s="144">
        <f>VLOOKUP($A135,'Data shares'!$C:$FA,7)</f>
        <v>2870.1</v>
      </c>
      <c r="C135" s="144">
        <f>VLOOKUP($A135,'Data shares'!$C:$FA,3)</f>
        <v>2876.6</v>
      </c>
      <c r="D135" s="144">
        <f>VLOOKUP($A135,'Data shares'!$C:$FA,23)</f>
        <v>6.5</v>
      </c>
      <c r="E135" s="145">
        <f>VLOOKUP($A135,'Data shares'!$C:$FA,26)*100</f>
        <v>0.22999999999999998</v>
      </c>
      <c r="F135" s="144">
        <f>VLOOKUP($A135,'Data shares'!$C:$FA,24)</f>
        <v>15.4</v>
      </c>
      <c r="G135" s="144">
        <f>VLOOKUP($A135,'Data shares'!$C:$FA,25)</f>
        <v>-8.9</v>
      </c>
    </row>
    <row r="136" spans="1:7" x14ac:dyDescent="0.25">
      <c r="A136" s="101" t="str">
        <f>'Data shares'!C132</f>
        <v>MCX</v>
      </c>
      <c r="B136" s="144">
        <f>VLOOKUP($A136,'Data shares'!$C:$FA,7)</f>
        <v>8688.5</v>
      </c>
      <c r="C136" s="144">
        <f>VLOOKUP($A136,'Data shares'!$C:$FA,3)</f>
        <v>8719.5</v>
      </c>
      <c r="D136" s="144">
        <f>VLOOKUP($A136,'Data shares'!$C:$FA,23)</f>
        <v>31</v>
      </c>
      <c r="E136" s="145">
        <f>VLOOKUP($A136,'Data shares'!$C:$FA,26)*100</f>
        <v>0.36</v>
      </c>
      <c r="F136" s="144">
        <f>VLOOKUP($A136,'Data shares'!$C:$FA,24)</f>
        <v>44.5</v>
      </c>
      <c r="G136" s="144">
        <f>VLOOKUP($A136,'Data shares'!$C:$FA,25)</f>
        <v>-13.5</v>
      </c>
    </row>
    <row r="137" spans="1:7" x14ac:dyDescent="0.25">
      <c r="A137" s="101" t="str">
        <f>'Data shares'!C133</f>
        <v>MFSL</v>
      </c>
      <c r="B137" s="144">
        <f>VLOOKUP($A137,'Data shares'!$C:$FA,7)</f>
        <v>1581.7</v>
      </c>
      <c r="C137" s="144">
        <f>VLOOKUP($A137,'Data shares'!$C:$FA,3)</f>
        <v>1590.1</v>
      </c>
      <c r="D137" s="144">
        <f>VLOOKUP($A137,'Data shares'!$C:$FA,23)</f>
        <v>8.4</v>
      </c>
      <c r="E137" s="145">
        <f>VLOOKUP($A137,'Data shares'!$C:$FA,26)*100</f>
        <v>0.53</v>
      </c>
      <c r="F137" s="144">
        <f>VLOOKUP($A137,'Data shares'!$C:$FA,24)</f>
        <v>5.2</v>
      </c>
      <c r="G137" s="144">
        <f>VLOOKUP($A137,'Data shares'!$C:$FA,25)</f>
        <v>3.2</v>
      </c>
    </row>
    <row r="138" spans="1:7" x14ac:dyDescent="0.25">
      <c r="A138" s="101" t="str">
        <f>'Data shares'!C134</f>
        <v>MIDCPNIFTY</v>
      </c>
      <c r="B138" s="144">
        <f>VLOOKUP($A138,'Data shares'!$C:$FA,7)</f>
        <v>13149.55</v>
      </c>
      <c r="C138" s="144">
        <f>VLOOKUP($A138,'Data shares'!$C:$FA,3)</f>
        <v>13216.55</v>
      </c>
      <c r="D138" s="144">
        <f>VLOOKUP($A138,'Data shares'!$C:$FA,23)</f>
        <v>67</v>
      </c>
      <c r="E138" s="145">
        <f>VLOOKUP($A138,'Data shares'!$C:$FA,26)*100</f>
        <v>0.51</v>
      </c>
      <c r="F138" s="144">
        <f>VLOOKUP($A138,'Data shares'!$C:$FA,24)</f>
        <v>66.2</v>
      </c>
      <c r="G138" s="144">
        <f>VLOOKUP($A138,'Data shares'!$C:$FA,25)</f>
        <v>0.8</v>
      </c>
    </row>
    <row r="139" spans="1:7" x14ac:dyDescent="0.25">
      <c r="A139" s="101" t="str">
        <f>'Data shares'!C135</f>
        <v>MOTHERSON</v>
      </c>
      <c r="B139" s="144">
        <f>VLOOKUP($A139,'Data shares'!$C:$FA,7)</f>
        <v>104.1</v>
      </c>
      <c r="C139" s="144">
        <f>VLOOKUP($A139,'Data shares'!$C:$FA,3)</f>
        <v>104.64</v>
      </c>
      <c r="D139" s="144">
        <f>VLOOKUP($A139,'Data shares'!$C:$FA,23)</f>
        <v>0.54</v>
      </c>
      <c r="E139" s="145">
        <f>VLOOKUP($A139,'Data shares'!$C:$FA,26)*100</f>
        <v>0.52</v>
      </c>
      <c r="F139" s="144">
        <f>VLOOKUP($A139,'Data shares'!$C:$FA,24)</f>
        <v>0.47</v>
      </c>
      <c r="G139" s="144">
        <f>VLOOKUP($A139,'Data shares'!$C:$FA,25)</f>
        <v>7.0000000000000007E-2</v>
      </c>
    </row>
    <row r="140" spans="1:7" x14ac:dyDescent="0.25">
      <c r="A140" s="101" t="str">
        <f>'Data shares'!C136</f>
        <v>MPHASIS</v>
      </c>
      <c r="B140" s="144">
        <f>VLOOKUP($A140,'Data shares'!$C:$FA,7)</f>
        <v>2783.2</v>
      </c>
      <c r="C140" s="144">
        <f>VLOOKUP($A140,'Data shares'!$C:$FA,3)</f>
        <v>2794.9</v>
      </c>
      <c r="D140" s="144">
        <f>VLOOKUP($A140,'Data shares'!$C:$FA,23)</f>
        <v>11.7</v>
      </c>
      <c r="E140" s="145">
        <f>VLOOKUP($A140,'Data shares'!$C:$FA,26)*100</f>
        <v>0.42</v>
      </c>
      <c r="F140" s="144">
        <f>VLOOKUP($A140,'Data shares'!$C:$FA,24)</f>
        <v>15.4</v>
      </c>
      <c r="G140" s="144">
        <f>VLOOKUP($A140,'Data shares'!$C:$FA,25)</f>
        <v>-3.7</v>
      </c>
    </row>
    <row r="141" spans="1:7" x14ac:dyDescent="0.25">
      <c r="A141" s="101" t="str">
        <f>'Data shares'!C137</f>
        <v>MUTHOOTFIN</v>
      </c>
      <c r="B141" s="144">
        <f>VLOOKUP($A141,'Data shares'!$C:$FA,7)</f>
        <v>3156.9</v>
      </c>
      <c r="C141" s="144">
        <f>VLOOKUP($A141,'Data shares'!$C:$FA,3)</f>
        <v>3175</v>
      </c>
      <c r="D141" s="144">
        <f>VLOOKUP($A141,'Data shares'!$C:$FA,23)</f>
        <v>18.100000000000001</v>
      </c>
      <c r="E141" s="145">
        <f>VLOOKUP($A141,'Data shares'!$C:$FA,26)*100</f>
        <v>0.57000000000000006</v>
      </c>
      <c r="F141" s="144">
        <f>VLOOKUP($A141,'Data shares'!$C:$FA,24)</f>
        <v>5</v>
      </c>
      <c r="G141" s="144">
        <f>VLOOKUP($A141,'Data shares'!$C:$FA,25)</f>
        <v>13.1</v>
      </c>
    </row>
    <row r="142" spans="1:7" x14ac:dyDescent="0.25">
      <c r="A142" s="101" t="str">
        <f>'Data shares'!C138</f>
        <v>NATIONALUM</v>
      </c>
      <c r="B142" s="144">
        <f>VLOOKUP($A142,'Data shares'!$C:$FA,7)</f>
        <v>224.3</v>
      </c>
      <c r="C142" s="144">
        <f>VLOOKUP($A142,'Data shares'!$C:$FA,3)</f>
        <v>225.25</v>
      </c>
      <c r="D142" s="144">
        <f>VLOOKUP($A142,'Data shares'!$C:$FA,23)</f>
        <v>0.95</v>
      </c>
      <c r="E142" s="145">
        <f>VLOOKUP($A142,'Data shares'!$C:$FA,26)*100</f>
        <v>0.42</v>
      </c>
      <c r="F142" s="144">
        <f>VLOOKUP($A142,'Data shares'!$C:$FA,24)</f>
        <v>1.2</v>
      </c>
      <c r="G142" s="144">
        <f>VLOOKUP($A142,'Data shares'!$C:$FA,25)</f>
        <v>-0.25</v>
      </c>
    </row>
    <row r="143" spans="1:7" x14ac:dyDescent="0.25">
      <c r="A143" s="101" t="str">
        <f>'Data shares'!C139</f>
        <v>NAUKRI</v>
      </c>
      <c r="B143" s="144">
        <f>VLOOKUP($A143,'Data shares'!$C:$FA,7)</f>
        <v>1333.1</v>
      </c>
      <c r="C143" s="144">
        <f>VLOOKUP($A143,'Data shares'!$C:$FA,3)</f>
        <v>1339.4</v>
      </c>
      <c r="D143" s="144">
        <f>VLOOKUP($A143,'Data shares'!$C:$FA,23)</f>
        <v>6.3</v>
      </c>
      <c r="E143" s="145">
        <f>VLOOKUP($A143,'Data shares'!$C:$FA,26)*100</f>
        <v>0.47000000000000003</v>
      </c>
      <c r="F143" s="144">
        <f>VLOOKUP($A143,'Data shares'!$C:$FA,24)</f>
        <v>5.3</v>
      </c>
      <c r="G143" s="144">
        <f>VLOOKUP($A143,'Data shares'!$C:$FA,25)</f>
        <v>1</v>
      </c>
    </row>
    <row r="144" spans="1:7" x14ac:dyDescent="0.25">
      <c r="A144" s="101" t="str">
        <f>'Data shares'!C140</f>
        <v>NBCC</v>
      </c>
      <c r="B144" s="144">
        <f>VLOOKUP($A144,'Data shares'!$C:$FA,7)</f>
        <v>112.66</v>
      </c>
      <c r="C144" s="144">
        <f>VLOOKUP($A144,'Data shares'!$C:$FA,3)</f>
        <v>113.27</v>
      </c>
      <c r="D144" s="144">
        <f>VLOOKUP($A144,'Data shares'!$C:$FA,23)</f>
        <v>0.61</v>
      </c>
      <c r="E144" s="145">
        <f>VLOOKUP($A144,'Data shares'!$C:$FA,26)*100</f>
        <v>0.54</v>
      </c>
      <c r="F144" s="144">
        <f>VLOOKUP($A144,'Data shares'!$C:$FA,24)</f>
        <v>0.69</v>
      </c>
      <c r="G144" s="144">
        <f>VLOOKUP($A144,'Data shares'!$C:$FA,25)</f>
        <v>-0.08</v>
      </c>
    </row>
    <row r="145" spans="1:7" x14ac:dyDescent="0.25">
      <c r="A145" s="101" t="str">
        <f>'Data shares'!C141</f>
        <v>NCC</v>
      </c>
      <c r="B145" s="144">
        <f>VLOOKUP($A145,'Data shares'!$C:$FA,7)</f>
        <v>210.78</v>
      </c>
      <c r="C145" s="144">
        <f>VLOOKUP($A145,'Data shares'!$C:$FA,3)</f>
        <v>211.88</v>
      </c>
      <c r="D145" s="144">
        <f>VLOOKUP($A145,'Data shares'!$C:$FA,23)</f>
        <v>1.1000000000000001</v>
      </c>
      <c r="E145" s="145">
        <f>VLOOKUP($A145,'Data shares'!$C:$FA,26)*100</f>
        <v>0.52</v>
      </c>
      <c r="F145" s="144">
        <f>VLOOKUP($A145,'Data shares'!$C:$FA,24)</f>
        <v>1.33</v>
      </c>
      <c r="G145" s="144">
        <f>VLOOKUP($A145,'Data shares'!$C:$FA,25)</f>
        <v>-0.23</v>
      </c>
    </row>
    <row r="146" spans="1:7" x14ac:dyDescent="0.25">
      <c r="A146" s="101" t="str">
        <f>'Data shares'!C142</f>
        <v>NESTLEIND</v>
      </c>
      <c r="B146" s="144">
        <f>VLOOKUP($A146,'Data shares'!$C:$FA,7)</f>
        <v>1199.5</v>
      </c>
      <c r="C146" s="144">
        <f>VLOOKUP($A146,'Data shares'!$C:$FA,3)</f>
        <v>1202.5999999999999</v>
      </c>
      <c r="D146" s="144">
        <f>VLOOKUP($A146,'Data shares'!$C:$FA,23)</f>
        <v>3.1</v>
      </c>
      <c r="E146" s="145">
        <f>VLOOKUP($A146,'Data shares'!$C:$FA,26)*100</f>
        <v>0.26</v>
      </c>
      <c r="F146" s="144">
        <f>VLOOKUP($A146,'Data shares'!$C:$FA,24)</f>
        <v>3.2</v>
      </c>
      <c r="G146" s="144">
        <f>VLOOKUP($A146,'Data shares'!$C:$FA,25)</f>
        <v>-0.1</v>
      </c>
    </row>
    <row r="147" spans="1:7" x14ac:dyDescent="0.25">
      <c r="A147" s="101" t="str">
        <f>'Data shares'!C143</f>
        <v>NHPC</v>
      </c>
      <c r="B147" s="144">
        <f>VLOOKUP($A147,'Data shares'!$C:$FA,7)</f>
        <v>86.94</v>
      </c>
      <c r="C147" s="144">
        <f>VLOOKUP($A147,'Data shares'!$C:$FA,3)</f>
        <v>87.39</v>
      </c>
      <c r="D147" s="144">
        <f>VLOOKUP($A147,'Data shares'!$C:$FA,23)</f>
        <v>0.45</v>
      </c>
      <c r="E147" s="145">
        <f>VLOOKUP($A147,'Data shares'!$C:$FA,26)*100</f>
        <v>0.52</v>
      </c>
      <c r="F147" s="144">
        <f>VLOOKUP($A147,'Data shares'!$C:$FA,24)</f>
        <v>0.49</v>
      </c>
      <c r="G147" s="144">
        <f>VLOOKUP($A147,'Data shares'!$C:$FA,25)</f>
        <v>-0.04</v>
      </c>
    </row>
    <row r="148" spans="1:7" x14ac:dyDescent="0.25">
      <c r="A148" s="101" t="str">
        <f>'Data shares'!C144</f>
        <v>NIFTY</v>
      </c>
      <c r="B148" s="144">
        <f>VLOOKUP($A148,'Data shares'!$C:$FA,7)</f>
        <v>25285.35</v>
      </c>
      <c r="C148" s="144">
        <f>VLOOKUP($A148,'Data shares'!$C:$FA,3)</f>
        <v>25411</v>
      </c>
      <c r="D148" s="144">
        <f>VLOOKUP($A148,'Data shares'!$C:$FA,23)</f>
        <v>125.65</v>
      </c>
      <c r="E148" s="145">
        <f>VLOOKUP($A148,'Data shares'!$C:$FA,26)*100</f>
        <v>0.5</v>
      </c>
      <c r="F148" s="144">
        <f>VLOOKUP($A148,'Data shares'!$C:$FA,24)</f>
        <v>92</v>
      </c>
      <c r="G148" s="144">
        <f>VLOOKUP($A148,'Data shares'!$C:$FA,25)</f>
        <v>33.65</v>
      </c>
    </row>
    <row r="149" spans="1:7" x14ac:dyDescent="0.25">
      <c r="A149" s="101" t="str">
        <f>'Data shares'!C145</f>
        <v>NIFTYNXT50</v>
      </c>
      <c r="B149" s="144">
        <f>VLOOKUP($A149,'Data shares'!$C:$FA,7)</f>
        <v>68687.25</v>
      </c>
      <c r="C149" s="144">
        <f>VLOOKUP($A149,'Data shares'!$C:$FA,3)</f>
        <v>68958.600000000006</v>
      </c>
      <c r="D149" s="144">
        <f>VLOOKUP($A149,'Data shares'!$C:$FA,23)</f>
        <v>271.35000000000002</v>
      </c>
      <c r="E149" s="145">
        <f>VLOOKUP($A149,'Data shares'!$C:$FA,26)*100</f>
        <v>0.4</v>
      </c>
      <c r="F149" s="144">
        <f>VLOOKUP($A149,'Data shares'!$C:$FA,24)</f>
        <v>257.75</v>
      </c>
      <c r="G149" s="144">
        <f>VLOOKUP($A149,'Data shares'!$C:$FA,25)</f>
        <v>13.6</v>
      </c>
    </row>
    <row r="150" spans="1:7" x14ac:dyDescent="0.25">
      <c r="A150" s="101" t="str">
        <f>'Data shares'!C146</f>
        <v>NMDC</v>
      </c>
      <c r="B150" s="144">
        <f>VLOOKUP($A150,'Data shares'!$C:$FA,7)</f>
        <v>77.13</v>
      </c>
      <c r="C150" s="144">
        <f>VLOOKUP($A150,'Data shares'!$C:$FA,3)</f>
        <v>77.36</v>
      </c>
      <c r="D150" s="144">
        <f>VLOOKUP($A150,'Data shares'!$C:$FA,23)</f>
        <v>0.23</v>
      </c>
      <c r="E150" s="145">
        <f>VLOOKUP($A150,'Data shares'!$C:$FA,26)*100</f>
        <v>0.3</v>
      </c>
      <c r="F150" s="144">
        <f>VLOOKUP($A150,'Data shares'!$C:$FA,24)</f>
        <v>0.31</v>
      </c>
      <c r="G150" s="144">
        <f>VLOOKUP($A150,'Data shares'!$C:$FA,25)</f>
        <v>-0.08</v>
      </c>
    </row>
    <row r="151" spans="1:7" x14ac:dyDescent="0.25">
      <c r="A151" s="101" t="str">
        <f>'Data shares'!C147</f>
        <v>NTPC</v>
      </c>
      <c r="B151" s="144">
        <f>VLOOKUP($A151,'Data shares'!$C:$FA,7)</f>
        <v>339.7</v>
      </c>
      <c r="C151" s="144">
        <f>VLOOKUP($A151,'Data shares'!$C:$FA,3)</f>
        <v>340.7</v>
      </c>
      <c r="D151" s="144">
        <f>VLOOKUP($A151,'Data shares'!$C:$FA,23)</f>
        <v>1</v>
      </c>
      <c r="E151" s="145">
        <f>VLOOKUP($A151,'Data shares'!$C:$FA,26)*100</f>
        <v>0.28999999999999998</v>
      </c>
      <c r="F151" s="144">
        <f>VLOOKUP($A151,'Data shares'!$C:$FA,24)</f>
        <v>0.75</v>
      </c>
      <c r="G151" s="144">
        <f>VLOOKUP($A151,'Data shares'!$C:$FA,25)</f>
        <v>0.25</v>
      </c>
    </row>
    <row r="152" spans="1:7" x14ac:dyDescent="0.25">
      <c r="A152" s="101" t="str">
        <f>'Data shares'!C148</f>
        <v>NUVAMA</v>
      </c>
      <c r="B152" s="144">
        <f>VLOOKUP($A152,'Data shares'!$C:$FA,7)</f>
        <v>7235.5</v>
      </c>
      <c r="C152" s="144">
        <f>VLOOKUP($A152,'Data shares'!$C:$FA,3)</f>
        <v>7246.5</v>
      </c>
      <c r="D152" s="144">
        <f>VLOOKUP($A152,'Data shares'!$C:$FA,23)</f>
        <v>11</v>
      </c>
      <c r="E152" s="145">
        <f>VLOOKUP($A152,'Data shares'!$C:$FA,26)*100</f>
        <v>0.15</v>
      </c>
      <c r="F152" s="144">
        <f>VLOOKUP($A152,'Data shares'!$C:$FA,24)</f>
        <v>43</v>
      </c>
      <c r="G152" s="144">
        <f>VLOOKUP($A152,'Data shares'!$C:$FA,25)</f>
        <v>-32</v>
      </c>
    </row>
    <row r="153" spans="1:7" x14ac:dyDescent="0.25">
      <c r="A153" s="101" t="str">
        <f>'Data shares'!C149</f>
        <v>NYKAA</v>
      </c>
      <c r="B153" s="144">
        <f>VLOOKUP($A153,'Data shares'!$C:$FA,7)</f>
        <v>265.19</v>
      </c>
      <c r="C153" s="144">
        <f>VLOOKUP($A153,'Data shares'!$C:$FA,3)</f>
        <v>264.39999999999998</v>
      </c>
      <c r="D153" s="144">
        <f>VLOOKUP($A153,'Data shares'!$C:$FA,23)</f>
        <v>-0.79</v>
      </c>
      <c r="E153" s="145">
        <f>VLOOKUP($A153,'Data shares'!$C:$FA,26)*100</f>
        <v>-0.3</v>
      </c>
      <c r="F153" s="144">
        <f>VLOOKUP($A153,'Data shares'!$C:$FA,24)</f>
        <v>-0.73</v>
      </c>
      <c r="G153" s="144">
        <f>VLOOKUP($A153,'Data shares'!$C:$FA,25)</f>
        <v>-0.06</v>
      </c>
    </row>
    <row r="154" spans="1:7" x14ac:dyDescent="0.25">
      <c r="A154" s="101" t="str">
        <f>'Data shares'!C150</f>
        <v>OBEROIRLTY</v>
      </c>
      <c r="B154" s="144">
        <f>VLOOKUP($A154,'Data shares'!$C:$FA,7)</f>
        <v>1599.6</v>
      </c>
      <c r="C154" s="144">
        <f>VLOOKUP($A154,'Data shares'!$C:$FA,3)</f>
        <v>1607.5</v>
      </c>
      <c r="D154" s="144">
        <f>VLOOKUP($A154,'Data shares'!$C:$FA,23)</f>
        <v>7.9</v>
      </c>
      <c r="E154" s="145">
        <f>VLOOKUP($A154,'Data shares'!$C:$FA,26)*100</f>
        <v>0.49</v>
      </c>
      <c r="F154" s="144">
        <f>VLOOKUP($A154,'Data shares'!$C:$FA,24)</f>
        <v>3.8</v>
      </c>
      <c r="G154" s="144">
        <f>VLOOKUP($A154,'Data shares'!$C:$FA,25)</f>
        <v>4.0999999999999996</v>
      </c>
    </row>
    <row r="155" spans="1:7" x14ac:dyDescent="0.25">
      <c r="A155" s="101" t="str">
        <f>'Data shares'!C151</f>
        <v>OFSS</v>
      </c>
      <c r="B155" s="144">
        <f>VLOOKUP($A155,'Data shares'!$C:$FA,7)</f>
        <v>9213</v>
      </c>
      <c r="C155" s="144">
        <f>VLOOKUP($A155,'Data shares'!$C:$FA,3)</f>
        <v>9266.5</v>
      </c>
      <c r="D155" s="144">
        <f>VLOOKUP($A155,'Data shares'!$C:$FA,23)</f>
        <v>53.5</v>
      </c>
      <c r="E155" s="145">
        <f>VLOOKUP($A155,'Data shares'!$C:$FA,26)*100</f>
        <v>0.57999999999999996</v>
      </c>
      <c r="F155" s="144">
        <f>VLOOKUP($A155,'Data shares'!$C:$FA,24)</f>
        <v>53.5</v>
      </c>
      <c r="G155" s="144">
        <f>VLOOKUP($A155,'Data shares'!$C:$FA,25)</f>
        <v>0</v>
      </c>
    </row>
    <row r="156" spans="1:7" x14ac:dyDescent="0.25">
      <c r="A156" s="101" t="str">
        <f>'Data shares'!C152</f>
        <v>OIL</v>
      </c>
      <c r="B156" s="144">
        <f>VLOOKUP($A156,'Data shares'!$C:$FA,7)</f>
        <v>418.2</v>
      </c>
      <c r="C156" s="144">
        <f>VLOOKUP($A156,'Data shares'!$C:$FA,3)</f>
        <v>417.9</v>
      </c>
      <c r="D156" s="144">
        <f>VLOOKUP($A156,'Data shares'!$C:$FA,23)</f>
        <v>-0.3</v>
      </c>
      <c r="E156" s="145">
        <f>VLOOKUP($A156,'Data shares'!$C:$FA,26)*100</f>
        <v>-6.9999999999999993E-2</v>
      </c>
      <c r="F156" s="144">
        <f>VLOOKUP($A156,'Data shares'!$C:$FA,24)</f>
        <v>1.35</v>
      </c>
      <c r="G156" s="144">
        <f>VLOOKUP($A156,'Data shares'!$C:$FA,25)</f>
        <v>-1.65</v>
      </c>
    </row>
    <row r="157" spans="1:7" x14ac:dyDescent="0.25">
      <c r="A157" s="101" t="str">
        <f>'Data shares'!C153</f>
        <v>ONGC</v>
      </c>
      <c r="B157" s="144">
        <f>VLOOKUP($A157,'Data shares'!$C:$FA,7)</f>
        <v>246.34</v>
      </c>
      <c r="C157" s="144">
        <f>VLOOKUP($A157,'Data shares'!$C:$FA,3)</f>
        <v>246.82</v>
      </c>
      <c r="D157" s="144">
        <f>VLOOKUP($A157,'Data shares'!$C:$FA,23)</f>
        <v>0.48</v>
      </c>
      <c r="E157" s="145">
        <f>VLOOKUP($A157,'Data shares'!$C:$FA,26)*100</f>
        <v>0.19</v>
      </c>
      <c r="F157" s="144">
        <f>VLOOKUP($A157,'Data shares'!$C:$FA,24)</f>
        <v>1.33</v>
      </c>
      <c r="G157" s="144">
        <f>VLOOKUP($A157,'Data shares'!$C:$FA,25)</f>
        <v>-0.85</v>
      </c>
    </row>
    <row r="158" spans="1:7" x14ac:dyDescent="0.25">
      <c r="A158" s="101" t="str">
        <f>'Data shares'!C154</f>
        <v>PAGEIND</v>
      </c>
      <c r="B158" s="144">
        <f>VLOOKUP($A158,'Data shares'!$C:$FA,7)</f>
        <v>41640</v>
      </c>
      <c r="C158" s="144">
        <f>VLOOKUP($A158,'Data shares'!$C:$FA,3)</f>
        <v>41440</v>
      </c>
      <c r="D158" s="144">
        <f>VLOOKUP($A158,'Data shares'!$C:$FA,23)</f>
        <v>-200</v>
      </c>
      <c r="E158" s="145">
        <f>VLOOKUP($A158,'Data shares'!$C:$FA,26)*100</f>
        <v>-0.48</v>
      </c>
      <c r="F158" s="144">
        <f>VLOOKUP($A158,'Data shares'!$C:$FA,24)</f>
        <v>-80</v>
      </c>
      <c r="G158" s="144">
        <f>VLOOKUP($A158,'Data shares'!$C:$FA,25)</f>
        <v>-120</v>
      </c>
    </row>
    <row r="159" spans="1:7" x14ac:dyDescent="0.25">
      <c r="A159" s="101" t="str">
        <f>'Data shares'!C155</f>
        <v>PATANJALI</v>
      </c>
      <c r="B159" s="144">
        <f>VLOOKUP($A159,'Data shares'!$C:$FA,7)</f>
        <v>594.1</v>
      </c>
      <c r="C159" s="144">
        <f>VLOOKUP($A159,'Data shares'!$C:$FA,3)</f>
        <v>594.75</v>
      </c>
      <c r="D159" s="144">
        <f>VLOOKUP($A159,'Data shares'!$C:$FA,23)</f>
        <v>0.65</v>
      </c>
      <c r="E159" s="145">
        <f>VLOOKUP($A159,'Data shares'!$C:$FA,26)*100</f>
        <v>0.11</v>
      </c>
      <c r="F159" s="144">
        <f>VLOOKUP($A159,'Data shares'!$C:$FA,24)</f>
        <v>2.7</v>
      </c>
      <c r="G159" s="144">
        <f>VLOOKUP($A159,'Data shares'!$C:$FA,25)</f>
        <v>-2.0499999999999998</v>
      </c>
    </row>
    <row r="160" spans="1:7" x14ac:dyDescent="0.25">
      <c r="A160" s="101" t="str">
        <f>'Data shares'!C156</f>
        <v>PAYTM</v>
      </c>
      <c r="B160" s="144">
        <f>VLOOKUP($A160,'Data shares'!$C:$FA,7)</f>
        <v>1236.9000000000001</v>
      </c>
      <c r="C160" s="144">
        <f>VLOOKUP($A160,'Data shares'!$C:$FA,3)</f>
        <v>1243.2</v>
      </c>
      <c r="D160" s="144">
        <f>VLOOKUP($A160,'Data shares'!$C:$FA,23)</f>
        <v>6.3</v>
      </c>
      <c r="E160" s="145">
        <f>VLOOKUP($A160,'Data shares'!$C:$FA,26)*100</f>
        <v>0.51</v>
      </c>
      <c r="F160" s="144">
        <f>VLOOKUP($A160,'Data shares'!$C:$FA,24)</f>
        <v>7.6</v>
      </c>
      <c r="G160" s="144">
        <f>VLOOKUP($A160,'Data shares'!$C:$FA,25)</f>
        <v>-1.3</v>
      </c>
    </row>
    <row r="161" spans="1:7" x14ac:dyDescent="0.25">
      <c r="A161" s="101" t="str">
        <f>'Data shares'!C157</f>
        <v>PERSISTENT</v>
      </c>
      <c r="B161" s="144">
        <f>VLOOKUP($A161,'Data shares'!$C:$FA,7)</f>
        <v>5357.7</v>
      </c>
      <c r="C161" s="144">
        <f>VLOOKUP($A161,'Data shares'!$C:$FA,3)</f>
        <v>5382.9</v>
      </c>
      <c r="D161" s="144">
        <f>VLOOKUP($A161,'Data shares'!$C:$FA,23)</f>
        <v>25.2</v>
      </c>
      <c r="E161" s="145">
        <f>VLOOKUP($A161,'Data shares'!$C:$FA,26)*100</f>
        <v>0.47000000000000003</v>
      </c>
      <c r="F161" s="144">
        <f>VLOOKUP($A161,'Data shares'!$C:$FA,24)</f>
        <v>29.2</v>
      </c>
      <c r="G161" s="144">
        <f>VLOOKUP($A161,'Data shares'!$C:$FA,25)</f>
        <v>-4</v>
      </c>
    </row>
    <row r="162" spans="1:7" x14ac:dyDescent="0.25">
      <c r="A162" s="101" t="str">
        <f>'Data shares'!C158</f>
        <v>PETRONET</v>
      </c>
      <c r="B162" s="144">
        <f>VLOOKUP($A162,'Data shares'!$C:$FA,7)</f>
        <v>281.45</v>
      </c>
      <c r="C162" s="144">
        <f>VLOOKUP($A162,'Data shares'!$C:$FA,3)</f>
        <v>282.55</v>
      </c>
      <c r="D162" s="144">
        <f>VLOOKUP($A162,'Data shares'!$C:$FA,23)</f>
        <v>1.1000000000000001</v>
      </c>
      <c r="E162" s="145">
        <f>VLOOKUP($A162,'Data shares'!$C:$FA,26)*100</f>
        <v>0.38999999999999996</v>
      </c>
      <c r="F162" s="144">
        <f>VLOOKUP($A162,'Data shares'!$C:$FA,24)</f>
        <v>1.7</v>
      </c>
      <c r="G162" s="144">
        <f>VLOOKUP($A162,'Data shares'!$C:$FA,25)</f>
        <v>-0.6</v>
      </c>
    </row>
    <row r="163" spans="1:7" x14ac:dyDescent="0.25">
      <c r="A163" s="101" t="str">
        <f>'Data shares'!C159</f>
        <v>PFC</v>
      </c>
      <c r="B163" s="144">
        <f>VLOOKUP($A163,'Data shares'!$C:$FA,7)</f>
        <v>403.85</v>
      </c>
      <c r="C163" s="144">
        <f>VLOOKUP($A163,'Data shares'!$C:$FA,3)</f>
        <v>405.8</v>
      </c>
      <c r="D163" s="144">
        <f>VLOOKUP($A163,'Data shares'!$C:$FA,23)</f>
        <v>1.95</v>
      </c>
      <c r="E163" s="145">
        <f>VLOOKUP($A163,'Data shares'!$C:$FA,26)*100</f>
        <v>0.48</v>
      </c>
      <c r="F163" s="144">
        <f>VLOOKUP($A163,'Data shares'!$C:$FA,24)</f>
        <v>1.25</v>
      </c>
      <c r="G163" s="144">
        <f>VLOOKUP($A163,'Data shares'!$C:$FA,25)</f>
        <v>0.7</v>
      </c>
    </row>
    <row r="164" spans="1:7" x14ac:dyDescent="0.25">
      <c r="A164" s="101" t="str">
        <f>'Data shares'!C160</f>
        <v>PGEL</v>
      </c>
      <c r="B164" s="144">
        <f>VLOOKUP($A164,'Data shares'!$C:$FA,7)</f>
        <v>585.95000000000005</v>
      </c>
      <c r="C164" s="144">
        <f>VLOOKUP($A164,'Data shares'!$C:$FA,3)</f>
        <v>589.25</v>
      </c>
      <c r="D164" s="144">
        <f>VLOOKUP($A164,'Data shares'!$C:$FA,23)</f>
        <v>3.3</v>
      </c>
      <c r="E164" s="145">
        <f>VLOOKUP($A164,'Data shares'!$C:$FA,26)*100</f>
        <v>0.55999999999999994</v>
      </c>
      <c r="F164" s="144">
        <f>VLOOKUP($A164,'Data shares'!$C:$FA,24)</f>
        <v>4.5</v>
      </c>
      <c r="G164" s="144">
        <f>VLOOKUP($A164,'Data shares'!$C:$FA,25)</f>
        <v>-1.2</v>
      </c>
    </row>
    <row r="165" spans="1:7" x14ac:dyDescent="0.25">
      <c r="A165" s="101" t="str">
        <f>'Data shares'!C161</f>
        <v>PHOENIXLTD</v>
      </c>
      <c r="B165" s="144">
        <f>VLOOKUP($A165,'Data shares'!$C:$FA,7)</f>
        <v>1597.8</v>
      </c>
      <c r="C165" s="144">
        <f>VLOOKUP($A165,'Data shares'!$C:$FA,3)</f>
        <v>1602.9</v>
      </c>
      <c r="D165" s="144">
        <f>VLOOKUP($A165,'Data shares'!$C:$FA,23)</f>
        <v>5.0999999999999996</v>
      </c>
      <c r="E165" s="145">
        <f>VLOOKUP($A165,'Data shares'!$C:$FA,26)*100</f>
        <v>0.32</v>
      </c>
      <c r="F165" s="144">
        <f>VLOOKUP($A165,'Data shares'!$C:$FA,24)</f>
        <v>7.8</v>
      </c>
      <c r="G165" s="144">
        <f>VLOOKUP($A165,'Data shares'!$C:$FA,25)</f>
        <v>-2.7</v>
      </c>
    </row>
    <row r="166" spans="1:7" x14ac:dyDescent="0.25">
      <c r="A166" s="101" t="str">
        <f>'Data shares'!C162</f>
        <v>PIDILITIND</v>
      </c>
      <c r="B166" s="144">
        <f>VLOOKUP($A166,'Data shares'!$C:$FA,7)</f>
        <v>1510.6</v>
      </c>
      <c r="C166" s="144">
        <f>VLOOKUP($A166,'Data shares'!$C:$FA,3)</f>
        <v>1514.9</v>
      </c>
      <c r="D166" s="144">
        <f>VLOOKUP($A166,'Data shares'!$C:$FA,23)</f>
        <v>4.3</v>
      </c>
      <c r="E166" s="145">
        <f>VLOOKUP($A166,'Data shares'!$C:$FA,26)*100</f>
        <v>0.27999999999999997</v>
      </c>
      <c r="F166" s="144">
        <f>VLOOKUP($A166,'Data shares'!$C:$FA,24)</f>
        <v>7.3</v>
      </c>
      <c r="G166" s="144">
        <f>VLOOKUP($A166,'Data shares'!$C:$FA,25)</f>
        <v>-3</v>
      </c>
    </row>
    <row r="167" spans="1:7" x14ac:dyDescent="0.25">
      <c r="A167" s="101" t="str">
        <f>'Data shares'!C163</f>
        <v>PIIND</v>
      </c>
      <c r="B167" s="144">
        <f>VLOOKUP($A167,'Data shares'!$C:$FA,7)</f>
        <v>3564.6</v>
      </c>
      <c r="C167" s="144">
        <f>VLOOKUP($A167,'Data shares'!$C:$FA,3)</f>
        <v>3583.2</v>
      </c>
      <c r="D167" s="144">
        <f>VLOOKUP($A167,'Data shares'!$C:$FA,23)</f>
        <v>18.600000000000001</v>
      </c>
      <c r="E167" s="145">
        <f>VLOOKUP($A167,'Data shares'!$C:$FA,26)*100</f>
        <v>0.52</v>
      </c>
      <c r="F167" s="144">
        <f>VLOOKUP($A167,'Data shares'!$C:$FA,24)</f>
        <v>15.8</v>
      </c>
      <c r="G167" s="144">
        <f>VLOOKUP($A167,'Data shares'!$C:$FA,25)</f>
        <v>2.8</v>
      </c>
    </row>
    <row r="168" spans="1:7" s="175" customFormat="1" x14ac:dyDescent="0.25">
      <c r="A168" s="101" t="str">
        <f>'Data shares'!C164</f>
        <v>PNB</v>
      </c>
      <c r="B168" s="144">
        <f>VLOOKUP($A168,'Data shares'!$C:$FA,7)</f>
        <v>117.24</v>
      </c>
      <c r="C168" s="144">
        <f>VLOOKUP($A168,'Data shares'!$C:$FA,3)</f>
        <v>117.65</v>
      </c>
      <c r="D168" s="144">
        <f>VLOOKUP($A168,'Data shares'!$C:$FA,23)</f>
        <v>0.41</v>
      </c>
      <c r="E168" s="145">
        <f>VLOOKUP($A168,'Data shares'!$C:$FA,26)*100</f>
        <v>0.35000000000000003</v>
      </c>
      <c r="F168" s="144">
        <f>VLOOKUP($A168,'Data shares'!$C:$FA,24)</f>
        <v>0.67</v>
      </c>
      <c r="G168" s="144">
        <f>VLOOKUP($A168,'Data shares'!$C:$FA,25)</f>
        <v>-0.26</v>
      </c>
    </row>
    <row r="169" spans="1:7" x14ac:dyDescent="0.25">
      <c r="A169" s="101" t="str">
        <f>'Data shares'!C165</f>
        <v>PNBHOUSING</v>
      </c>
      <c r="B169" s="144">
        <f>VLOOKUP($A169,'Data shares'!$C:$FA,7)</f>
        <v>853.6</v>
      </c>
      <c r="C169" s="144">
        <f>VLOOKUP($A169,'Data shares'!$C:$FA,3)</f>
        <v>858.35</v>
      </c>
      <c r="D169" s="144">
        <f>VLOOKUP($A169,'Data shares'!$C:$FA,23)</f>
        <v>4.75</v>
      </c>
      <c r="E169" s="145">
        <f>VLOOKUP($A169,'Data shares'!$C:$FA,26)*100</f>
        <v>0.55999999999999994</v>
      </c>
      <c r="F169" s="144">
        <f>VLOOKUP($A169,'Data shares'!$C:$FA,24)</f>
        <v>4.6500000000000004</v>
      </c>
      <c r="G169" s="144">
        <f>VLOOKUP($A169,'Data shares'!$C:$FA,25)</f>
        <v>0.1</v>
      </c>
    </row>
    <row r="170" spans="1:7" x14ac:dyDescent="0.25">
      <c r="A170" s="101" t="str">
        <f>'Data shares'!C166</f>
        <v>POLICYBZR</v>
      </c>
      <c r="B170" s="144">
        <f>VLOOKUP($A170,'Data shares'!$C:$FA,7)</f>
        <v>1745.4</v>
      </c>
      <c r="C170" s="144">
        <f>VLOOKUP($A170,'Data shares'!$C:$FA,3)</f>
        <v>1752.9</v>
      </c>
      <c r="D170" s="144">
        <f>VLOOKUP($A170,'Data shares'!$C:$FA,23)</f>
        <v>7.5</v>
      </c>
      <c r="E170" s="145">
        <f>VLOOKUP($A170,'Data shares'!$C:$FA,26)*100</f>
        <v>0.43</v>
      </c>
      <c r="F170" s="144">
        <f>VLOOKUP($A170,'Data shares'!$C:$FA,24)</f>
        <v>8.1999999999999993</v>
      </c>
      <c r="G170" s="144">
        <f>VLOOKUP($A170,'Data shares'!$C:$FA,25)</f>
        <v>-0.7</v>
      </c>
    </row>
    <row r="171" spans="1:7" x14ac:dyDescent="0.25">
      <c r="A171" s="101" t="str">
        <f>'Data shares'!C167</f>
        <v>POLYCAB</v>
      </c>
      <c r="B171" s="144">
        <f>VLOOKUP($A171,'Data shares'!$C:$FA,7)</f>
        <v>7730</v>
      </c>
      <c r="C171" s="144">
        <f>VLOOKUP($A171,'Data shares'!$C:$FA,3)</f>
        <v>7768.5</v>
      </c>
      <c r="D171" s="144">
        <f>VLOOKUP($A171,'Data shares'!$C:$FA,23)</f>
        <v>38.5</v>
      </c>
      <c r="E171" s="145">
        <f>VLOOKUP($A171,'Data shares'!$C:$FA,26)*100</f>
        <v>0.5</v>
      </c>
      <c r="F171" s="144">
        <f>VLOOKUP($A171,'Data shares'!$C:$FA,24)</f>
        <v>42</v>
      </c>
      <c r="G171" s="144">
        <f>VLOOKUP($A171,'Data shares'!$C:$FA,25)</f>
        <v>-3.5</v>
      </c>
    </row>
    <row r="172" spans="1:7" x14ac:dyDescent="0.25">
      <c r="A172" s="101" t="str">
        <f>'Data shares'!C168</f>
        <v>POWERGRID</v>
      </c>
      <c r="B172" s="144">
        <f>VLOOKUP($A172,'Data shares'!$C:$FA,7)</f>
        <v>289.14999999999998</v>
      </c>
      <c r="C172" s="144">
        <f>VLOOKUP($A172,'Data shares'!$C:$FA,3)</f>
        <v>289.60000000000002</v>
      </c>
      <c r="D172" s="144">
        <f>VLOOKUP($A172,'Data shares'!$C:$FA,23)</f>
        <v>0.45</v>
      </c>
      <c r="E172" s="145">
        <f>VLOOKUP($A172,'Data shares'!$C:$FA,26)*100</f>
        <v>0.16</v>
      </c>
      <c r="F172" s="144">
        <f>VLOOKUP($A172,'Data shares'!$C:$FA,24)</f>
        <v>0.75</v>
      </c>
      <c r="G172" s="144">
        <f>VLOOKUP($A172,'Data shares'!$C:$FA,25)</f>
        <v>-0.3</v>
      </c>
    </row>
    <row r="173" spans="1:7" x14ac:dyDescent="0.25">
      <c r="A173" s="101" t="str">
        <f>'Data shares'!C169</f>
        <v>POWERINDIA</v>
      </c>
      <c r="B173" s="144">
        <f>VLOOKUP($A173,'Data shares'!$C:$FA,7)</f>
        <v>17645</v>
      </c>
      <c r="C173" s="144">
        <f>VLOOKUP($A173,'Data shares'!$C:$FA,3)</f>
        <v>17716</v>
      </c>
      <c r="D173" s="144">
        <f>VLOOKUP($A173,'Data shares'!$C:$FA,23)</f>
        <v>71</v>
      </c>
      <c r="E173" s="145">
        <f>VLOOKUP($A173,'Data shares'!$C:$FA,26)*100</f>
        <v>0.4</v>
      </c>
      <c r="F173" s="144">
        <f>VLOOKUP($A173,'Data shares'!$C:$FA,24)</f>
        <v>109</v>
      </c>
      <c r="G173" s="144">
        <f>VLOOKUP($A173,'Data shares'!$C:$FA,25)</f>
        <v>-38</v>
      </c>
    </row>
    <row r="174" spans="1:7" x14ac:dyDescent="0.25">
      <c r="A174" s="101" t="str">
        <f>'Data shares'!C170</f>
        <v>PPLPHARMA</v>
      </c>
      <c r="B174" s="144">
        <f>VLOOKUP($A174,'Data shares'!$C:$FA,7)</f>
        <v>201.69</v>
      </c>
      <c r="C174" s="144">
        <f>VLOOKUP($A174,'Data shares'!$C:$FA,3)</f>
        <v>202.83</v>
      </c>
      <c r="D174" s="144">
        <f>VLOOKUP($A174,'Data shares'!$C:$FA,23)</f>
        <v>1.1399999999999999</v>
      </c>
      <c r="E174" s="145">
        <f>VLOOKUP($A174,'Data shares'!$C:$FA,26)*100</f>
        <v>0.57000000000000006</v>
      </c>
      <c r="F174" s="144">
        <f>VLOOKUP($A174,'Data shares'!$C:$FA,24)</f>
        <v>1.05</v>
      </c>
      <c r="G174" s="144">
        <f>VLOOKUP($A174,'Data shares'!$C:$FA,25)</f>
        <v>0.09</v>
      </c>
    </row>
    <row r="175" spans="1:7" x14ac:dyDescent="0.25">
      <c r="A175" s="101" t="str">
        <f>'Data shares'!C171</f>
        <v>PRESTIGE</v>
      </c>
      <c r="B175" s="144">
        <f>VLOOKUP($A175,'Data shares'!$C:$FA,7)</f>
        <v>1621.6</v>
      </c>
      <c r="C175" s="144">
        <f>VLOOKUP($A175,'Data shares'!$C:$FA,3)</f>
        <v>1627.9</v>
      </c>
      <c r="D175" s="144">
        <f>VLOOKUP($A175,'Data shares'!$C:$FA,23)</f>
        <v>6.3</v>
      </c>
      <c r="E175" s="145">
        <f>VLOOKUP($A175,'Data shares'!$C:$FA,26)*100</f>
        <v>0.38999999999999996</v>
      </c>
      <c r="F175" s="144">
        <f>VLOOKUP($A175,'Data shares'!$C:$FA,24)</f>
        <v>5</v>
      </c>
      <c r="G175" s="144">
        <f>VLOOKUP($A175,'Data shares'!$C:$FA,25)</f>
        <v>1.3</v>
      </c>
    </row>
    <row r="176" spans="1:7" x14ac:dyDescent="0.25">
      <c r="A176" s="101" t="str">
        <f>'Data shares'!C172</f>
        <v>RBLBANK</v>
      </c>
      <c r="B176" s="144">
        <f>VLOOKUP($A176,'Data shares'!$C:$FA,7)</f>
        <v>291.60000000000002</v>
      </c>
      <c r="C176" s="144">
        <f>VLOOKUP($A176,'Data shares'!$C:$FA,3)</f>
        <v>292.60000000000002</v>
      </c>
      <c r="D176" s="144">
        <f>VLOOKUP($A176,'Data shares'!$C:$FA,23)</f>
        <v>1</v>
      </c>
      <c r="E176" s="145">
        <f>VLOOKUP($A176,'Data shares'!$C:$FA,26)*100</f>
        <v>0.33999999999999997</v>
      </c>
      <c r="F176" s="144">
        <f>VLOOKUP($A176,'Data shares'!$C:$FA,24)</f>
        <v>1.05</v>
      </c>
      <c r="G176" s="144">
        <f>VLOOKUP($A176,'Data shares'!$C:$FA,25)</f>
        <v>-0.05</v>
      </c>
    </row>
    <row r="177" spans="1:7" x14ac:dyDescent="0.25">
      <c r="A177" s="101" t="str">
        <f>'Data shares'!C173</f>
        <v>RECLTD</v>
      </c>
      <c r="B177" s="144">
        <f>VLOOKUP($A177,'Data shares'!$C:$FA,7)</f>
        <v>372.95</v>
      </c>
      <c r="C177" s="144">
        <f>VLOOKUP($A177,'Data shares'!$C:$FA,3)</f>
        <v>374.65</v>
      </c>
      <c r="D177" s="144">
        <f>VLOOKUP($A177,'Data shares'!$C:$FA,23)</f>
        <v>1.7</v>
      </c>
      <c r="E177" s="145">
        <f>VLOOKUP($A177,'Data shares'!$C:$FA,26)*100</f>
        <v>0.45999999999999996</v>
      </c>
      <c r="F177" s="144">
        <f>VLOOKUP($A177,'Data shares'!$C:$FA,24)</f>
        <v>2.1</v>
      </c>
      <c r="G177" s="144">
        <f>VLOOKUP($A177,'Data shares'!$C:$FA,25)</f>
        <v>-0.4</v>
      </c>
    </row>
    <row r="178" spans="1:7" x14ac:dyDescent="0.25">
      <c r="A178" s="101" t="str">
        <f>'Data shares'!C174</f>
        <v>RELIANCE</v>
      </c>
      <c r="B178" s="144">
        <f>VLOOKUP($A178,'Data shares'!$C:$FA,7)</f>
        <v>1381.7</v>
      </c>
      <c r="C178" s="144">
        <f>VLOOKUP($A178,'Data shares'!$C:$FA,3)</f>
        <v>1387.8</v>
      </c>
      <c r="D178" s="144">
        <f>VLOOKUP($A178,'Data shares'!$C:$FA,23)</f>
        <v>6.1</v>
      </c>
      <c r="E178" s="145">
        <f>VLOOKUP($A178,'Data shares'!$C:$FA,26)*100</f>
        <v>0.44</v>
      </c>
      <c r="F178" s="144">
        <f>VLOOKUP($A178,'Data shares'!$C:$FA,24)</f>
        <v>4.0999999999999996</v>
      </c>
      <c r="G178" s="144">
        <f>VLOOKUP($A178,'Data shares'!$C:$FA,25)</f>
        <v>2</v>
      </c>
    </row>
    <row r="179" spans="1:7" x14ac:dyDescent="0.25">
      <c r="A179" s="101" t="str">
        <f>'Data shares'!C175</f>
        <v>RVNL</v>
      </c>
      <c r="B179" s="144">
        <f>VLOOKUP($A179,'Data shares'!$C:$FA,7)</f>
        <v>342</v>
      </c>
      <c r="C179" s="144">
        <f>VLOOKUP($A179,'Data shares'!$C:$FA,3)</f>
        <v>340.65</v>
      </c>
      <c r="D179" s="144">
        <f>VLOOKUP($A179,'Data shares'!$C:$FA,23)</f>
        <v>-1.35</v>
      </c>
      <c r="E179" s="145">
        <f>VLOOKUP($A179,'Data shares'!$C:$FA,26)*100</f>
        <v>-0.38999999999999996</v>
      </c>
      <c r="F179" s="144">
        <f>VLOOKUP($A179,'Data shares'!$C:$FA,24)</f>
        <v>-1</v>
      </c>
      <c r="G179" s="144">
        <f>VLOOKUP($A179,'Data shares'!$C:$FA,25)</f>
        <v>-0.35</v>
      </c>
    </row>
    <row r="180" spans="1:7" x14ac:dyDescent="0.25">
      <c r="A180" s="101" t="str">
        <f>'Data shares'!C176</f>
        <v>SAIL</v>
      </c>
      <c r="B180" s="144">
        <f>VLOOKUP($A180,'Data shares'!$C:$FA,7)</f>
        <v>132.16999999999999</v>
      </c>
      <c r="C180" s="144">
        <f>VLOOKUP($A180,'Data shares'!$C:$FA,3)</f>
        <v>132.71</v>
      </c>
      <c r="D180" s="144">
        <f>VLOOKUP($A180,'Data shares'!$C:$FA,23)</f>
        <v>0.54</v>
      </c>
      <c r="E180" s="145">
        <f>VLOOKUP($A180,'Data shares'!$C:$FA,26)*100</f>
        <v>0.41000000000000003</v>
      </c>
      <c r="F180" s="144">
        <f>VLOOKUP($A180,'Data shares'!$C:$FA,24)</f>
        <v>0.76</v>
      </c>
      <c r="G180" s="144">
        <f>VLOOKUP($A180,'Data shares'!$C:$FA,25)</f>
        <v>-0.22</v>
      </c>
    </row>
    <row r="181" spans="1:7" x14ac:dyDescent="0.25">
      <c r="A181" s="101" t="str">
        <f>'Data shares'!C177</f>
        <v>SAMMAANCAP</v>
      </c>
      <c r="B181" s="144">
        <f>VLOOKUP($A181,'Data shares'!$C:$FA,7)</f>
        <v>162.22</v>
      </c>
      <c r="C181" s="144">
        <f>VLOOKUP($A181,'Data shares'!$C:$FA,3)</f>
        <v>163.13</v>
      </c>
      <c r="D181" s="144">
        <f>VLOOKUP($A181,'Data shares'!$C:$FA,23)</f>
        <v>0.91</v>
      </c>
      <c r="E181" s="145">
        <f>VLOOKUP($A181,'Data shares'!$C:$FA,26)*100</f>
        <v>0.55999999999999994</v>
      </c>
      <c r="F181" s="144">
        <f>VLOOKUP($A181,'Data shares'!$C:$FA,24)</f>
        <v>1.1399999999999999</v>
      </c>
      <c r="G181" s="144">
        <f>VLOOKUP($A181,'Data shares'!$C:$FA,25)</f>
        <v>-0.23</v>
      </c>
    </row>
    <row r="182" spans="1:7" x14ac:dyDescent="0.25">
      <c r="A182" s="101" t="str">
        <f>'Data shares'!C178</f>
        <v>SBICARD</v>
      </c>
      <c r="B182" s="144">
        <f>VLOOKUP($A182,'Data shares'!$C:$FA,7)</f>
        <v>921.75</v>
      </c>
      <c r="C182" s="144">
        <f>VLOOKUP($A182,'Data shares'!$C:$FA,3)</f>
        <v>912.2</v>
      </c>
      <c r="D182" s="144">
        <f>VLOOKUP($A182,'Data shares'!$C:$FA,23)</f>
        <v>-9.5500000000000007</v>
      </c>
      <c r="E182" s="145">
        <f>VLOOKUP($A182,'Data shares'!$C:$FA,26)*100</f>
        <v>-1.04</v>
      </c>
      <c r="F182" s="144">
        <f>VLOOKUP($A182,'Data shares'!$C:$FA,24)</f>
        <v>-10.35</v>
      </c>
      <c r="G182" s="144">
        <f>VLOOKUP($A182,'Data shares'!$C:$FA,25)</f>
        <v>0.8</v>
      </c>
    </row>
    <row r="183" spans="1:7" x14ac:dyDescent="0.25">
      <c r="A183" s="101" t="str">
        <f>'Data shares'!C179</f>
        <v>SBILIFE</v>
      </c>
      <c r="B183" s="144">
        <f>VLOOKUP($A183,'Data shares'!$C:$FA,7)</f>
        <v>1810.4</v>
      </c>
      <c r="C183" s="144">
        <f>VLOOKUP($A183,'Data shares'!$C:$FA,3)</f>
        <v>1820.4</v>
      </c>
      <c r="D183" s="144">
        <f>VLOOKUP($A183,'Data shares'!$C:$FA,23)</f>
        <v>10</v>
      </c>
      <c r="E183" s="145">
        <f>VLOOKUP($A183,'Data shares'!$C:$FA,26)*100</f>
        <v>0.54999999999999993</v>
      </c>
      <c r="F183" s="144">
        <f>VLOOKUP($A183,'Data shares'!$C:$FA,24)</f>
        <v>7.3</v>
      </c>
      <c r="G183" s="144">
        <f>VLOOKUP($A183,'Data shares'!$C:$FA,25)</f>
        <v>2.7</v>
      </c>
    </row>
    <row r="184" spans="1:7" x14ac:dyDescent="0.25">
      <c r="A184" s="101" t="str">
        <f>'Data shares'!C180</f>
        <v>SBIN</v>
      </c>
      <c r="B184" s="144">
        <f>VLOOKUP($A184,'Data shares'!$C:$FA,7)</f>
        <v>880.65</v>
      </c>
      <c r="C184" s="144">
        <f>VLOOKUP($A184,'Data shares'!$C:$FA,3)</f>
        <v>883.35</v>
      </c>
      <c r="D184" s="144">
        <f>VLOOKUP($A184,'Data shares'!$C:$FA,23)</f>
        <v>2.7</v>
      </c>
      <c r="E184" s="145">
        <f>VLOOKUP($A184,'Data shares'!$C:$FA,26)*100</f>
        <v>0.31</v>
      </c>
      <c r="F184" s="144">
        <f>VLOOKUP($A184,'Data shares'!$C:$FA,24)</f>
        <v>4.75</v>
      </c>
      <c r="G184" s="144">
        <f>VLOOKUP($A184,'Data shares'!$C:$FA,25)</f>
        <v>-2.0499999999999998</v>
      </c>
    </row>
    <row r="185" spans="1:7" x14ac:dyDescent="0.25">
      <c r="A185" s="101" t="str">
        <f>'Data shares'!C181</f>
        <v>SHREECEM</v>
      </c>
      <c r="B185" s="144">
        <f>VLOOKUP($A185,'Data shares'!$C:$FA,7)</f>
        <v>29445</v>
      </c>
      <c r="C185" s="144">
        <f>VLOOKUP($A185,'Data shares'!$C:$FA,3)</f>
        <v>29605</v>
      </c>
      <c r="D185" s="144">
        <f>VLOOKUP($A185,'Data shares'!$C:$FA,23)</f>
        <v>160</v>
      </c>
      <c r="E185" s="145">
        <f>VLOOKUP($A185,'Data shares'!$C:$FA,26)*100</f>
        <v>0.54</v>
      </c>
      <c r="F185" s="144">
        <f>VLOOKUP($A185,'Data shares'!$C:$FA,24)</f>
        <v>170</v>
      </c>
      <c r="G185" s="144">
        <f>VLOOKUP($A185,'Data shares'!$C:$FA,25)</f>
        <v>-10</v>
      </c>
    </row>
    <row r="186" spans="1:7" x14ac:dyDescent="0.25">
      <c r="A186" s="101" t="str">
        <f>'Data shares'!C182</f>
        <v>SHRIRAMFIN</v>
      </c>
      <c r="B186" s="144">
        <f>VLOOKUP($A186,'Data shares'!$C:$FA,7)</f>
        <v>665.05</v>
      </c>
      <c r="C186" s="144">
        <f>VLOOKUP($A186,'Data shares'!$C:$FA,3)</f>
        <v>667.3</v>
      </c>
      <c r="D186" s="144">
        <f>VLOOKUP($A186,'Data shares'!$C:$FA,23)</f>
        <v>2.25</v>
      </c>
      <c r="E186" s="145">
        <f>VLOOKUP($A186,'Data shares'!$C:$FA,26)*100</f>
        <v>0.33999999999999997</v>
      </c>
      <c r="F186" s="144">
        <f>VLOOKUP($A186,'Data shares'!$C:$FA,24)</f>
        <v>2.65</v>
      </c>
      <c r="G186" s="144">
        <f>VLOOKUP($A186,'Data shares'!$C:$FA,25)</f>
        <v>-0.4</v>
      </c>
    </row>
    <row r="187" spans="1:7" x14ac:dyDescent="0.25">
      <c r="A187" s="101" t="str">
        <f>'Data shares'!C183</f>
        <v>SIEMENS</v>
      </c>
      <c r="B187" s="144">
        <f>VLOOKUP($A187,'Data shares'!$C:$FA,7)</f>
        <v>3147.4</v>
      </c>
      <c r="C187" s="144">
        <f>VLOOKUP($A187,'Data shares'!$C:$FA,3)</f>
        <v>3157.5</v>
      </c>
      <c r="D187" s="144">
        <f>VLOOKUP($A187,'Data shares'!$C:$FA,23)</f>
        <v>10.1</v>
      </c>
      <c r="E187" s="145">
        <f>VLOOKUP($A187,'Data shares'!$C:$FA,26)*100</f>
        <v>0.32</v>
      </c>
      <c r="F187" s="144">
        <f>VLOOKUP($A187,'Data shares'!$C:$FA,24)</f>
        <v>9.8000000000000007</v>
      </c>
      <c r="G187" s="144">
        <f>VLOOKUP($A187,'Data shares'!$C:$FA,25)</f>
        <v>0.3</v>
      </c>
    </row>
    <row r="188" spans="1:7" x14ac:dyDescent="0.25">
      <c r="A188" s="101" t="str">
        <f>'Data shares'!C184</f>
        <v>SOLARINDS</v>
      </c>
      <c r="B188" s="144">
        <f>VLOOKUP($A188,'Data shares'!$C:$FA,7)</f>
        <v>14110</v>
      </c>
      <c r="C188" s="144">
        <f>VLOOKUP($A188,'Data shares'!$C:$FA,3)</f>
        <v>14183</v>
      </c>
      <c r="D188" s="144">
        <f>VLOOKUP($A188,'Data shares'!$C:$FA,23)</f>
        <v>73</v>
      </c>
      <c r="E188" s="145">
        <f>VLOOKUP($A188,'Data shares'!$C:$FA,26)*100</f>
        <v>0.52</v>
      </c>
      <c r="F188" s="144">
        <f>VLOOKUP($A188,'Data shares'!$C:$FA,24)</f>
        <v>73</v>
      </c>
      <c r="G188" s="144">
        <f>VLOOKUP($A188,'Data shares'!$C:$FA,25)</f>
        <v>0</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shares'!C217</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25" activePane="bottomLeft" state="frozen"/>
      <selection pane="bottomLeft" activeCell="A32" sqref="A32"/>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50" t="s">
        <v>371</v>
      </c>
      <c r="C4" s="250"/>
      <c r="D4" s="250"/>
      <c r="E4" s="250"/>
      <c r="F4" s="250"/>
      <c r="G4" s="250"/>
    </row>
    <row r="5" spans="1:7" x14ac:dyDescent="0.25">
      <c r="A5" s="317"/>
      <c r="B5" s="315" t="s">
        <v>372</v>
      </c>
      <c r="C5" s="315"/>
      <c r="D5" s="315"/>
      <c r="E5" s="315" t="s">
        <v>373</v>
      </c>
      <c r="F5" s="315"/>
      <c r="G5" s="315"/>
    </row>
    <row r="6" spans="1:7" x14ac:dyDescent="0.25">
      <c r="A6" s="250"/>
      <c r="B6" s="2" t="s">
        <v>374</v>
      </c>
      <c r="C6" s="2" t="s">
        <v>375</v>
      </c>
      <c r="D6" s="2" t="s">
        <v>376</v>
      </c>
      <c r="E6" s="2" t="s">
        <v>377</v>
      </c>
      <c r="F6" s="2" t="s">
        <v>378</v>
      </c>
      <c r="G6" s="2" t="s">
        <v>379</v>
      </c>
    </row>
    <row r="7" spans="1:7" x14ac:dyDescent="0.25">
      <c r="A7" s="49" t="str">
        <f>'Data shares'!C2</f>
        <v>360ONE</v>
      </c>
      <c r="B7" s="50">
        <f>VLOOKUP($A7,'Data shares'!$C:$FM,102)</f>
        <v>30.12</v>
      </c>
      <c r="C7" s="50">
        <f>VLOOKUP($A7,'Data shares'!$C:$FM,110)</f>
        <v>30.1</v>
      </c>
      <c r="D7" s="50">
        <f>VLOOKUP($A7,'Data shares'!$C:$FM,114)</f>
        <v>30.28</v>
      </c>
      <c r="E7" s="50">
        <f>VLOOKUP($A7,'Data shares'!$C:$FM,106)</f>
        <v>46.15</v>
      </c>
      <c r="F7" s="50">
        <f>VLOOKUP($A7,'Data shares'!$C:$FM,108)</f>
        <v>-16.03</v>
      </c>
      <c r="G7" s="50">
        <f t="shared" ref="G7:G38" si="0">B7/E7</f>
        <v>0.65265438786565555</v>
      </c>
    </row>
    <row r="8" spans="1:7" x14ac:dyDescent="0.25">
      <c r="A8" s="49" t="str">
        <f>'Data shares'!C3</f>
        <v>ABB</v>
      </c>
      <c r="B8" s="50">
        <f>VLOOKUP($A8,'Data shares'!$C:$FM,102)</f>
        <v>25.3</v>
      </c>
      <c r="C8" s="50">
        <f>VLOOKUP($A8,'Data shares'!$C:$FM,110)</f>
        <v>25.25</v>
      </c>
      <c r="D8" s="50">
        <f>VLOOKUP($A8,'Data shares'!$C:$FM,114)</f>
        <v>25.46</v>
      </c>
      <c r="E8" s="50">
        <f>VLOOKUP($A8,'Data shares'!$C:$FM,106)</f>
        <v>36.869999999999997</v>
      </c>
      <c r="F8" s="50">
        <f>VLOOKUP($A8,'Data shares'!$C:$FM,108)</f>
        <v>-11.57</v>
      </c>
      <c r="G8" s="50">
        <f t="shared" si="0"/>
        <v>0.68619473826959598</v>
      </c>
    </row>
    <row r="9" spans="1:7" x14ac:dyDescent="0.25">
      <c r="A9" s="49" t="str">
        <f>'Data shares'!C4</f>
        <v>ABCAPITAL</v>
      </c>
      <c r="B9" s="50">
        <f>VLOOKUP($A9,'Data shares'!$C:$FM,102)</f>
        <v>30.77</v>
      </c>
      <c r="C9" s="50">
        <f>VLOOKUP($A9,'Data shares'!$C:$FM,110)</f>
        <v>31.21</v>
      </c>
      <c r="D9" s="50">
        <f>VLOOKUP($A9,'Data shares'!$C:$FM,114)</f>
        <v>29.62</v>
      </c>
      <c r="E9" s="50">
        <f>VLOOKUP($A9,'Data shares'!$C:$FM,106)</f>
        <v>40.49</v>
      </c>
      <c r="F9" s="50">
        <f>VLOOKUP($A9,'Data shares'!$C:$FM,108)</f>
        <v>-9.7200000000000006</v>
      </c>
      <c r="G9" s="50">
        <f t="shared" si="0"/>
        <v>0.75994072610521113</v>
      </c>
    </row>
    <row r="10" spans="1:7" x14ac:dyDescent="0.25">
      <c r="A10" s="49" t="str">
        <f>'Data shares'!C5</f>
        <v>ADANIENSOL</v>
      </c>
      <c r="B10" s="50">
        <f>VLOOKUP($A10,'Data shares'!$C:$FM,102)</f>
        <v>34.020000000000003</v>
      </c>
      <c r="C10" s="50">
        <f>VLOOKUP($A10,'Data shares'!$C:$FM,110)</f>
        <v>34.14</v>
      </c>
      <c r="D10" s="50">
        <f>VLOOKUP($A10,'Data shares'!$C:$FM,114)</f>
        <v>33.65</v>
      </c>
      <c r="E10" s="50">
        <f>VLOOKUP($A10,'Data shares'!$C:$FM,106)</f>
        <v>56.29</v>
      </c>
      <c r="F10" s="50">
        <f>VLOOKUP($A10,'Data shares'!$C:$FM,108)</f>
        <v>-22.27</v>
      </c>
      <c r="G10" s="50">
        <f t="shared" si="0"/>
        <v>0.60437022561733889</v>
      </c>
    </row>
    <row r="11" spans="1:7" x14ac:dyDescent="0.25">
      <c r="A11" s="49" t="str">
        <f>'Data shares'!C6</f>
        <v>ADANIENT</v>
      </c>
      <c r="B11" s="50">
        <f>VLOOKUP($A11,'Data shares'!$C:$FM,102)</f>
        <v>29.53</v>
      </c>
      <c r="C11" s="50">
        <f>VLOOKUP($A11,'Data shares'!$C:$FM,110)</f>
        <v>29.7</v>
      </c>
      <c r="D11" s="50">
        <f>VLOOKUP($A11,'Data shares'!$C:$FM,114)</f>
        <v>29.05</v>
      </c>
      <c r="E11" s="50">
        <f>VLOOKUP($A11,'Data shares'!$C:$FM,106)</f>
        <v>49.74</v>
      </c>
      <c r="F11" s="50">
        <f>VLOOKUP($A11,'Data shares'!$C:$FM,108)</f>
        <v>-20.21</v>
      </c>
      <c r="G11" s="50">
        <f t="shared" si="0"/>
        <v>0.59368717330116605</v>
      </c>
    </row>
    <row r="12" spans="1:7" x14ac:dyDescent="0.25">
      <c r="A12" s="49" t="str">
        <f>'Data shares'!C7</f>
        <v>ADANIGREEN</v>
      </c>
      <c r="B12" s="50">
        <f>VLOOKUP($A12,'Data shares'!$C:$FM,102)</f>
        <v>40</v>
      </c>
      <c r="C12" s="50">
        <f>VLOOKUP($A12,'Data shares'!$C:$FM,110)</f>
        <v>40.299999999999997</v>
      </c>
      <c r="D12" s="50">
        <f>VLOOKUP($A12,'Data shares'!$C:$FM,114)</f>
        <v>39.020000000000003</v>
      </c>
      <c r="E12" s="50">
        <f>VLOOKUP($A12,'Data shares'!$C:$FM,106)</f>
        <v>58.9</v>
      </c>
      <c r="F12" s="50">
        <f>VLOOKUP($A12,'Data shares'!$C:$FM,108)</f>
        <v>-18.899999999999999</v>
      </c>
      <c r="G12" s="50">
        <f t="shared" si="0"/>
        <v>0.6791171477079796</v>
      </c>
    </row>
    <row r="13" spans="1:7" x14ac:dyDescent="0.25">
      <c r="A13" s="49" t="str">
        <f>'Data shares'!C8</f>
        <v>ADANIPORTS</v>
      </c>
      <c r="B13" s="50">
        <f>VLOOKUP($A13,'Data shares'!$C:$FM,102)</f>
        <v>22.83</v>
      </c>
      <c r="C13" s="50">
        <f>VLOOKUP($A13,'Data shares'!$C:$FM,110)</f>
        <v>22.86</v>
      </c>
      <c r="D13" s="50">
        <f>VLOOKUP($A13,'Data shares'!$C:$FM,114)</f>
        <v>22.72</v>
      </c>
      <c r="E13" s="50">
        <f>VLOOKUP($A13,'Data shares'!$C:$FM,106)</f>
        <v>39.21</v>
      </c>
      <c r="F13" s="50">
        <f>VLOOKUP($A13,'Data shares'!$C:$FM,108)</f>
        <v>-16.38</v>
      </c>
      <c r="G13" s="50">
        <f t="shared" si="0"/>
        <v>0.58224942616679409</v>
      </c>
    </row>
    <row r="14" spans="1:7" x14ac:dyDescent="0.25">
      <c r="A14" s="49" t="str">
        <f>'Data shares'!C9</f>
        <v>ALKEM</v>
      </c>
      <c r="B14" s="50">
        <f>VLOOKUP($A14,'Data shares'!$C:$FM,102)</f>
        <v>22.57</v>
      </c>
      <c r="C14" s="50">
        <f>VLOOKUP($A14,'Data shares'!$C:$FM,110)</f>
        <v>22.32</v>
      </c>
      <c r="D14" s="50">
        <f>VLOOKUP($A14,'Data shares'!$C:$FM,114)</f>
        <v>23.48</v>
      </c>
      <c r="E14" s="50">
        <f>VLOOKUP($A14,'Data shares'!$C:$FM,106)</f>
        <v>28.09</v>
      </c>
      <c r="F14" s="50">
        <f>VLOOKUP($A14,'Data shares'!$C:$FM,108)</f>
        <v>-5.52</v>
      </c>
      <c r="G14" s="50">
        <f t="shared" si="0"/>
        <v>0.80348878604485585</v>
      </c>
    </row>
    <row r="15" spans="1:7" x14ac:dyDescent="0.25">
      <c r="A15" s="49" t="str">
        <f>'Data shares'!C10</f>
        <v>AMBER</v>
      </c>
      <c r="B15" s="50">
        <f>VLOOKUP($A15,'Data shares'!$C:$FM,102)</f>
        <v>34.619999999999997</v>
      </c>
      <c r="C15" s="50">
        <f>VLOOKUP($A15,'Data shares'!$C:$FM,110)</f>
        <v>34.58</v>
      </c>
      <c r="D15" s="50">
        <f>VLOOKUP($A15,'Data shares'!$C:$FM,114)</f>
        <v>34.78</v>
      </c>
      <c r="E15" s="50">
        <f>VLOOKUP($A15,'Data shares'!$C:$FM,106)</f>
        <v>55.22</v>
      </c>
      <c r="F15" s="50">
        <f>VLOOKUP($A15,'Data shares'!$C:$FM,108)</f>
        <v>-20.6</v>
      </c>
      <c r="G15" s="50">
        <f t="shared" si="0"/>
        <v>0.626946758420862</v>
      </c>
    </row>
    <row r="16" spans="1:7" x14ac:dyDescent="0.25">
      <c r="A16" s="49" t="str">
        <f>'Data shares'!C11</f>
        <v>AMBUJACEM</v>
      </c>
      <c r="B16" s="50">
        <f>VLOOKUP($A16,'Data shares'!$C:$FM,102)</f>
        <v>23.04</v>
      </c>
      <c r="C16" s="50">
        <f>VLOOKUP($A16,'Data shares'!$C:$FM,110)</f>
        <v>23.27</v>
      </c>
      <c r="D16" s="50">
        <f>VLOOKUP($A16,'Data shares'!$C:$FM,114)</f>
        <v>22.48</v>
      </c>
      <c r="E16" s="50">
        <f>VLOOKUP($A16,'Data shares'!$C:$FM,106)</f>
        <v>34.22</v>
      </c>
      <c r="F16" s="50">
        <f>VLOOKUP($A16,'Data shares'!$C:$FM,108)</f>
        <v>-11.18</v>
      </c>
      <c r="G16" s="50">
        <f t="shared" si="0"/>
        <v>0.67329047340736414</v>
      </c>
    </row>
    <row r="17" spans="1:7" x14ac:dyDescent="0.25">
      <c r="A17" s="49" t="str">
        <f>'Data shares'!C12</f>
        <v>ANGELONE</v>
      </c>
      <c r="B17" s="50">
        <f>VLOOKUP($A17,'Data shares'!$C:$FM,102)</f>
        <v>41.72</v>
      </c>
      <c r="C17" s="50">
        <f>VLOOKUP($A17,'Data shares'!$C:$FM,110)</f>
        <v>41.4</v>
      </c>
      <c r="D17" s="50">
        <f>VLOOKUP($A17,'Data shares'!$C:$FM,114)</f>
        <v>42.48</v>
      </c>
      <c r="E17" s="50">
        <f>VLOOKUP($A17,'Data shares'!$C:$FM,106)</f>
        <v>55.98</v>
      </c>
      <c r="F17" s="50">
        <f>VLOOKUP($A17,'Data shares'!$C:$FM,108)</f>
        <v>-14.26</v>
      </c>
      <c r="G17" s="50">
        <f t="shared" si="0"/>
        <v>0.74526616648803146</v>
      </c>
    </row>
    <row r="18" spans="1:7" x14ac:dyDescent="0.25">
      <c r="A18" s="49" t="str">
        <f>'Data shares'!C13</f>
        <v>APLAPOLLO</v>
      </c>
      <c r="B18" s="50">
        <f>VLOOKUP($A18,'Data shares'!$C:$FM,102)</f>
        <v>23.89</v>
      </c>
      <c r="C18" s="50">
        <f>VLOOKUP($A18,'Data shares'!$C:$FM,110)</f>
        <v>23.77</v>
      </c>
      <c r="D18" s="50">
        <f>VLOOKUP($A18,'Data shares'!$C:$FM,114)</f>
        <v>24.28</v>
      </c>
      <c r="E18" s="50">
        <f>VLOOKUP($A18,'Data shares'!$C:$FM,106)</f>
        <v>35.03</v>
      </c>
      <c r="F18" s="50">
        <f>VLOOKUP($A18,'Data shares'!$C:$FM,108)</f>
        <v>-11.14</v>
      </c>
      <c r="G18" s="50">
        <f t="shared" si="0"/>
        <v>0.68198686839851552</v>
      </c>
    </row>
    <row r="19" spans="1:7" x14ac:dyDescent="0.25">
      <c r="A19" s="49" t="str">
        <f>'Data shares'!C14</f>
        <v>APOLLOHOSP</v>
      </c>
      <c r="B19" s="50">
        <f>VLOOKUP($A19,'Data shares'!$C:$FM,102)</f>
        <v>17.170000000000002</v>
      </c>
      <c r="C19" s="50">
        <f>VLOOKUP($A19,'Data shares'!$C:$FM,110)</f>
        <v>17.2</v>
      </c>
      <c r="D19" s="50">
        <f>VLOOKUP($A19,'Data shares'!$C:$FM,114)</f>
        <v>17.11</v>
      </c>
      <c r="E19" s="50">
        <f>VLOOKUP($A19,'Data shares'!$C:$FM,106)</f>
        <v>26.64</v>
      </c>
      <c r="F19" s="50">
        <f>VLOOKUP($A19,'Data shares'!$C:$FM,108)</f>
        <v>-9.4700000000000006</v>
      </c>
      <c r="G19" s="50">
        <f t="shared" si="0"/>
        <v>0.64451951951951958</v>
      </c>
    </row>
    <row r="20" spans="1:7" x14ac:dyDescent="0.25">
      <c r="A20" s="49" t="str">
        <f>'Data shares'!C15</f>
        <v>ASHOKLEY</v>
      </c>
      <c r="B20" s="50">
        <f>VLOOKUP($A20,'Data shares'!$C:$FM,102)</f>
        <v>27.97</v>
      </c>
      <c r="C20" s="50">
        <f>VLOOKUP($A20,'Data shares'!$C:$FM,110)</f>
        <v>28.61</v>
      </c>
      <c r="D20" s="50">
        <f>VLOOKUP($A20,'Data shares'!$C:$FM,114)</f>
        <v>26.63</v>
      </c>
      <c r="E20" s="50">
        <f>VLOOKUP($A20,'Data shares'!$C:$FM,106)</f>
        <v>35.270000000000003</v>
      </c>
      <c r="F20" s="50">
        <f>VLOOKUP($A20,'Data shares'!$C:$FM,108)</f>
        <v>-7.3</v>
      </c>
      <c r="G20" s="50">
        <f t="shared" si="0"/>
        <v>0.79302523390983826</v>
      </c>
    </row>
    <row r="21" spans="1:7" x14ac:dyDescent="0.25">
      <c r="A21" s="49" t="str">
        <f>'Data shares'!C16</f>
        <v>ASIANPAINT</v>
      </c>
      <c r="B21" s="50">
        <f>VLOOKUP($A21,'Data shares'!$C:$FM,102)</f>
        <v>18.559999999999999</v>
      </c>
      <c r="C21" s="50">
        <f>VLOOKUP($A21,'Data shares'!$C:$FM,110)</f>
        <v>18.579999999999998</v>
      </c>
      <c r="D21" s="50">
        <f>VLOOKUP($A21,'Data shares'!$C:$FM,114)</f>
        <v>18.52</v>
      </c>
      <c r="E21" s="50">
        <f>VLOOKUP($A21,'Data shares'!$C:$FM,106)</f>
        <v>23.45</v>
      </c>
      <c r="F21" s="50">
        <f>VLOOKUP($A21,'Data shares'!$C:$FM,108)</f>
        <v>-4.8899999999999997</v>
      </c>
      <c r="G21" s="50">
        <f t="shared" si="0"/>
        <v>0.79147121535181231</v>
      </c>
    </row>
    <row r="22" spans="1:7" x14ac:dyDescent="0.25">
      <c r="A22" s="49" t="str">
        <f>'Data shares'!C17</f>
        <v>ASTRAL</v>
      </c>
      <c r="B22" s="50">
        <f>VLOOKUP($A22,'Data shares'!$C:$FM,102)</f>
        <v>26.46</v>
      </c>
      <c r="C22" s="50">
        <f>VLOOKUP($A22,'Data shares'!$C:$FM,110)</f>
        <v>26.51</v>
      </c>
      <c r="D22" s="50">
        <f>VLOOKUP($A22,'Data shares'!$C:$FM,114)</f>
        <v>26.3</v>
      </c>
      <c r="E22" s="50">
        <f>VLOOKUP($A22,'Data shares'!$C:$FM,106)</f>
        <v>33.71</v>
      </c>
      <c r="F22" s="50">
        <f>VLOOKUP($A22,'Data shares'!$C:$FM,108)</f>
        <v>-7.25</v>
      </c>
      <c r="G22" s="50">
        <f t="shared" si="0"/>
        <v>0.78493028774844265</v>
      </c>
    </row>
    <row r="23" spans="1:7" x14ac:dyDescent="0.25">
      <c r="A23" s="49" t="str">
        <f>'Data shares'!C18</f>
        <v>AUBANK</v>
      </c>
      <c r="B23" s="50">
        <f>VLOOKUP($A23,'Data shares'!$C:$FM,102)</f>
        <v>33.46</v>
      </c>
      <c r="C23" s="50">
        <f>VLOOKUP($A23,'Data shares'!$C:$FM,110)</f>
        <v>33.61</v>
      </c>
      <c r="D23" s="50">
        <f>VLOOKUP($A23,'Data shares'!$C:$FM,114)</f>
        <v>32.97</v>
      </c>
      <c r="E23" s="50">
        <f>VLOOKUP($A23,'Data shares'!$C:$FM,106)</f>
        <v>36.020000000000003</v>
      </c>
      <c r="F23" s="50">
        <f>VLOOKUP($A23,'Data shares'!$C:$FM,108)</f>
        <v>-2.56</v>
      </c>
      <c r="G23" s="50">
        <f t="shared" si="0"/>
        <v>0.92892837312604104</v>
      </c>
    </row>
    <row r="24" spans="1:7" x14ac:dyDescent="0.25">
      <c r="A24" s="49" t="str">
        <f>'Data shares'!C19</f>
        <v>AUROPHARMA</v>
      </c>
      <c r="B24" s="50">
        <f>VLOOKUP($A24,'Data shares'!$C:$FM,102)</f>
        <v>28.02</v>
      </c>
      <c r="C24" s="50">
        <f>VLOOKUP($A24,'Data shares'!$C:$FM,110)</f>
        <v>27.56</v>
      </c>
      <c r="D24" s="50">
        <f>VLOOKUP($A24,'Data shares'!$C:$FM,114)</f>
        <v>29.03</v>
      </c>
      <c r="E24" s="50">
        <f>VLOOKUP($A24,'Data shares'!$C:$FM,106)</f>
        <v>35.06</v>
      </c>
      <c r="F24" s="50">
        <f>VLOOKUP($A24,'Data shares'!$C:$FM,108)</f>
        <v>-7.04</v>
      </c>
      <c r="G24" s="50">
        <f t="shared" si="0"/>
        <v>0.79920136908157435</v>
      </c>
    </row>
    <row r="25" spans="1:7" x14ac:dyDescent="0.25">
      <c r="A25" s="49" t="str">
        <f>'Data shares'!C20</f>
        <v>AXISBANK</v>
      </c>
      <c r="B25" s="50">
        <f>VLOOKUP($A25,'Data shares'!$C:$FM,102)</f>
        <v>23.44</v>
      </c>
      <c r="C25" s="50">
        <f>VLOOKUP($A25,'Data shares'!$C:$FM,110)</f>
        <v>23.48</v>
      </c>
      <c r="D25" s="50">
        <f>VLOOKUP($A25,'Data shares'!$C:$FM,114)</f>
        <v>23.37</v>
      </c>
      <c r="E25" s="50">
        <f>VLOOKUP($A25,'Data shares'!$C:$FM,106)</f>
        <v>27.01</v>
      </c>
      <c r="F25" s="50">
        <f>VLOOKUP($A25,'Data shares'!$C:$FM,108)</f>
        <v>-3.57</v>
      </c>
      <c r="G25" s="50">
        <f t="shared" si="0"/>
        <v>0.86782673084042949</v>
      </c>
    </row>
    <row r="26" spans="1:7" x14ac:dyDescent="0.25">
      <c r="A26" s="49" t="str">
        <f>'Data shares'!C21</f>
        <v>BAJAJ-AUTO</v>
      </c>
      <c r="B26" s="50">
        <f>VLOOKUP($A26,'Data shares'!$C:$FM,102)</f>
        <v>24.57</v>
      </c>
      <c r="C26" s="50">
        <f>VLOOKUP($A26,'Data shares'!$C:$FM,110)</f>
        <v>24.5</v>
      </c>
      <c r="D26" s="50">
        <f>VLOOKUP($A26,'Data shares'!$C:$FM,114)</f>
        <v>24.77</v>
      </c>
      <c r="E26" s="50">
        <f>VLOOKUP($A26,'Data shares'!$C:$FM,106)</f>
        <v>30.65</v>
      </c>
      <c r="F26" s="50">
        <f>VLOOKUP($A26,'Data shares'!$C:$FM,108)</f>
        <v>-6.08</v>
      </c>
      <c r="G26" s="50">
        <f t="shared" si="0"/>
        <v>0.80163132137031001</v>
      </c>
    </row>
    <row r="27" spans="1:7" x14ac:dyDescent="0.25">
      <c r="A27" s="49" t="str">
        <f>'Data shares'!C22</f>
        <v>BAJAJFINSV</v>
      </c>
      <c r="B27" s="50">
        <f>VLOOKUP($A27,'Data shares'!$C:$FM,102)</f>
        <v>22.62</v>
      </c>
      <c r="C27" s="50">
        <f>VLOOKUP($A27,'Data shares'!$C:$FM,110)</f>
        <v>22.53</v>
      </c>
      <c r="D27" s="50">
        <f>VLOOKUP($A27,'Data shares'!$C:$FM,114)</f>
        <v>22.79</v>
      </c>
      <c r="E27" s="50">
        <f>VLOOKUP($A27,'Data shares'!$C:$FM,106)</f>
        <v>28.11</v>
      </c>
      <c r="F27" s="50">
        <f>VLOOKUP($A27,'Data shares'!$C:$FM,108)</f>
        <v>-5.49</v>
      </c>
      <c r="G27" s="50">
        <f t="shared" si="0"/>
        <v>0.80469583778014941</v>
      </c>
    </row>
    <row r="28" spans="1:7" x14ac:dyDescent="0.25">
      <c r="A28" s="49" t="str">
        <f>'Data shares'!C23</f>
        <v>BAJFINANCE</v>
      </c>
      <c r="B28" s="50">
        <f>VLOOKUP($A28,'Data shares'!$C:$FM,102)</f>
        <v>25.98</v>
      </c>
      <c r="C28" s="50">
        <f>VLOOKUP($A28,'Data shares'!$C:$FM,110)</f>
        <v>25.71</v>
      </c>
      <c r="D28" s="50">
        <f>VLOOKUP($A28,'Data shares'!$C:$FM,114)</f>
        <v>26.55</v>
      </c>
      <c r="E28" s="50">
        <f>VLOOKUP($A28,'Data shares'!$C:$FM,106)</f>
        <v>31.11</v>
      </c>
      <c r="F28" s="50">
        <f>VLOOKUP($A28,'Data shares'!$C:$FM,108)</f>
        <v>-5.13</v>
      </c>
      <c r="G28" s="50">
        <f t="shared" si="0"/>
        <v>0.83510125361620058</v>
      </c>
    </row>
    <row r="29" spans="1:7" x14ac:dyDescent="0.25">
      <c r="A29" s="49" t="str">
        <f>'Data shares'!C24</f>
        <v>BANDHANBNK</v>
      </c>
      <c r="B29" s="50">
        <f>VLOOKUP($A29,'Data shares'!$C:$FM,102)</f>
        <v>35.71</v>
      </c>
      <c r="C29" s="50">
        <f>VLOOKUP($A29,'Data shares'!$C:$FM,110)</f>
        <v>35.18</v>
      </c>
      <c r="D29" s="50">
        <f>VLOOKUP($A29,'Data shares'!$C:$FM,114)</f>
        <v>36.79</v>
      </c>
      <c r="E29" s="50">
        <f>VLOOKUP($A29,'Data shares'!$C:$FM,106)</f>
        <v>42.14</v>
      </c>
      <c r="F29" s="50">
        <f>VLOOKUP($A29,'Data shares'!$C:$FM,108)</f>
        <v>-6.43</v>
      </c>
      <c r="G29" s="50">
        <f t="shared" si="0"/>
        <v>0.84741338395823451</v>
      </c>
    </row>
    <row r="30" spans="1:7" x14ac:dyDescent="0.25">
      <c r="A30" s="49" t="str">
        <f>'Data shares'!C25</f>
        <v>BANKBARODA</v>
      </c>
      <c r="B30" s="50">
        <f>VLOOKUP($A30,'Data shares'!$C:$FM,102)</f>
        <v>26.2</v>
      </c>
      <c r="C30" s="50">
        <f>VLOOKUP($A30,'Data shares'!$C:$FM,110)</f>
        <v>26.25</v>
      </c>
      <c r="D30" s="50">
        <f>VLOOKUP($A30,'Data shares'!$C:$FM,114)</f>
        <v>26.06</v>
      </c>
      <c r="E30" s="50">
        <f>VLOOKUP($A30,'Data shares'!$C:$FM,106)</f>
        <v>35.58</v>
      </c>
      <c r="F30" s="50">
        <f>VLOOKUP($A30,'Data shares'!$C:$FM,108)</f>
        <v>-9.3800000000000008</v>
      </c>
      <c r="G30" s="50">
        <f t="shared" si="0"/>
        <v>0.73636874648679029</v>
      </c>
    </row>
    <row r="31" spans="1:7" x14ac:dyDescent="0.25">
      <c r="A31" s="49" t="str">
        <f>'Data shares'!C26</f>
        <v>BANKINDIA</v>
      </c>
      <c r="B31" s="50">
        <f>VLOOKUP($A31,'Data shares'!$C:$FM,102)</f>
        <v>27.7</v>
      </c>
      <c r="C31" s="50">
        <f>VLOOKUP($A31,'Data shares'!$C:$FM,110)</f>
        <v>27.61</v>
      </c>
      <c r="D31" s="50">
        <f>VLOOKUP($A31,'Data shares'!$C:$FM,114)</f>
        <v>27.97</v>
      </c>
      <c r="E31" s="50">
        <f>VLOOKUP($A31,'Data shares'!$C:$FM,106)</f>
        <v>39.53</v>
      </c>
      <c r="F31" s="50">
        <f>VLOOKUP($A31,'Data shares'!$C:$FM,108)</f>
        <v>-11.83</v>
      </c>
      <c r="G31" s="50">
        <f t="shared" si="0"/>
        <v>0.70073362003541606</v>
      </c>
    </row>
    <row r="32" spans="1:7" x14ac:dyDescent="0.25">
      <c r="A32" s="49" t="str">
        <f>'Data shares'!C27</f>
        <v>BANKNIFTY</v>
      </c>
      <c r="B32" s="50">
        <f>VLOOKUP($A32,'Data shares'!$C:$FM,102)</f>
        <v>11.23</v>
      </c>
      <c r="C32" s="50">
        <f>VLOOKUP($A32,'Data shares'!$C:$FM,110)</f>
        <v>10.26</v>
      </c>
      <c r="D32" s="50">
        <f>VLOOKUP($A32,'Data shares'!$C:$FM,114)</f>
        <v>12.4</v>
      </c>
      <c r="E32" s="50">
        <f>VLOOKUP($A32,'Data shares'!$C:$FM,106)</f>
        <v>17.32</v>
      </c>
      <c r="F32" s="50">
        <f>VLOOKUP($A32,'Data shares'!$C:$FM,108)</f>
        <v>-6.09</v>
      </c>
      <c r="G32" s="50">
        <f t="shared" si="0"/>
        <v>0.64838337182448036</v>
      </c>
    </row>
    <row r="33" spans="1:7" x14ac:dyDescent="0.25">
      <c r="A33" s="49" t="str">
        <f>'Data shares'!C28</f>
        <v>BDL</v>
      </c>
      <c r="B33" s="50">
        <f>VLOOKUP($A33,'Data shares'!$C:$FM,102)</f>
        <v>33.97</v>
      </c>
      <c r="C33" s="50">
        <f>VLOOKUP($A33,'Data shares'!$C:$FM,110)</f>
        <v>34.270000000000003</v>
      </c>
      <c r="D33" s="50">
        <f>VLOOKUP($A33,'Data shares'!$C:$FM,114)</f>
        <v>33.020000000000003</v>
      </c>
      <c r="E33" s="50">
        <f>VLOOKUP($A33,'Data shares'!$C:$FM,106)</f>
        <v>53.33</v>
      </c>
      <c r="F33" s="50">
        <f>VLOOKUP($A33,'Data shares'!$C:$FM,108)</f>
        <v>-19.36</v>
      </c>
      <c r="G33" s="50">
        <f t="shared" si="0"/>
        <v>0.63697731108194267</v>
      </c>
    </row>
    <row r="34" spans="1:7" x14ac:dyDescent="0.25">
      <c r="A34" s="49" t="str">
        <f>'Data shares'!C29</f>
        <v>BEL</v>
      </c>
      <c r="B34" s="50">
        <f>VLOOKUP($A34,'Data shares'!$C:$FM,102)</f>
        <v>22.49</v>
      </c>
      <c r="C34" s="50">
        <f>VLOOKUP($A34,'Data shares'!$C:$FM,110)</f>
        <v>22.62</v>
      </c>
      <c r="D34" s="50">
        <f>VLOOKUP($A34,'Data shares'!$C:$FM,114)</f>
        <v>22.22</v>
      </c>
      <c r="E34" s="50">
        <f>VLOOKUP($A34,'Data shares'!$C:$FM,106)</f>
        <v>37.869999999999997</v>
      </c>
      <c r="F34" s="50">
        <f>VLOOKUP($A34,'Data shares'!$C:$FM,108)</f>
        <v>-15.38</v>
      </c>
      <c r="G34" s="50">
        <f t="shared" si="0"/>
        <v>0.59387377871666225</v>
      </c>
    </row>
    <row r="35" spans="1:7" x14ac:dyDescent="0.25">
      <c r="A35" s="49" t="str">
        <f>'Data shares'!C30</f>
        <v>BHARATFORG</v>
      </c>
      <c r="B35" s="50">
        <f>VLOOKUP($A35,'Data shares'!$C:$FM,102)</f>
        <v>28.12</v>
      </c>
      <c r="C35" s="50">
        <f>VLOOKUP($A35,'Data shares'!$C:$FM,110)</f>
        <v>28.07</v>
      </c>
      <c r="D35" s="50">
        <f>VLOOKUP($A35,'Data shares'!$C:$FM,114)</f>
        <v>28.25</v>
      </c>
      <c r="E35" s="50">
        <f>VLOOKUP($A35,'Data shares'!$C:$FM,106)</f>
        <v>38.65</v>
      </c>
      <c r="F35" s="50">
        <f>VLOOKUP($A35,'Data shares'!$C:$FM,108)</f>
        <v>-10.53</v>
      </c>
      <c r="G35" s="50">
        <f t="shared" si="0"/>
        <v>0.72755498059508417</v>
      </c>
    </row>
    <row r="36" spans="1:7" x14ac:dyDescent="0.25">
      <c r="A36" s="49" t="str">
        <f>'Data shares'!C31</f>
        <v>BHARTIARTL</v>
      </c>
      <c r="B36" s="50">
        <f>VLOOKUP($A36,'Data shares'!$C:$FM,102)</f>
        <v>14.25</v>
      </c>
      <c r="C36" s="50">
        <f>VLOOKUP($A36,'Data shares'!$C:$FM,110)</f>
        <v>13.93</v>
      </c>
      <c r="D36" s="50">
        <f>VLOOKUP($A36,'Data shares'!$C:$FM,114)</f>
        <v>14.88</v>
      </c>
      <c r="E36" s="50">
        <f>VLOOKUP($A36,'Data shares'!$C:$FM,106)</f>
        <v>24.76</v>
      </c>
      <c r="F36" s="50">
        <f>VLOOKUP($A36,'Data shares'!$C:$FM,108)</f>
        <v>-10.51</v>
      </c>
      <c r="G36" s="50">
        <f t="shared" si="0"/>
        <v>0.57552504038772212</v>
      </c>
    </row>
    <row r="37" spans="1:7" x14ac:dyDescent="0.25">
      <c r="A37" s="49" t="str">
        <f>'Data shares'!C32</f>
        <v>BHEL</v>
      </c>
      <c r="B37" s="50">
        <f>VLOOKUP($A37,'Data shares'!$C:$FM,102)</f>
        <v>27.9</v>
      </c>
      <c r="C37" s="50">
        <f>VLOOKUP($A37,'Data shares'!$C:$FM,110)</f>
        <v>28.16</v>
      </c>
      <c r="D37" s="50">
        <f>VLOOKUP($A37,'Data shares'!$C:$FM,114)</f>
        <v>27.42</v>
      </c>
      <c r="E37" s="50">
        <f>VLOOKUP($A37,'Data shares'!$C:$FM,106)</f>
        <v>46.12</v>
      </c>
      <c r="F37" s="50">
        <f>VLOOKUP($A37,'Data shares'!$C:$FM,108)</f>
        <v>-18.22</v>
      </c>
      <c r="G37" s="50">
        <f t="shared" si="0"/>
        <v>0.60494362532523849</v>
      </c>
    </row>
    <row r="38" spans="1:7" x14ac:dyDescent="0.25">
      <c r="A38" s="49" t="str">
        <f>'Data shares'!C33</f>
        <v>BIOCON</v>
      </c>
      <c r="B38" s="50">
        <f>VLOOKUP($A38,'Data shares'!$C:$FM,102)</f>
        <v>25.5</v>
      </c>
      <c r="C38" s="50">
        <f>VLOOKUP($A38,'Data shares'!$C:$FM,110)</f>
        <v>25.37</v>
      </c>
      <c r="D38" s="50">
        <f>VLOOKUP($A38,'Data shares'!$C:$FM,114)</f>
        <v>25.8</v>
      </c>
      <c r="E38" s="50">
        <f>VLOOKUP($A38,'Data shares'!$C:$FM,106)</f>
        <v>39.54</v>
      </c>
      <c r="F38" s="50">
        <f>VLOOKUP($A38,'Data shares'!$C:$FM,108)</f>
        <v>-14.04</v>
      </c>
      <c r="G38" s="50">
        <f t="shared" si="0"/>
        <v>0.64491654021244316</v>
      </c>
    </row>
    <row r="39" spans="1:7" x14ac:dyDescent="0.25">
      <c r="A39" s="49" t="str">
        <f>'Data shares'!C34</f>
        <v>BLUESTARCO</v>
      </c>
      <c r="B39" s="50">
        <f>VLOOKUP($A39,'Data shares'!$C:$FM,102)</f>
        <v>28.27</v>
      </c>
      <c r="C39" s="50">
        <f>VLOOKUP($A39,'Data shares'!$C:$FM,110)</f>
        <v>28.25</v>
      </c>
      <c r="D39" s="50">
        <f>VLOOKUP($A39,'Data shares'!$C:$FM,114)</f>
        <v>28.35</v>
      </c>
      <c r="E39" s="50">
        <f>VLOOKUP($A39,'Data shares'!$C:$FM,106)</f>
        <v>42.18</v>
      </c>
      <c r="F39" s="50">
        <f>VLOOKUP($A39,'Data shares'!$C:$FM,108)</f>
        <v>-13.91</v>
      </c>
      <c r="G39" s="50">
        <f t="shared" ref="G39:G70" si="1">B39/E39</f>
        <v>0.6702228544333807</v>
      </c>
    </row>
    <row r="40" spans="1:7" x14ac:dyDescent="0.25">
      <c r="A40" s="49" t="str">
        <f>'Data shares'!C35</f>
        <v>BOSCHLTD</v>
      </c>
      <c r="B40" s="50">
        <f>VLOOKUP($A40,'Data shares'!$C:$FM,102)</f>
        <v>19.98</v>
      </c>
      <c r="C40" s="50">
        <f>VLOOKUP($A40,'Data shares'!$C:$FM,110)</f>
        <v>20.3</v>
      </c>
      <c r="D40" s="50">
        <f>VLOOKUP($A40,'Data shares'!$C:$FM,114)</f>
        <v>18.899999999999999</v>
      </c>
      <c r="E40" s="50">
        <f>VLOOKUP($A40,'Data shares'!$C:$FM,106)</f>
        <v>29.08</v>
      </c>
      <c r="F40" s="50">
        <f>VLOOKUP($A40,'Data shares'!$C:$FM,108)</f>
        <v>-9.1</v>
      </c>
      <c r="G40" s="50">
        <f t="shared" si="1"/>
        <v>0.6870701513067401</v>
      </c>
    </row>
    <row r="41" spans="1:7" x14ac:dyDescent="0.25">
      <c r="A41" s="49" t="str">
        <f>'Data shares'!C36</f>
        <v>BPCL</v>
      </c>
      <c r="B41" s="50">
        <f>VLOOKUP($A41,'Data shares'!$C:$FM,102)</f>
        <v>26.56</v>
      </c>
      <c r="C41" s="50">
        <f>VLOOKUP($A41,'Data shares'!$C:$FM,110)</f>
        <v>26.94</v>
      </c>
      <c r="D41" s="50">
        <f>VLOOKUP($A41,'Data shares'!$C:$FM,114)</f>
        <v>25.87</v>
      </c>
      <c r="E41" s="50">
        <f>VLOOKUP($A41,'Data shares'!$C:$FM,106)</f>
        <v>33.58</v>
      </c>
      <c r="F41" s="50">
        <f>VLOOKUP($A41,'Data shares'!$C:$FM,108)</f>
        <v>-7.02</v>
      </c>
      <c r="G41" s="50">
        <f t="shared" si="1"/>
        <v>0.79094699225729603</v>
      </c>
    </row>
    <row r="42" spans="1:7" x14ac:dyDescent="0.25">
      <c r="A42" s="49" t="str">
        <f>'Data shares'!C37</f>
        <v>BRITANNIA</v>
      </c>
      <c r="B42" s="50">
        <f>VLOOKUP($A42,'Data shares'!$C:$FM,102)</f>
        <v>20.32</v>
      </c>
      <c r="C42" s="50">
        <f>VLOOKUP($A42,'Data shares'!$C:$FM,110)</f>
        <v>20.350000000000001</v>
      </c>
      <c r="D42" s="50">
        <f>VLOOKUP($A42,'Data shares'!$C:$FM,114)</f>
        <v>20.21</v>
      </c>
      <c r="E42" s="50">
        <f>VLOOKUP($A42,'Data shares'!$C:$FM,106)</f>
        <v>24.76</v>
      </c>
      <c r="F42" s="50">
        <f>VLOOKUP($A42,'Data shares'!$C:$FM,108)</f>
        <v>-4.4400000000000004</v>
      </c>
      <c r="G42" s="50">
        <f t="shared" si="1"/>
        <v>0.82067851373182543</v>
      </c>
    </row>
    <row r="43" spans="1:7" x14ac:dyDescent="0.25">
      <c r="A43" s="49" t="str">
        <f>'Data shares'!C38</f>
        <v>BSE</v>
      </c>
      <c r="B43" s="50">
        <f>VLOOKUP($A43,'Data shares'!$C:$FM,102)</f>
        <v>38.5</v>
      </c>
      <c r="C43" s="50">
        <f>VLOOKUP($A43,'Data shares'!$C:$FM,110)</f>
        <v>37.130000000000003</v>
      </c>
      <c r="D43" s="50">
        <f>VLOOKUP($A43,'Data shares'!$C:$FM,114)</f>
        <v>41.46</v>
      </c>
      <c r="E43" s="50">
        <f>VLOOKUP($A43,'Data shares'!$C:$FM,106)</f>
        <v>63.78</v>
      </c>
      <c r="F43" s="50">
        <f>VLOOKUP($A43,'Data shares'!$C:$FM,108)</f>
        <v>-25.28</v>
      </c>
      <c r="G43" s="50">
        <f t="shared" si="1"/>
        <v>0.60363750391972404</v>
      </c>
    </row>
    <row r="44" spans="1:7" x14ac:dyDescent="0.25">
      <c r="A44" s="49" t="str">
        <f>'Data shares'!C39</f>
        <v>CAMS</v>
      </c>
      <c r="B44" s="50">
        <f>VLOOKUP($A44,'Data shares'!$C:$FM,102)</f>
        <v>29.57</v>
      </c>
      <c r="C44" s="50">
        <f>VLOOKUP($A44,'Data shares'!$C:$FM,110)</f>
        <v>29.56</v>
      </c>
      <c r="D44" s="50">
        <f>VLOOKUP($A44,'Data shares'!$C:$FM,114)</f>
        <v>29.59</v>
      </c>
      <c r="E44" s="50">
        <f>VLOOKUP($A44,'Data shares'!$C:$FM,106)</f>
        <v>42.78</v>
      </c>
      <c r="F44" s="50">
        <f>VLOOKUP($A44,'Data shares'!$C:$FM,108)</f>
        <v>-13.21</v>
      </c>
      <c r="G44" s="50">
        <f t="shared" si="1"/>
        <v>0.69121084618980833</v>
      </c>
    </row>
    <row r="45" spans="1:7" x14ac:dyDescent="0.25">
      <c r="A45" s="49" t="str">
        <f>'Data shares'!C40</f>
        <v>CANBK</v>
      </c>
      <c r="B45" s="50">
        <f>VLOOKUP($A45,'Data shares'!$C:$FM,102)</f>
        <v>29.5</v>
      </c>
      <c r="C45" s="50">
        <f>VLOOKUP($A45,'Data shares'!$C:$FM,110)</f>
        <v>29.36</v>
      </c>
      <c r="D45" s="50">
        <f>VLOOKUP($A45,'Data shares'!$C:$FM,114)</f>
        <v>29.79</v>
      </c>
      <c r="E45" s="50">
        <f>VLOOKUP($A45,'Data shares'!$C:$FM,106)</f>
        <v>37.71</v>
      </c>
      <c r="F45" s="50">
        <f>VLOOKUP($A45,'Data shares'!$C:$FM,108)</f>
        <v>-8.2100000000000009</v>
      </c>
      <c r="G45" s="50">
        <f t="shared" si="1"/>
        <v>0.78228586581808535</v>
      </c>
    </row>
    <row r="46" spans="1:7" x14ac:dyDescent="0.25">
      <c r="A46" s="49" t="str">
        <f>'Data shares'!C41</f>
        <v>CDSL</v>
      </c>
      <c r="B46" s="50">
        <f>VLOOKUP($A46,'Data shares'!$C:$FM,102)</f>
        <v>29.41</v>
      </c>
      <c r="C46" s="50">
        <f>VLOOKUP($A46,'Data shares'!$C:$FM,110)</f>
        <v>29.09</v>
      </c>
      <c r="D46" s="50">
        <f>VLOOKUP($A46,'Data shares'!$C:$FM,114)</f>
        <v>30.6</v>
      </c>
      <c r="E46" s="50">
        <f>VLOOKUP($A46,'Data shares'!$C:$FM,106)</f>
        <v>48.07</v>
      </c>
      <c r="F46" s="50">
        <f>VLOOKUP($A46,'Data shares'!$C:$FM,108)</f>
        <v>-18.66</v>
      </c>
      <c r="G46" s="50">
        <f t="shared" si="1"/>
        <v>0.61181610151861865</v>
      </c>
    </row>
    <row r="47" spans="1:7" x14ac:dyDescent="0.25">
      <c r="A47" s="49" t="str">
        <f>'Data shares'!C42</f>
        <v>CGPOWER</v>
      </c>
      <c r="B47" s="50">
        <f>VLOOKUP($A47,'Data shares'!$C:$FM,102)</f>
        <v>32.44</v>
      </c>
      <c r="C47" s="50">
        <f>VLOOKUP($A47,'Data shares'!$C:$FM,110)</f>
        <v>32.869999999999997</v>
      </c>
      <c r="D47" s="50">
        <f>VLOOKUP($A47,'Data shares'!$C:$FM,114)</f>
        <v>31.34</v>
      </c>
      <c r="E47" s="50">
        <f>VLOOKUP($A47,'Data shares'!$C:$FM,106)</f>
        <v>41.94</v>
      </c>
      <c r="F47" s="50">
        <f>VLOOKUP($A47,'Data shares'!$C:$FM,108)</f>
        <v>-9.5</v>
      </c>
      <c r="G47" s="50">
        <f t="shared" si="1"/>
        <v>0.77348593228421558</v>
      </c>
    </row>
    <row r="48" spans="1:7" x14ac:dyDescent="0.25">
      <c r="A48" s="49" t="str">
        <f>'Data shares'!C43</f>
        <v>CHOLAFIN</v>
      </c>
      <c r="B48" s="50">
        <f>VLOOKUP($A48,'Data shares'!$C:$FM,102)</f>
        <v>23.88</v>
      </c>
      <c r="C48" s="50">
        <f>VLOOKUP($A48,'Data shares'!$C:$FM,110)</f>
        <v>23.82</v>
      </c>
      <c r="D48" s="50">
        <f>VLOOKUP($A48,'Data shares'!$C:$FM,114)</f>
        <v>24.02</v>
      </c>
      <c r="E48" s="50">
        <f>VLOOKUP($A48,'Data shares'!$C:$FM,106)</f>
        <v>38.78</v>
      </c>
      <c r="F48" s="50">
        <f>VLOOKUP($A48,'Data shares'!$C:$FM,108)</f>
        <v>-14.9</v>
      </c>
      <c r="G48" s="50">
        <f t="shared" si="1"/>
        <v>0.61578133058277462</v>
      </c>
    </row>
    <row r="49" spans="1:7" x14ac:dyDescent="0.25">
      <c r="A49" s="49" t="str">
        <f>'Data shares'!C44</f>
        <v>CIPLA</v>
      </c>
      <c r="B49" s="50">
        <f>VLOOKUP($A49,'Data shares'!$C:$FM,102)</f>
        <v>20.309999999999999</v>
      </c>
      <c r="C49" s="50">
        <f>VLOOKUP($A49,'Data shares'!$C:$FM,110)</f>
        <v>19.829999999999998</v>
      </c>
      <c r="D49" s="50">
        <f>VLOOKUP($A49,'Data shares'!$C:$FM,114)</f>
        <v>21.56</v>
      </c>
      <c r="E49" s="50">
        <f>VLOOKUP($A49,'Data shares'!$C:$FM,106)</f>
        <v>26.49</v>
      </c>
      <c r="F49" s="50">
        <f>VLOOKUP($A49,'Data shares'!$C:$FM,108)</f>
        <v>-6.18</v>
      </c>
      <c r="G49" s="50">
        <f t="shared" si="1"/>
        <v>0.76670441676104195</v>
      </c>
    </row>
    <row r="50" spans="1:7" x14ac:dyDescent="0.25">
      <c r="A50" s="49" t="str">
        <f>'Data shares'!C45</f>
        <v>COALINDIA</v>
      </c>
      <c r="B50" s="50">
        <f>VLOOKUP($A50,'Data shares'!$C:$FM,102)</f>
        <v>18.04</v>
      </c>
      <c r="C50" s="50">
        <f>VLOOKUP($A50,'Data shares'!$C:$FM,110)</f>
        <v>18.14</v>
      </c>
      <c r="D50" s="50">
        <f>VLOOKUP($A50,'Data shares'!$C:$FM,114)</f>
        <v>17.84</v>
      </c>
      <c r="E50" s="50">
        <f>VLOOKUP($A50,'Data shares'!$C:$FM,106)</f>
        <v>29.03</v>
      </c>
      <c r="F50" s="50">
        <f>VLOOKUP($A50,'Data shares'!$C:$FM,108)</f>
        <v>-10.99</v>
      </c>
      <c r="G50" s="50">
        <f t="shared" si="1"/>
        <v>0.6214261109197381</v>
      </c>
    </row>
    <row r="51" spans="1:7" x14ac:dyDescent="0.25">
      <c r="A51" s="49" t="str">
        <f>'Data shares'!C46</f>
        <v>COFORGE</v>
      </c>
      <c r="B51" s="50">
        <f>VLOOKUP($A51,'Data shares'!$C:$FM,102)</f>
        <v>36.31</v>
      </c>
      <c r="C51" s="50">
        <f>VLOOKUP($A51,'Data shares'!$C:$FM,110)</f>
        <v>36.049999999999997</v>
      </c>
      <c r="D51" s="50">
        <f>VLOOKUP($A51,'Data shares'!$C:$FM,114)</f>
        <v>36.83</v>
      </c>
      <c r="E51" s="50">
        <f>VLOOKUP($A51,'Data shares'!$C:$FM,106)</f>
        <v>43.16</v>
      </c>
      <c r="F51" s="50">
        <f>VLOOKUP($A51,'Data shares'!$C:$FM,108)</f>
        <v>-6.85</v>
      </c>
      <c r="G51" s="50">
        <f t="shared" si="1"/>
        <v>0.84128822984244678</v>
      </c>
    </row>
    <row r="52" spans="1:7" x14ac:dyDescent="0.25">
      <c r="A52" s="49" t="str">
        <f>'Data shares'!C47</f>
        <v>COLPAL</v>
      </c>
      <c r="B52" s="50">
        <f>VLOOKUP($A52,'Data shares'!$C:$FM,102)</f>
        <v>22.99</v>
      </c>
      <c r="C52" s="50">
        <f>VLOOKUP($A52,'Data shares'!$C:$FM,110)</f>
        <v>22.99</v>
      </c>
      <c r="D52" s="50">
        <f>VLOOKUP($A52,'Data shares'!$C:$FM,114)</f>
        <v>23</v>
      </c>
      <c r="E52" s="50">
        <f>VLOOKUP($A52,'Data shares'!$C:$FM,106)</f>
        <v>28.31</v>
      </c>
      <c r="F52" s="50">
        <f>VLOOKUP($A52,'Data shares'!$C:$FM,108)</f>
        <v>-5.32</v>
      </c>
      <c r="G52" s="50">
        <f t="shared" si="1"/>
        <v>0.81208053691275162</v>
      </c>
    </row>
    <row r="53" spans="1:7" x14ac:dyDescent="0.25">
      <c r="A53" s="49" t="str">
        <f>'Data shares'!C48</f>
        <v>CONCOR</v>
      </c>
      <c r="B53" s="50">
        <f>VLOOKUP($A53,'Data shares'!$C:$FM,102)</f>
        <v>23.69</v>
      </c>
      <c r="C53" s="50">
        <f>VLOOKUP($A53,'Data shares'!$C:$FM,110)</f>
        <v>23.59</v>
      </c>
      <c r="D53" s="50">
        <f>VLOOKUP($A53,'Data shares'!$C:$FM,114)</f>
        <v>24.04</v>
      </c>
      <c r="E53" s="50">
        <f>VLOOKUP($A53,'Data shares'!$C:$FM,106)</f>
        <v>36.57</v>
      </c>
      <c r="F53" s="50">
        <f>VLOOKUP($A53,'Data shares'!$C:$FM,108)</f>
        <v>-12.88</v>
      </c>
      <c r="G53" s="50">
        <f t="shared" si="1"/>
        <v>0.64779874213836486</v>
      </c>
    </row>
    <row r="54" spans="1:7" x14ac:dyDescent="0.25">
      <c r="A54" s="49" t="str">
        <f>'Data shares'!C49</f>
        <v>CROMPTON</v>
      </c>
      <c r="B54" s="50">
        <f>VLOOKUP($A54,'Data shares'!$C:$FM,102)</f>
        <v>29.68</v>
      </c>
      <c r="C54" s="50">
        <f>VLOOKUP($A54,'Data shares'!$C:$FM,110)</f>
        <v>30.09</v>
      </c>
      <c r="D54" s="50">
        <f>VLOOKUP($A54,'Data shares'!$C:$FM,114)</f>
        <v>28.1</v>
      </c>
      <c r="E54" s="50">
        <f>VLOOKUP($A54,'Data shares'!$C:$FM,106)</f>
        <v>32.75</v>
      </c>
      <c r="F54" s="50">
        <f>VLOOKUP($A54,'Data shares'!$C:$FM,108)</f>
        <v>-3.07</v>
      </c>
      <c r="G54" s="50">
        <f t="shared" si="1"/>
        <v>0.9062595419847328</v>
      </c>
    </row>
    <row r="55" spans="1:7" x14ac:dyDescent="0.25">
      <c r="A55" s="49" t="str">
        <f>'Data shares'!C50</f>
        <v>CUMMINSIND</v>
      </c>
      <c r="B55" s="50">
        <f>VLOOKUP($A55,'Data shares'!$C:$FM,102)</f>
        <v>23.01</v>
      </c>
      <c r="C55" s="50">
        <f>VLOOKUP($A55,'Data shares'!$C:$FM,110)</f>
        <v>23.04</v>
      </c>
      <c r="D55" s="50">
        <f>VLOOKUP($A55,'Data shares'!$C:$FM,114)</f>
        <v>22.89</v>
      </c>
      <c r="E55" s="50">
        <f>VLOOKUP($A55,'Data shares'!$C:$FM,106)</f>
        <v>35.409999999999997</v>
      </c>
      <c r="F55" s="50">
        <f>VLOOKUP($A55,'Data shares'!$C:$FM,108)</f>
        <v>-12.4</v>
      </c>
      <c r="G55" s="50">
        <f t="shared" si="1"/>
        <v>0.64981643603501849</v>
      </c>
    </row>
    <row r="56" spans="1:7" x14ac:dyDescent="0.25">
      <c r="A56" s="49" t="str">
        <f>'Data shares'!C51</f>
        <v>CYIENT</v>
      </c>
      <c r="B56" s="50">
        <f>VLOOKUP($A56,'Data shares'!$C:$FM,102)</f>
        <v>40.01</v>
      </c>
      <c r="C56" s="50">
        <f>VLOOKUP($A56,'Data shares'!$C:$FM,110)</f>
        <v>40.15</v>
      </c>
      <c r="D56" s="50">
        <f>VLOOKUP($A56,'Data shares'!$C:$FM,114)</f>
        <v>39.24</v>
      </c>
      <c r="E56" s="50">
        <f>VLOOKUP($A56,'Data shares'!$C:$FM,106)</f>
        <v>44.39</v>
      </c>
      <c r="F56" s="50">
        <f>VLOOKUP($A56,'Data shares'!$C:$FM,108)</f>
        <v>-4.38</v>
      </c>
      <c r="G56" s="50">
        <f t="shared" si="1"/>
        <v>0.90132912818202293</v>
      </c>
    </row>
    <row r="57" spans="1:7" x14ac:dyDescent="0.25">
      <c r="A57" s="49" t="str">
        <f>'Data shares'!C52</f>
        <v>DABUR</v>
      </c>
      <c r="B57" s="50">
        <f>VLOOKUP($A57,'Data shares'!$C:$FM,102)</f>
        <v>20.43</v>
      </c>
      <c r="C57" s="50">
        <f>VLOOKUP($A57,'Data shares'!$C:$FM,110)</f>
        <v>20.61</v>
      </c>
      <c r="D57" s="50">
        <f>VLOOKUP($A57,'Data shares'!$C:$FM,114)</f>
        <v>19.95</v>
      </c>
      <c r="E57" s="50">
        <f>VLOOKUP($A57,'Data shares'!$C:$FM,106)</f>
        <v>25.62</v>
      </c>
      <c r="F57" s="50">
        <f>VLOOKUP($A57,'Data shares'!$C:$FM,108)</f>
        <v>-5.19</v>
      </c>
      <c r="G57" s="50">
        <f t="shared" si="1"/>
        <v>0.79742388758782201</v>
      </c>
    </row>
    <row r="58" spans="1:7" x14ac:dyDescent="0.25">
      <c r="A58" s="49" t="str">
        <f>'Data shares'!C53</f>
        <v>DALBHARAT</v>
      </c>
      <c r="B58" s="50">
        <f>VLOOKUP($A58,'Data shares'!$C:$FM,102)</f>
        <v>26.04</v>
      </c>
      <c r="C58" s="50">
        <f>VLOOKUP($A58,'Data shares'!$C:$FM,110)</f>
        <v>26.11</v>
      </c>
      <c r="D58" s="50">
        <f>VLOOKUP($A58,'Data shares'!$C:$FM,114)</f>
        <v>25.95</v>
      </c>
      <c r="E58" s="50">
        <f>VLOOKUP($A58,'Data shares'!$C:$FM,106)</f>
        <v>30.39</v>
      </c>
      <c r="F58" s="50">
        <f>VLOOKUP($A58,'Data shares'!$C:$FM,108)</f>
        <v>-4.3499999999999996</v>
      </c>
      <c r="G58" s="50">
        <f t="shared" si="1"/>
        <v>0.85686080947680154</v>
      </c>
    </row>
    <row r="59" spans="1:7" x14ac:dyDescent="0.25">
      <c r="A59" s="49" t="str">
        <f>'Data shares'!C54</f>
        <v>DELHIVERY</v>
      </c>
      <c r="B59" s="50">
        <f>VLOOKUP($A59,'Data shares'!$C:$FM,102)</f>
        <v>29.14</v>
      </c>
      <c r="C59" s="50">
        <f>VLOOKUP($A59,'Data shares'!$C:$FM,110)</f>
        <v>29.28</v>
      </c>
      <c r="D59" s="50">
        <f>VLOOKUP($A59,'Data shares'!$C:$FM,114)</f>
        <v>28.91</v>
      </c>
      <c r="E59" s="50">
        <f>VLOOKUP($A59,'Data shares'!$C:$FM,106)</f>
        <v>40.74</v>
      </c>
      <c r="F59" s="50">
        <f>VLOOKUP($A59,'Data shares'!$C:$FM,108)</f>
        <v>-11.6</v>
      </c>
      <c r="G59" s="50">
        <f t="shared" si="1"/>
        <v>0.71526755031909672</v>
      </c>
    </row>
    <row r="60" spans="1:7" x14ac:dyDescent="0.25">
      <c r="A60" s="49" t="str">
        <f>'Data shares'!C55</f>
        <v>DIVISLAB</v>
      </c>
      <c r="B60" s="50">
        <f>VLOOKUP($A60,'Data shares'!$C:$FM,102)</f>
        <v>27.37</v>
      </c>
      <c r="C60" s="50">
        <f>VLOOKUP($A60,'Data shares'!$C:$FM,110)</f>
        <v>26.71</v>
      </c>
      <c r="D60" s="50">
        <f>VLOOKUP($A60,'Data shares'!$C:$FM,114)</f>
        <v>29.07</v>
      </c>
      <c r="E60" s="50">
        <f>VLOOKUP($A60,'Data shares'!$C:$FM,106)</f>
        <v>32.450000000000003</v>
      </c>
      <c r="F60" s="50">
        <f>VLOOKUP($A60,'Data shares'!$C:$FM,108)</f>
        <v>-5.08</v>
      </c>
      <c r="G60" s="50">
        <f t="shared" si="1"/>
        <v>0.84345146379044678</v>
      </c>
    </row>
    <row r="61" spans="1:7" x14ac:dyDescent="0.25">
      <c r="A61" s="49" t="str">
        <f>'Data shares'!C56</f>
        <v>DIXON</v>
      </c>
      <c r="B61" s="50">
        <f>VLOOKUP($A61,'Data shares'!$C:$FM,102)</f>
        <v>30.44</v>
      </c>
      <c r="C61" s="50">
        <f>VLOOKUP($A61,'Data shares'!$C:$FM,110)</f>
        <v>29.37</v>
      </c>
      <c r="D61" s="50">
        <f>VLOOKUP($A61,'Data shares'!$C:$FM,114)</f>
        <v>32.46</v>
      </c>
      <c r="E61" s="50">
        <f>VLOOKUP($A61,'Data shares'!$C:$FM,106)</f>
        <v>45.27</v>
      </c>
      <c r="F61" s="50">
        <f>VLOOKUP($A61,'Data shares'!$C:$FM,108)</f>
        <v>-14.83</v>
      </c>
      <c r="G61" s="50">
        <f t="shared" si="1"/>
        <v>0.67240998453722112</v>
      </c>
    </row>
    <row r="62" spans="1:7" x14ac:dyDescent="0.25">
      <c r="A62" s="49" t="str">
        <f>'Data shares'!C57</f>
        <v>DLF</v>
      </c>
      <c r="B62" s="50">
        <f>VLOOKUP($A62,'Data shares'!$C:$FM,102)</f>
        <v>26.35</v>
      </c>
      <c r="C62" s="50">
        <f>VLOOKUP($A62,'Data shares'!$C:$FM,110)</f>
        <v>26.15</v>
      </c>
      <c r="D62" s="50">
        <f>VLOOKUP($A62,'Data shares'!$C:$FM,114)</f>
        <v>26.84</v>
      </c>
      <c r="E62" s="50">
        <f>VLOOKUP($A62,'Data shares'!$C:$FM,106)</f>
        <v>37.18</v>
      </c>
      <c r="F62" s="50">
        <f>VLOOKUP($A62,'Data shares'!$C:$FM,108)</f>
        <v>-10.83</v>
      </c>
      <c r="G62" s="50">
        <f t="shared" si="1"/>
        <v>0.70871436256051645</v>
      </c>
    </row>
    <row r="63" spans="1:7" x14ac:dyDescent="0.25">
      <c r="A63" s="49" t="str">
        <f>'Data shares'!C58</f>
        <v>DMART</v>
      </c>
      <c r="B63" s="50">
        <f>VLOOKUP($A63,'Data shares'!$C:$FM,102)</f>
        <v>31.79</v>
      </c>
      <c r="C63" s="50">
        <f>VLOOKUP($A63,'Data shares'!$C:$FM,110)</f>
        <v>32.04</v>
      </c>
      <c r="D63" s="50">
        <f>VLOOKUP($A63,'Data shares'!$C:$FM,114)</f>
        <v>31.23</v>
      </c>
      <c r="E63" s="50">
        <f>VLOOKUP($A63,'Data shares'!$C:$FM,106)</f>
        <v>32.86</v>
      </c>
      <c r="F63" s="50">
        <f>VLOOKUP($A63,'Data shares'!$C:$FM,108)</f>
        <v>-1.07</v>
      </c>
      <c r="G63" s="50">
        <f t="shared" si="1"/>
        <v>0.96743761412051121</v>
      </c>
    </row>
    <row r="64" spans="1:7" x14ac:dyDescent="0.25">
      <c r="A64" s="49" t="str">
        <f>'Data shares'!C59</f>
        <v>DRREDDY</v>
      </c>
      <c r="B64" s="50">
        <f>VLOOKUP($A64,'Data shares'!$C:$FM,102)</f>
        <v>21.7</v>
      </c>
      <c r="C64" s="50">
        <f>VLOOKUP($A64,'Data shares'!$C:$FM,110)</f>
        <v>21.19</v>
      </c>
      <c r="D64" s="50">
        <f>VLOOKUP($A64,'Data shares'!$C:$FM,114)</f>
        <v>23.15</v>
      </c>
      <c r="E64" s="50">
        <f>VLOOKUP($A64,'Data shares'!$C:$FM,106)</f>
        <v>24.85</v>
      </c>
      <c r="F64" s="50">
        <f>VLOOKUP($A64,'Data shares'!$C:$FM,108)</f>
        <v>-3.15</v>
      </c>
      <c r="G64" s="50">
        <f t="shared" si="1"/>
        <v>0.87323943661971826</v>
      </c>
    </row>
    <row r="65" spans="1:7" x14ac:dyDescent="0.25">
      <c r="A65" s="49" t="str">
        <f>'Data shares'!C60</f>
        <v>EICHERMOT</v>
      </c>
      <c r="B65" s="50">
        <f>VLOOKUP($A65,'Data shares'!$C:$FM,102)</f>
        <v>19.63</v>
      </c>
      <c r="C65" s="50">
        <f>VLOOKUP($A65,'Data shares'!$C:$FM,110)</f>
        <v>19.43</v>
      </c>
      <c r="D65" s="50">
        <f>VLOOKUP($A65,'Data shares'!$C:$FM,114)</f>
        <v>19.97</v>
      </c>
      <c r="E65" s="50">
        <f>VLOOKUP($A65,'Data shares'!$C:$FM,106)</f>
        <v>28.21</v>
      </c>
      <c r="F65" s="50">
        <f>VLOOKUP($A65,'Data shares'!$C:$FM,108)</f>
        <v>-8.58</v>
      </c>
      <c r="G65" s="50">
        <f t="shared" si="1"/>
        <v>0.69585253456221197</v>
      </c>
    </row>
    <row r="66" spans="1:7" x14ac:dyDescent="0.25">
      <c r="A66" s="49" t="str">
        <f>'Data shares'!C61</f>
        <v>ETERNAL</v>
      </c>
      <c r="B66" s="50">
        <f>VLOOKUP($A66,'Data shares'!$C:$FM,102)</f>
        <v>30.94</v>
      </c>
      <c r="C66" s="50">
        <f>VLOOKUP($A66,'Data shares'!$C:$FM,110)</f>
        <v>29.83</v>
      </c>
      <c r="D66" s="50">
        <f>VLOOKUP($A66,'Data shares'!$C:$FM,114)</f>
        <v>32.57</v>
      </c>
      <c r="E66" s="50">
        <f>VLOOKUP($A66,'Data shares'!$C:$FM,106)</f>
        <v>46.02</v>
      </c>
      <c r="F66" s="50">
        <f>VLOOKUP($A66,'Data shares'!$C:$FM,108)</f>
        <v>-15.08</v>
      </c>
      <c r="G66" s="50">
        <f t="shared" si="1"/>
        <v>0.67231638418079098</v>
      </c>
    </row>
    <row r="67" spans="1:7" x14ac:dyDescent="0.25">
      <c r="A67" s="49" t="str">
        <f>'Data shares'!C62</f>
        <v>EXIDEIND</v>
      </c>
      <c r="B67" s="50">
        <f>VLOOKUP($A67,'Data shares'!$C:$FM,102)</f>
        <v>24.13</v>
      </c>
      <c r="C67" s="50">
        <f>VLOOKUP($A67,'Data shares'!$C:$FM,110)</f>
        <v>24</v>
      </c>
      <c r="D67" s="50">
        <f>VLOOKUP($A67,'Data shares'!$C:$FM,114)</f>
        <v>24.28</v>
      </c>
      <c r="E67" s="50">
        <f>VLOOKUP($A67,'Data shares'!$C:$FM,106)</f>
        <v>35.93</v>
      </c>
      <c r="F67" s="50">
        <f>VLOOKUP($A67,'Data shares'!$C:$FM,108)</f>
        <v>-11.8</v>
      </c>
      <c r="G67" s="50">
        <f t="shared" si="1"/>
        <v>0.67158363484553296</v>
      </c>
    </row>
    <row r="68" spans="1:7" x14ac:dyDescent="0.25">
      <c r="A68" s="49" t="str">
        <f>'Data shares'!C63</f>
        <v>FEDERALBNK</v>
      </c>
      <c r="B68" s="50">
        <f>VLOOKUP($A68,'Data shares'!$C:$FM,102)</f>
        <v>24.77</v>
      </c>
      <c r="C68" s="50">
        <f>VLOOKUP($A68,'Data shares'!$C:$FM,110)</f>
        <v>24.37</v>
      </c>
      <c r="D68" s="50">
        <f>VLOOKUP($A68,'Data shares'!$C:$FM,114)</f>
        <v>25.38</v>
      </c>
      <c r="E68" s="50">
        <f>VLOOKUP($A68,'Data shares'!$C:$FM,106)</f>
        <v>28.71</v>
      </c>
      <c r="F68" s="50">
        <f>VLOOKUP($A68,'Data shares'!$C:$FM,108)</f>
        <v>-3.94</v>
      </c>
      <c r="G68" s="50">
        <f t="shared" si="1"/>
        <v>0.8627655869035179</v>
      </c>
    </row>
    <row r="69" spans="1:7" x14ac:dyDescent="0.25">
      <c r="A69" s="49" t="str">
        <f>'Data shares'!C64</f>
        <v>FINNIFTY</v>
      </c>
      <c r="B69" s="50">
        <f>VLOOKUP($A69,'Data shares'!$C:$FM,102)</f>
        <v>11.38</v>
      </c>
      <c r="C69" s="50">
        <f>VLOOKUP($A69,'Data shares'!$C:$FM,110)</f>
        <v>11.07</v>
      </c>
      <c r="D69" s="50">
        <f>VLOOKUP($A69,'Data shares'!$C:$FM,114)</f>
        <v>11.97</v>
      </c>
      <c r="E69" s="50">
        <f>VLOOKUP($A69,'Data shares'!$C:$FM,106)</f>
        <v>17.77</v>
      </c>
      <c r="F69" s="50">
        <f>VLOOKUP($A69,'Data shares'!$C:$FM,108)</f>
        <v>-6.39</v>
      </c>
      <c r="G69" s="50">
        <f t="shared" si="1"/>
        <v>0.64040517726505353</v>
      </c>
    </row>
    <row r="70" spans="1:7" x14ac:dyDescent="0.25">
      <c r="A70" s="49" t="str">
        <f>'Data shares'!C65</f>
        <v>FORTIS</v>
      </c>
      <c r="B70" s="50">
        <f>VLOOKUP($A70,'Data shares'!$C:$FM,102)</f>
        <v>25.09</v>
      </c>
      <c r="C70" s="50">
        <f>VLOOKUP($A70,'Data shares'!$C:$FM,110)</f>
        <v>24.51</v>
      </c>
      <c r="D70" s="50">
        <f>VLOOKUP($A70,'Data shares'!$C:$FM,114)</f>
        <v>25.93</v>
      </c>
      <c r="E70" s="50">
        <f>VLOOKUP($A70,'Data shares'!$C:$FM,106)</f>
        <v>36.909999999999997</v>
      </c>
      <c r="F70" s="50">
        <f>VLOOKUP($A70,'Data shares'!$C:$FM,108)</f>
        <v>-11.82</v>
      </c>
      <c r="G70" s="50">
        <f t="shared" si="1"/>
        <v>0.67976158222703875</v>
      </c>
    </row>
    <row r="71" spans="1:7" x14ac:dyDescent="0.25">
      <c r="A71" s="49" t="str">
        <f>'Data shares'!C66</f>
        <v>GAIL</v>
      </c>
      <c r="B71" s="50">
        <f>VLOOKUP($A71,'Data shares'!$C:$FM,102)</f>
        <v>22.71</v>
      </c>
      <c r="C71" s="50">
        <f>VLOOKUP($A71,'Data shares'!$C:$FM,110)</f>
        <v>22.85</v>
      </c>
      <c r="D71" s="50">
        <f>VLOOKUP($A71,'Data shares'!$C:$FM,114)</f>
        <v>22.38</v>
      </c>
      <c r="E71" s="50">
        <f>VLOOKUP($A71,'Data shares'!$C:$FM,106)</f>
        <v>36.549999999999997</v>
      </c>
      <c r="F71" s="50">
        <f>VLOOKUP($A71,'Data shares'!$C:$FM,108)</f>
        <v>-13.84</v>
      </c>
      <c r="G71" s="50">
        <f t="shared" ref="G71:G102" si="2">B71/E71</f>
        <v>0.62134062927496592</v>
      </c>
    </row>
    <row r="72" spans="1:7" x14ac:dyDescent="0.25">
      <c r="A72" s="49" t="str">
        <f>'Data shares'!C67</f>
        <v>GLENMARK</v>
      </c>
      <c r="B72" s="50">
        <f>VLOOKUP($A72,'Data shares'!$C:$FM,102)</f>
        <v>27.8</v>
      </c>
      <c r="C72" s="50">
        <f>VLOOKUP($A72,'Data shares'!$C:$FM,110)</f>
        <v>28.17</v>
      </c>
      <c r="D72" s="50">
        <f>VLOOKUP($A72,'Data shares'!$C:$FM,114)</f>
        <v>26.7</v>
      </c>
      <c r="E72" s="50">
        <f>VLOOKUP($A72,'Data shares'!$C:$FM,106)</f>
        <v>38.479999999999997</v>
      </c>
      <c r="F72" s="50">
        <f>VLOOKUP($A72,'Data shares'!$C:$FM,108)</f>
        <v>-10.68</v>
      </c>
      <c r="G72" s="50">
        <f t="shared" si="2"/>
        <v>0.72245322245322252</v>
      </c>
    </row>
    <row r="73" spans="1:7" x14ac:dyDescent="0.25">
      <c r="A73" s="49" t="str">
        <f>'Data shares'!C68</f>
        <v>GMRAIRPORT</v>
      </c>
      <c r="B73" s="50">
        <f>VLOOKUP($A73,'Data shares'!$C:$FM,102)</f>
        <v>25.72</v>
      </c>
      <c r="C73" s="50">
        <f>VLOOKUP($A73,'Data shares'!$C:$FM,110)</f>
        <v>25.8</v>
      </c>
      <c r="D73" s="50">
        <f>VLOOKUP($A73,'Data shares'!$C:$FM,114)</f>
        <v>25.46</v>
      </c>
      <c r="E73" s="50">
        <f>VLOOKUP($A73,'Data shares'!$C:$FM,106)</f>
        <v>37.58</v>
      </c>
      <c r="F73" s="50">
        <f>VLOOKUP($A73,'Data shares'!$C:$FM,108)</f>
        <v>-11.86</v>
      </c>
      <c r="G73" s="50">
        <f t="shared" si="2"/>
        <v>0.68440659925492286</v>
      </c>
    </row>
    <row r="74" spans="1:7" x14ac:dyDescent="0.25">
      <c r="A74" s="49" t="str">
        <f>'Data shares'!C69</f>
        <v>GODREJCP</v>
      </c>
      <c r="B74" s="50">
        <f>VLOOKUP($A74,'Data shares'!$C:$FM,102)</f>
        <v>24.44</v>
      </c>
      <c r="C74" s="50">
        <f>VLOOKUP($A74,'Data shares'!$C:$FM,110)</f>
        <v>24.45</v>
      </c>
      <c r="D74" s="50">
        <f>VLOOKUP($A74,'Data shares'!$C:$FM,114)</f>
        <v>24.42</v>
      </c>
      <c r="E74" s="50">
        <f>VLOOKUP($A74,'Data shares'!$C:$FM,106)</f>
        <v>30.06</v>
      </c>
      <c r="F74" s="50">
        <f>VLOOKUP($A74,'Data shares'!$C:$FM,108)</f>
        <v>-5.62</v>
      </c>
      <c r="G74" s="50">
        <f t="shared" si="2"/>
        <v>0.81304058549567537</v>
      </c>
    </row>
    <row r="75" spans="1:7" x14ac:dyDescent="0.25">
      <c r="A75" s="49" t="str">
        <f>'Data shares'!C70</f>
        <v>GODREJPROP</v>
      </c>
      <c r="B75" s="50">
        <f>VLOOKUP($A75,'Data shares'!$C:$FM,102)</f>
        <v>31.27</v>
      </c>
      <c r="C75" s="50">
        <f>VLOOKUP($A75,'Data shares'!$C:$FM,110)</f>
        <v>31.22</v>
      </c>
      <c r="D75" s="50">
        <f>VLOOKUP($A75,'Data shares'!$C:$FM,114)</f>
        <v>31.4</v>
      </c>
      <c r="E75" s="50">
        <f>VLOOKUP($A75,'Data shares'!$C:$FM,106)</f>
        <v>44.36</v>
      </c>
      <c r="F75" s="50">
        <f>VLOOKUP($A75,'Data shares'!$C:$FM,108)</f>
        <v>-13.09</v>
      </c>
      <c r="G75" s="50">
        <f t="shared" si="2"/>
        <v>0.70491433724075747</v>
      </c>
    </row>
    <row r="76" spans="1:7" x14ac:dyDescent="0.25">
      <c r="A76" s="49" t="str">
        <f>'Data shares'!C71</f>
        <v>GRASIM</v>
      </c>
      <c r="B76" s="50">
        <f>VLOOKUP($A76,'Data shares'!$C:$FM,102)</f>
        <v>17.73</v>
      </c>
      <c r="C76" s="50">
        <f>VLOOKUP($A76,'Data shares'!$C:$FM,110)</f>
        <v>17.64</v>
      </c>
      <c r="D76" s="50">
        <f>VLOOKUP($A76,'Data shares'!$C:$FM,114)</f>
        <v>17.989999999999998</v>
      </c>
      <c r="E76" s="50">
        <f>VLOOKUP($A76,'Data shares'!$C:$FM,106)</f>
        <v>25.61</v>
      </c>
      <c r="F76" s="50">
        <f>VLOOKUP($A76,'Data shares'!$C:$FM,108)</f>
        <v>-7.88</v>
      </c>
      <c r="G76" s="50">
        <f t="shared" si="2"/>
        <v>0.69230769230769229</v>
      </c>
    </row>
    <row r="77" spans="1:7" x14ac:dyDescent="0.25">
      <c r="A77" s="49" t="str">
        <f>'Data shares'!C72</f>
        <v>HAL</v>
      </c>
      <c r="B77" s="50">
        <f>VLOOKUP($A77,'Data shares'!$C:$FM,102)</f>
        <v>26.25</v>
      </c>
      <c r="C77" s="50">
        <f>VLOOKUP($A77,'Data shares'!$C:$FM,110)</f>
        <v>26.21</v>
      </c>
      <c r="D77" s="50">
        <f>VLOOKUP($A77,'Data shares'!$C:$FM,114)</f>
        <v>26.34</v>
      </c>
      <c r="E77" s="50">
        <f>VLOOKUP($A77,'Data shares'!$C:$FM,106)</f>
        <v>40.07</v>
      </c>
      <c r="F77" s="50">
        <f>VLOOKUP($A77,'Data shares'!$C:$FM,108)</f>
        <v>-13.82</v>
      </c>
      <c r="G77" s="50">
        <f t="shared" si="2"/>
        <v>0.65510356875467934</v>
      </c>
    </row>
    <row r="78" spans="1:7" x14ac:dyDescent="0.25">
      <c r="A78" s="49" t="str">
        <f>'Data shares'!C73</f>
        <v>HAVELLS</v>
      </c>
      <c r="B78" s="50">
        <f>VLOOKUP($A78,'Data shares'!$C:$FM,102)</f>
        <v>26.7</v>
      </c>
      <c r="C78" s="50">
        <f>VLOOKUP($A78,'Data shares'!$C:$FM,110)</f>
        <v>26.85</v>
      </c>
      <c r="D78" s="50">
        <f>VLOOKUP($A78,'Data shares'!$C:$FM,114)</f>
        <v>26.33</v>
      </c>
      <c r="E78" s="50">
        <f>VLOOKUP($A78,'Data shares'!$C:$FM,106)</f>
        <v>28.57</v>
      </c>
      <c r="F78" s="50">
        <f>VLOOKUP($A78,'Data shares'!$C:$FM,108)</f>
        <v>-1.87</v>
      </c>
      <c r="G78" s="50">
        <f t="shared" si="2"/>
        <v>0.93454672733636679</v>
      </c>
    </row>
    <row r="79" spans="1:7" x14ac:dyDescent="0.25">
      <c r="A79" s="49" t="str">
        <f>'Data shares'!C74</f>
        <v>HCLTECH</v>
      </c>
      <c r="B79" s="50">
        <f>VLOOKUP($A79,'Data shares'!$C:$FM,102)</f>
        <v>26.25</v>
      </c>
      <c r="C79" s="50">
        <f>VLOOKUP($A79,'Data shares'!$C:$FM,110)</f>
        <v>25.81</v>
      </c>
      <c r="D79" s="50">
        <f>VLOOKUP($A79,'Data shares'!$C:$FM,114)</f>
        <v>26.98</v>
      </c>
      <c r="E79" s="50">
        <f>VLOOKUP($A79,'Data shares'!$C:$FM,106)</f>
        <v>29.17</v>
      </c>
      <c r="F79" s="50">
        <f>VLOOKUP($A79,'Data shares'!$C:$FM,108)</f>
        <v>-2.92</v>
      </c>
      <c r="G79" s="50">
        <f t="shared" si="2"/>
        <v>0.89989715461090158</v>
      </c>
    </row>
    <row r="80" spans="1:7" x14ac:dyDescent="0.25">
      <c r="A80" s="49" t="str">
        <f>'Data shares'!C75</f>
        <v>HDFCAMC</v>
      </c>
      <c r="B80" s="50">
        <f>VLOOKUP($A80,'Data shares'!$C:$FM,102)</f>
        <v>26.77</v>
      </c>
      <c r="C80" s="50">
        <f>VLOOKUP($A80,'Data shares'!$C:$FM,110)</f>
        <v>26.76</v>
      </c>
      <c r="D80" s="50">
        <f>VLOOKUP($A80,'Data shares'!$C:$FM,114)</f>
        <v>26.77</v>
      </c>
      <c r="E80" s="50">
        <f>VLOOKUP($A80,'Data shares'!$C:$FM,106)</f>
        <v>34.950000000000003</v>
      </c>
      <c r="F80" s="50">
        <f>VLOOKUP($A80,'Data shares'!$C:$FM,108)</f>
        <v>-8.18</v>
      </c>
      <c r="G80" s="50">
        <f t="shared" si="2"/>
        <v>0.76595135908440626</v>
      </c>
    </row>
    <row r="81" spans="1:7" x14ac:dyDescent="0.25">
      <c r="A81" s="49" t="str">
        <f>'Data shares'!C76</f>
        <v>HDFCBANK</v>
      </c>
      <c r="B81" s="50">
        <f>VLOOKUP($A81,'Data shares'!$C:$FM,102)</f>
        <v>17.760000000000002</v>
      </c>
      <c r="C81" s="50">
        <f>VLOOKUP($A81,'Data shares'!$C:$FM,110)</f>
        <v>17.62</v>
      </c>
      <c r="D81" s="50">
        <f>VLOOKUP($A81,'Data shares'!$C:$FM,114)</f>
        <v>18.04</v>
      </c>
      <c r="E81" s="50">
        <f>VLOOKUP($A81,'Data shares'!$C:$FM,106)</f>
        <v>21.29</v>
      </c>
      <c r="F81" s="50">
        <f>VLOOKUP($A81,'Data shares'!$C:$FM,108)</f>
        <v>-3.53</v>
      </c>
      <c r="G81" s="50">
        <f t="shared" si="2"/>
        <v>0.83419445749178034</v>
      </c>
    </row>
    <row r="82" spans="1:7" x14ac:dyDescent="0.25">
      <c r="A82" s="49" t="str">
        <f>'Data shares'!C77</f>
        <v>HDFCLIFE</v>
      </c>
      <c r="B82" s="50">
        <f>VLOOKUP($A82,'Data shares'!$C:$FM,102)</f>
        <v>25.14</v>
      </c>
      <c r="C82" s="50">
        <f>VLOOKUP($A82,'Data shares'!$C:$FM,110)</f>
        <v>25.39</v>
      </c>
      <c r="D82" s="50">
        <f>VLOOKUP($A82,'Data shares'!$C:$FM,114)</f>
        <v>24.59</v>
      </c>
      <c r="E82" s="50">
        <f>VLOOKUP($A82,'Data shares'!$C:$FM,106)</f>
        <v>25.97</v>
      </c>
      <c r="F82" s="50">
        <f>VLOOKUP($A82,'Data shares'!$C:$FM,108)</f>
        <v>-0.83</v>
      </c>
      <c r="G82" s="50">
        <f t="shared" si="2"/>
        <v>0.96804004620716222</v>
      </c>
    </row>
    <row r="83" spans="1:7" x14ac:dyDescent="0.25">
      <c r="A83" s="49" t="str">
        <f>'Data shares'!C78</f>
        <v>HEROMOTOCO</v>
      </c>
      <c r="B83" s="50">
        <f>VLOOKUP($A83,'Data shares'!$C:$FM,102)</f>
        <v>25.36</v>
      </c>
      <c r="C83" s="50">
        <f>VLOOKUP($A83,'Data shares'!$C:$FM,110)</f>
        <v>25.36</v>
      </c>
      <c r="D83" s="50">
        <f>VLOOKUP($A83,'Data shares'!$C:$FM,114)</f>
        <v>25.38</v>
      </c>
      <c r="E83" s="50">
        <f>VLOOKUP($A83,'Data shares'!$C:$FM,106)</f>
        <v>30.96</v>
      </c>
      <c r="F83" s="50">
        <f>VLOOKUP($A83,'Data shares'!$C:$FM,108)</f>
        <v>-5.6</v>
      </c>
      <c r="G83" s="50">
        <f t="shared" si="2"/>
        <v>0.81912144702842371</v>
      </c>
    </row>
    <row r="84" spans="1:7" x14ac:dyDescent="0.25">
      <c r="A84" s="49" t="str">
        <f>'Data shares'!C79</f>
        <v>HFCL</v>
      </c>
      <c r="B84" s="50">
        <f>VLOOKUP($A84,'Data shares'!$C:$FM,102)</f>
        <v>41.73</v>
      </c>
      <c r="C84" s="50">
        <f>VLOOKUP($A84,'Data shares'!$C:$FM,110)</f>
        <v>41.9</v>
      </c>
      <c r="D84" s="50">
        <f>VLOOKUP($A84,'Data shares'!$C:$FM,114)</f>
        <v>41.19</v>
      </c>
      <c r="E84" s="50">
        <f>VLOOKUP($A84,'Data shares'!$C:$FM,106)</f>
        <v>55</v>
      </c>
      <c r="F84" s="50">
        <f>VLOOKUP($A84,'Data shares'!$C:$FM,108)</f>
        <v>-13.27</v>
      </c>
      <c r="G84" s="50">
        <f t="shared" si="2"/>
        <v>0.75872727272727269</v>
      </c>
    </row>
    <row r="85" spans="1:7" x14ac:dyDescent="0.25">
      <c r="A85" s="49" t="str">
        <f>'Data shares'!C80</f>
        <v>HINDALCO</v>
      </c>
      <c r="B85" s="50">
        <f>VLOOKUP($A85,'Data shares'!$C:$FM,102)</f>
        <v>22.61</v>
      </c>
      <c r="C85" s="50">
        <f>VLOOKUP($A85,'Data shares'!$C:$FM,110)</f>
        <v>22.35</v>
      </c>
      <c r="D85" s="50">
        <f>VLOOKUP($A85,'Data shares'!$C:$FM,114)</f>
        <v>23.1</v>
      </c>
      <c r="E85" s="50">
        <f>VLOOKUP($A85,'Data shares'!$C:$FM,106)</f>
        <v>33.26</v>
      </c>
      <c r="F85" s="50">
        <f>VLOOKUP($A85,'Data shares'!$C:$FM,108)</f>
        <v>-10.65</v>
      </c>
      <c r="G85" s="50">
        <f t="shared" si="2"/>
        <v>0.67979555021046301</v>
      </c>
    </row>
    <row r="86" spans="1:7" x14ac:dyDescent="0.25">
      <c r="A86" s="49" t="str">
        <f>'Data shares'!C81</f>
        <v>HINDPETRO</v>
      </c>
      <c r="B86" s="50">
        <f>VLOOKUP($A86,'Data shares'!$C:$FM,102)</f>
        <v>31.88</v>
      </c>
      <c r="C86" s="50">
        <f>VLOOKUP($A86,'Data shares'!$C:$FM,110)</f>
        <v>32.770000000000003</v>
      </c>
      <c r="D86" s="50">
        <f>VLOOKUP($A86,'Data shares'!$C:$FM,114)</f>
        <v>30.33</v>
      </c>
      <c r="E86" s="50">
        <f>VLOOKUP($A86,'Data shares'!$C:$FM,106)</f>
        <v>40.96</v>
      </c>
      <c r="F86" s="50">
        <f>VLOOKUP($A86,'Data shares'!$C:$FM,108)</f>
        <v>-9.08</v>
      </c>
      <c r="G86" s="50">
        <f t="shared" si="2"/>
        <v>0.7783203125</v>
      </c>
    </row>
    <row r="87" spans="1:7" x14ac:dyDescent="0.25">
      <c r="A87" s="49" t="str">
        <f>'Data shares'!C82</f>
        <v>HINDUNILVR</v>
      </c>
      <c r="B87" s="50">
        <f>VLOOKUP($A87,'Data shares'!$C:$FM,102)</f>
        <v>18.78</v>
      </c>
      <c r="C87" s="50">
        <f>VLOOKUP($A87,'Data shares'!$C:$FM,110)</f>
        <v>18.670000000000002</v>
      </c>
      <c r="D87" s="50">
        <f>VLOOKUP($A87,'Data shares'!$C:$FM,114)</f>
        <v>18.97</v>
      </c>
      <c r="E87" s="50">
        <f>VLOOKUP($A87,'Data shares'!$C:$FM,106)</f>
        <v>22.67</v>
      </c>
      <c r="F87" s="50">
        <f>VLOOKUP($A87,'Data shares'!$C:$FM,108)</f>
        <v>-3.89</v>
      </c>
      <c r="G87" s="50">
        <f t="shared" si="2"/>
        <v>0.82840758711954121</v>
      </c>
    </row>
    <row r="88" spans="1:7" x14ac:dyDescent="0.25">
      <c r="A88" s="49" t="str">
        <f>'Data shares'!C83</f>
        <v>HINDZINC</v>
      </c>
      <c r="B88" s="50">
        <f>VLOOKUP($A88,'Data shares'!$C:$FM,102)</f>
        <v>34.64</v>
      </c>
      <c r="C88" s="50">
        <f>VLOOKUP($A88,'Data shares'!$C:$FM,110)</f>
        <v>35.049999999999997</v>
      </c>
      <c r="D88" s="50">
        <f>VLOOKUP($A88,'Data shares'!$C:$FM,114)</f>
        <v>33.71</v>
      </c>
      <c r="E88" s="50">
        <f>VLOOKUP($A88,'Data shares'!$C:$FM,106)</f>
        <v>44.87</v>
      </c>
      <c r="F88" s="50">
        <f>VLOOKUP($A88,'Data shares'!$C:$FM,108)</f>
        <v>-10.23</v>
      </c>
      <c r="G88" s="50">
        <f t="shared" si="2"/>
        <v>0.77200802317807005</v>
      </c>
    </row>
    <row r="89" spans="1:7" x14ac:dyDescent="0.25">
      <c r="A89" s="49" t="str">
        <f>'Data shares'!C84</f>
        <v>HUDCO</v>
      </c>
      <c r="B89" s="50">
        <f>VLOOKUP($A89,'Data shares'!$C:$FM,102)</f>
        <v>29.62</v>
      </c>
      <c r="C89" s="50">
        <f>VLOOKUP($A89,'Data shares'!$C:$FM,110)</f>
        <v>29.87</v>
      </c>
      <c r="D89" s="50">
        <f>VLOOKUP($A89,'Data shares'!$C:$FM,114)</f>
        <v>29.1</v>
      </c>
      <c r="E89" s="50">
        <f>VLOOKUP($A89,'Data shares'!$C:$FM,106)</f>
        <v>53.81</v>
      </c>
      <c r="F89" s="50">
        <f>VLOOKUP($A89,'Data shares'!$C:$FM,108)</f>
        <v>-24.19</v>
      </c>
      <c r="G89" s="50">
        <f t="shared" si="2"/>
        <v>0.55045530570525925</v>
      </c>
    </row>
    <row r="90" spans="1:7" x14ac:dyDescent="0.25">
      <c r="A90" s="49" t="str">
        <f>'Data shares'!C85</f>
        <v>ICICIBANK</v>
      </c>
      <c r="B90" s="50">
        <f>VLOOKUP($A90,'Data shares'!$C:$FM,102)</f>
        <v>18.13</v>
      </c>
      <c r="C90" s="50">
        <f>VLOOKUP($A90,'Data shares'!$C:$FM,110)</f>
        <v>17.93</v>
      </c>
      <c r="D90" s="50">
        <f>VLOOKUP($A90,'Data shares'!$C:$FM,114)</f>
        <v>18.52</v>
      </c>
      <c r="E90" s="50">
        <f>VLOOKUP($A90,'Data shares'!$C:$FM,106)</f>
        <v>20.97</v>
      </c>
      <c r="F90" s="50">
        <f>VLOOKUP($A90,'Data shares'!$C:$FM,108)</f>
        <v>-2.84</v>
      </c>
      <c r="G90" s="50">
        <f t="shared" si="2"/>
        <v>0.86456843109203629</v>
      </c>
    </row>
    <row r="91" spans="1:7" x14ac:dyDescent="0.25">
      <c r="A91" s="49" t="str">
        <f>'Data shares'!C86</f>
        <v>ICICIGI</v>
      </c>
      <c r="B91" s="50">
        <f>VLOOKUP($A91,'Data shares'!$C:$FM,102)</f>
        <v>26.5</v>
      </c>
      <c r="C91" s="50">
        <f>VLOOKUP($A91,'Data shares'!$C:$FM,110)</f>
        <v>26.78</v>
      </c>
      <c r="D91" s="50">
        <f>VLOOKUP($A91,'Data shares'!$C:$FM,114)</f>
        <v>26.01</v>
      </c>
      <c r="E91" s="50">
        <f>VLOOKUP($A91,'Data shares'!$C:$FM,106)</f>
        <v>28.14</v>
      </c>
      <c r="F91" s="50">
        <f>VLOOKUP($A91,'Data shares'!$C:$FM,108)</f>
        <v>-1.64</v>
      </c>
      <c r="G91" s="50">
        <f t="shared" si="2"/>
        <v>0.94171997157071785</v>
      </c>
    </row>
    <row r="92" spans="1:7" x14ac:dyDescent="0.25">
      <c r="A92" s="49" t="str">
        <f>'Data shares'!C87</f>
        <v>ICICIPRULI</v>
      </c>
      <c r="B92" s="50">
        <f>VLOOKUP($A92,'Data shares'!$C:$FM,102)</f>
        <v>27.02</v>
      </c>
      <c r="C92" s="50">
        <f>VLOOKUP($A92,'Data shares'!$C:$FM,110)</f>
        <v>26.99</v>
      </c>
      <c r="D92" s="50">
        <f>VLOOKUP($A92,'Data shares'!$C:$FM,114)</f>
        <v>27.08</v>
      </c>
      <c r="E92" s="50">
        <f>VLOOKUP($A92,'Data shares'!$C:$FM,106)</f>
        <v>28.28</v>
      </c>
      <c r="F92" s="50">
        <f>VLOOKUP($A92,'Data shares'!$C:$FM,108)</f>
        <v>-1.26</v>
      </c>
      <c r="G92" s="50">
        <f t="shared" si="2"/>
        <v>0.95544554455445541</v>
      </c>
    </row>
    <row r="93" spans="1:7" x14ac:dyDescent="0.25">
      <c r="A93" s="49" t="str">
        <f>'Data shares'!C88</f>
        <v>IDEA</v>
      </c>
      <c r="B93" s="50">
        <f>VLOOKUP($A93,'Data shares'!$C:$FM,102)</f>
        <v>76.13</v>
      </c>
      <c r="C93" s="50">
        <f>VLOOKUP($A93,'Data shares'!$C:$FM,110)</f>
        <v>77.66</v>
      </c>
      <c r="D93" s="50">
        <f>VLOOKUP($A93,'Data shares'!$C:$FM,114)</f>
        <v>71.38</v>
      </c>
      <c r="E93" s="50">
        <f>VLOOKUP($A93,'Data shares'!$C:$FM,106)</f>
        <v>68.33</v>
      </c>
      <c r="F93" s="50">
        <f>VLOOKUP($A93,'Data shares'!$C:$FM,108)</f>
        <v>7.8</v>
      </c>
      <c r="G93" s="50">
        <f t="shared" si="2"/>
        <v>1.1141519098492609</v>
      </c>
    </row>
    <row r="94" spans="1:7" x14ac:dyDescent="0.25">
      <c r="A94" s="49" t="str">
        <f>'Data shares'!C89</f>
        <v>IDFCFIRSTB</v>
      </c>
      <c r="B94" s="50">
        <f>VLOOKUP($A94,'Data shares'!$C:$FM,102)</f>
        <v>28.54</v>
      </c>
      <c r="C94" s="50">
        <f>VLOOKUP($A94,'Data shares'!$C:$FM,110)</f>
        <v>28.18</v>
      </c>
      <c r="D94" s="50">
        <f>VLOOKUP($A94,'Data shares'!$C:$FM,114)</f>
        <v>29.52</v>
      </c>
      <c r="E94" s="50">
        <f>VLOOKUP($A94,'Data shares'!$C:$FM,106)</f>
        <v>33.89</v>
      </c>
      <c r="F94" s="50">
        <f>VLOOKUP($A94,'Data shares'!$C:$FM,108)</f>
        <v>-5.35</v>
      </c>
      <c r="G94" s="50">
        <f t="shared" si="2"/>
        <v>0.84213632339923272</v>
      </c>
    </row>
    <row r="95" spans="1:7" x14ac:dyDescent="0.25">
      <c r="A95" s="49" t="str">
        <f>'Data shares'!C90</f>
        <v>IEX</v>
      </c>
      <c r="B95" s="50">
        <f>VLOOKUP($A95,'Data shares'!$C:$FM,102)</f>
        <v>32.69</v>
      </c>
      <c r="C95" s="50">
        <f>VLOOKUP($A95,'Data shares'!$C:$FM,110)</f>
        <v>33.090000000000003</v>
      </c>
      <c r="D95" s="50">
        <f>VLOOKUP($A95,'Data shares'!$C:$FM,114)</f>
        <v>31.75</v>
      </c>
      <c r="E95" s="50">
        <f>VLOOKUP($A95,'Data shares'!$C:$FM,106)</f>
        <v>57.64</v>
      </c>
      <c r="F95" s="50">
        <f>VLOOKUP($A95,'Data shares'!$C:$FM,108)</f>
        <v>-24.95</v>
      </c>
      <c r="G95" s="50">
        <f t="shared" si="2"/>
        <v>0.56714087439278271</v>
      </c>
    </row>
    <row r="96" spans="1:7" x14ac:dyDescent="0.25">
      <c r="A96" s="49" t="str">
        <f>'Data shares'!C91</f>
        <v>IGL</v>
      </c>
      <c r="B96" s="50">
        <f>VLOOKUP($A96,'Data shares'!$C:$FM,102)</f>
        <v>29.87</v>
      </c>
      <c r="C96" s="50">
        <f>VLOOKUP($A96,'Data shares'!$C:$FM,110)</f>
        <v>30.34</v>
      </c>
      <c r="D96" s="50">
        <f>VLOOKUP($A96,'Data shares'!$C:$FM,114)</f>
        <v>28.76</v>
      </c>
      <c r="E96" s="50">
        <f>VLOOKUP($A96,'Data shares'!$C:$FM,106)</f>
        <v>42.24</v>
      </c>
      <c r="F96" s="50">
        <f>VLOOKUP($A96,'Data shares'!$C:$FM,108)</f>
        <v>-12.37</v>
      </c>
      <c r="G96" s="50">
        <f t="shared" si="2"/>
        <v>0.70714962121212122</v>
      </c>
    </row>
    <row r="97" spans="1:7" x14ac:dyDescent="0.25">
      <c r="A97" s="49" t="str">
        <f>'Data shares'!C92</f>
        <v>IIFL</v>
      </c>
      <c r="B97" s="50">
        <f>VLOOKUP($A97,'Data shares'!$C:$FM,102)</f>
        <v>31.78</v>
      </c>
      <c r="C97" s="50">
        <f>VLOOKUP($A97,'Data shares'!$C:$FM,110)</f>
        <v>31.81</v>
      </c>
      <c r="D97" s="50">
        <f>VLOOKUP($A97,'Data shares'!$C:$FM,114)</f>
        <v>31.72</v>
      </c>
      <c r="E97" s="50">
        <f>VLOOKUP($A97,'Data shares'!$C:$FM,106)</f>
        <v>52.64</v>
      </c>
      <c r="F97" s="50">
        <f>VLOOKUP($A97,'Data shares'!$C:$FM,108)</f>
        <v>-20.86</v>
      </c>
      <c r="G97" s="50">
        <f t="shared" si="2"/>
        <v>0.60372340425531912</v>
      </c>
    </row>
    <row r="98" spans="1:7" x14ac:dyDescent="0.25">
      <c r="A98" s="49" t="str">
        <f>'Data shares'!C93</f>
        <v>INDHOTEL</v>
      </c>
      <c r="B98" s="50">
        <f>VLOOKUP($A98,'Data shares'!$C:$FM,102)</f>
        <v>23.39</v>
      </c>
      <c r="C98" s="50">
        <f>VLOOKUP($A98,'Data shares'!$C:$FM,110)</f>
        <v>23.52</v>
      </c>
      <c r="D98" s="50">
        <f>VLOOKUP($A98,'Data shares'!$C:$FM,114)</f>
        <v>22.96</v>
      </c>
      <c r="E98" s="50">
        <f>VLOOKUP($A98,'Data shares'!$C:$FM,106)</f>
        <v>35.770000000000003</v>
      </c>
      <c r="F98" s="50">
        <f>VLOOKUP($A98,'Data shares'!$C:$FM,108)</f>
        <v>-12.38</v>
      </c>
      <c r="G98" s="50">
        <f t="shared" si="2"/>
        <v>0.65389991613083587</v>
      </c>
    </row>
    <row r="99" spans="1:7" x14ac:dyDescent="0.25">
      <c r="A99" s="49" t="str">
        <f>'Data shares'!C94</f>
        <v>INDIANB</v>
      </c>
      <c r="B99" s="50">
        <f>VLOOKUP($A99,'Data shares'!$C:$FM,102)</f>
        <v>27.3</v>
      </c>
      <c r="C99" s="50">
        <f>VLOOKUP($A99,'Data shares'!$C:$FM,110)</f>
        <v>26.31</v>
      </c>
      <c r="D99" s="50">
        <f>VLOOKUP($A99,'Data shares'!$C:$FM,114)</f>
        <v>29.15</v>
      </c>
      <c r="E99" s="50">
        <f>VLOOKUP($A99,'Data shares'!$C:$FM,106)</f>
        <v>38.47</v>
      </c>
      <c r="F99" s="50">
        <f>VLOOKUP($A99,'Data shares'!$C:$FM,108)</f>
        <v>-11.17</v>
      </c>
      <c r="G99" s="50">
        <f t="shared" si="2"/>
        <v>0.70964387834676379</v>
      </c>
    </row>
    <row r="100" spans="1:7" x14ac:dyDescent="0.25">
      <c r="A100" s="49" t="str">
        <f>'Data shares'!C95</f>
        <v>INDIAVIX</v>
      </c>
      <c r="B100" s="50">
        <f>VLOOKUP($A100,'Data shares'!$C:$FM,102)</f>
        <v>0</v>
      </c>
      <c r="C100" s="50">
        <f>VLOOKUP($A100,'Data shares'!$C:$FM,110)</f>
        <v>0</v>
      </c>
      <c r="D100" s="50">
        <f>VLOOKUP($A100,'Data shares'!$C:$FM,114)</f>
        <v>0</v>
      </c>
      <c r="E100" s="50">
        <f>VLOOKUP($A100,'Data shares'!$C:$FM,106)</f>
        <v>0</v>
      </c>
      <c r="F100" s="50">
        <f>VLOOKUP($A100,'Data shares'!$C:$FM,108)</f>
        <v>0</v>
      </c>
      <c r="G100" s="50" t="e">
        <f t="shared" si="2"/>
        <v>#DIV/0!</v>
      </c>
    </row>
    <row r="101" spans="1:7" x14ac:dyDescent="0.25">
      <c r="A101" s="49" t="str">
        <f>'Data shares'!C96</f>
        <v>INDIGO</v>
      </c>
      <c r="B101" s="50">
        <f>VLOOKUP($A101,'Data shares'!$C:$FM,102)</f>
        <v>19.38</v>
      </c>
      <c r="C101" s="50">
        <f>VLOOKUP($A101,'Data shares'!$C:$FM,110)</f>
        <v>18.98</v>
      </c>
      <c r="D101" s="50">
        <f>VLOOKUP($A101,'Data shares'!$C:$FM,114)</f>
        <v>20.420000000000002</v>
      </c>
      <c r="E101" s="50">
        <f>VLOOKUP($A101,'Data shares'!$C:$FM,106)</f>
        <v>32.909999999999997</v>
      </c>
      <c r="F101" s="50">
        <f>VLOOKUP($A101,'Data shares'!$C:$FM,108)</f>
        <v>-13.53</v>
      </c>
      <c r="G101" s="50">
        <f t="shared" si="2"/>
        <v>0.58887876025524155</v>
      </c>
    </row>
    <row r="102" spans="1:7" x14ac:dyDescent="0.25">
      <c r="A102" s="49" t="str">
        <f>'Data shares'!C97</f>
        <v>INDUSINDBK</v>
      </c>
      <c r="B102" s="50">
        <f>VLOOKUP($A102,'Data shares'!$C:$FM,102)</f>
        <v>30.07</v>
      </c>
      <c r="C102" s="50">
        <f>VLOOKUP($A102,'Data shares'!$C:$FM,110)</f>
        <v>29.82</v>
      </c>
      <c r="D102" s="50">
        <f>VLOOKUP($A102,'Data shares'!$C:$FM,114)</f>
        <v>30.63</v>
      </c>
      <c r="E102" s="50">
        <f>VLOOKUP($A102,'Data shares'!$C:$FM,106)</f>
        <v>47.6</v>
      </c>
      <c r="F102" s="50">
        <f>VLOOKUP($A102,'Data shares'!$C:$FM,108)</f>
        <v>-17.53</v>
      </c>
      <c r="G102" s="50">
        <f t="shared" si="2"/>
        <v>0.63172268907563023</v>
      </c>
    </row>
    <row r="103" spans="1:7" x14ac:dyDescent="0.25">
      <c r="A103" s="49" t="str">
        <f>'Data shares'!C98</f>
        <v>INDUSTOWER</v>
      </c>
      <c r="B103" s="50">
        <f>VLOOKUP($A103,'Data shares'!$C:$FM,102)</f>
        <v>32.94</v>
      </c>
      <c r="C103" s="50">
        <f>VLOOKUP($A103,'Data shares'!$C:$FM,110)</f>
        <v>33.01</v>
      </c>
      <c r="D103" s="50">
        <f>VLOOKUP($A103,'Data shares'!$C:$FM,114)</f>
        <v>32.75</v>
      </c>
      <c r="E103" s="50">
        <f>VLOOKUP($A103,'Data shares'!$C:$FM,106)</f>
        <v>39.86</v>
      </c>
      <c r="F103" s="50">
        <f>VLOOKUP($A103,'Data shares'!$C:$FM,108)</f>
        <v>-6.92</v>
      </c>
      <c r="G103" s="50">
        <f t="shared" ref="G103:G134" si="3">B103/E103</f>
        <v>0.826392373306573</v>
      </c>
    </row>
    <row r="104" spans="1:7" x14ac:dyDescent="0.25">
      <c r="A104" s="49" t="str">
        <f>'Data shares'!C99</f>
        <v>INFY</v>
      </c>
      <c r="B104" s="50">
        <f>VLOOKUP($A104,'Data shares'!$C:$FM,102)</f>
        <v>27.15</v>
      </c>
      <c r="C104" s="50">
        <f>VLOOKUP($A104,'Data shares'!$C:$FM,110)</f>
        <v>26.59</v>
      </c>
      <c r="D104" s="50">
        <f>VLOOKUP($A104,'Data shares'!$C:$FM,114)</f>
        <v>28</v>
      </c>
      <c r="E104" s="50">
        <f>VLOOKUP($A104,'Data shares'!$C:$FM,106)</f>
        <v>29.48</v>
      </c>
      <c r="F104" s="50">
        <f>VLOOKUP($A104,'Data shares'!$C:$FM,108)</f>
        <v>-2.33</v>
      </c>
      <c r="G104" s="50">
        <f t="shared" si="3"/>
        <v>0.92096336499321563</v>
      </c>
    </row>
    <row r="105" spans="1:7" x14ac:dyDescent="0.25">
      <c r="A105" s="49" t="str">
        <f>'Data shares'!C100</f>
        <v>INOXWIND</v>
      </c>
      <c r="B105" s="50">
        <f>VLOOKUP($A105,'Data shares'!$C:$FM,102)</f>
        <v>33.69</v>
      </c>
      <c r="C105" s="50">
        <f>VLOOKUP($A105,'Data shares'!$C:$FM,110)</f>
        <v>33.83</v>
      </c>
      <c r="D105" s="50">
        <f>VLOOKUP($A105,'Data shares'!$C:$FM,114)</f>
        <v>33.24</v>
      </c>
      <c r="E105" s="50">
        <f>VLOOKUP($A105,'Data shares'!$C:$FM,106)</f>
        <v>57.26</v>
      </c>
      <c r="F105" s="50">
        <f>VLOOKUP($A105,'Data shares'!$C:$FM,108)</f>
        <v>-23.57</v>
      </c>
      <c r="G105" s="50">
        <f t="shared" si="3"/>
        <v>0.58836884387006638</v>
      </c>
    </row>
    <row r="106" spans="1:7" x14ac:dyDescent="0.25">
      <c r="A106" s="49" t="str">
        <f>'Data shares'!C101</f>
        <v>IOC</v>
      </c>
      <c r="B106" s="50">
        <f>VLOOKUP($A106,'Data shares'!$C:$FM,102)</f>
        <v>22.85</v>
      </c>
      <c r="C106" s="50">
        <f>VLOOKUP($A106,'Data shares'!$C:$FM,110)</f>
        <v>23.27</v>
      </c>
      <c r="D106" s="50">
        <f>VLOOKUP($A106,'Data shares'!$C:$FM,114)</f>
        <v>22.12</v>
      </c>
      <c r="E106" s="50">
        <f>VLOOKUP($A106,'Data shares'!$C:$FM,106)</f>
        <v>32.17</v>
      </c>
      <c r="F106" s="50">
        <f>VLOOKUP($A106,'Data shares'!$C:$FM,108)</f>
        <v>-9.32</v>
      </c>
      <c r="G106" s="50">
        <f t="shared" si="3"/>
        <v>0.71028908921355305</v>
      </c>
    </row>
    <row r="107" spans="1:7" x14ac:dyDescent="0.25">
      <c r="A107" s="49" t="str">
        <f>'Data shares'!C102</f>
        <v>IRCTC</v>
      </c>
      <c r="B107" s="50">
        <f>VLOOKUP($A107,'Data shares'!$C:$FM,102)</f>
        <v>19.86</v>
      </c>
      <c r="C107" s="50">
        <f>VLOOKUP($A107,'Data shares'!$C:$FM,110)</f>
        <v>20.03</v>
      </c>
      <c r="D107" s="50">
        <f>VLOOKUP($A107,'Data shares'!$C:$FM,114)</f>
        <v>19.38</v>
      </c>
      <c r="E107" s="50">
        <f>VLOOKUP($A107,'Data shares'!$C:$FM,106)</f>
        <v>31.33</v>
      </c>
      <c r="F107" s="50">
        <f>VLOOKUP($A107,'Data shares'!$C:$FM,108)</f>
        <v>-11.47</v>
      </c>
      <c r="G107" s="50">
        <f t="shared" si="3"/>
        <v>0.63389722310884133</v>
      </c>
    </row>
    <row r="108" spans="1:7" x14ac:dyDescent="0.25">
      <c r="A108" s="49" t="str">
        <f>'Data shares'!C103</f>
        <v>IREDA</v>
      </c>
      <c r="B108" s="50">
        <f>VLOOKUP($A108,'Data shares'!$C:$FM,102)</f>
        <v>39.81</v>
      </c>
      <c r="C108" s="50">
        <f>VLOOKUP($A108,'Data shares'!$C:$FM,110)</f>
        <v>40.51</v>
      </c>
      <c r="D108" s="50">
        <f>VLOOKUP($A108,'Data shares'!$C:$FM,114)</f>
        <v>38.33</v>
      </c>
      <c r="E108" s="50">
        <f>VLOOKUP($A108,'Data shares'!$C:$FM,106)</f>
        <v>52.74</v>
      </c>
      <c r="F108" s="50">
        <f>VLOOKUP($A108,'Data shares'!$C:$FM,108)</f>
        <v>-12.93</v>
      </c>
      <c r="G108" s="50">
        <f t="shared" si="3"/>
        <v>0.75483503981797495</v>
      </c>
    </row>
    <row r="109" spans="1:7" x14ac:dyDescent="0.25">
      <c r="A109" s="49" t="str">
        <f>'Data shares'!C104</f>
        <v>IRFC</v>
      </c>
      <c r="B109" s="50">
        <f>VLOOKUP($A109,'Data shares'!$C:$FM,102)</f>
        <v>31.19</v>
      </c>
      <c r="C109" s="50">
        <f>VLOOKUP($A109,'Data shares'!$C:$FM,110)</f>
        <v>31.26</v>
      </c>
      <c r="D109" s="50">
        <f>VLOOKUP($A109,'Data shares'!$C:$FM,114)</f>
        <v>31.01</v>
      </c>
      <c r="E109" s="50">
        <f>VLOOKUP($A109,'Data shares'!$C:$FM,106)</f>
        <v>48.06</v>
      </c>
      <c r="F109" s="50">
        <f>VLOOKUP($A109,'Data shares'!$C:$FM,108)</f>
        <v>-16.87</v>
      </c>
      <c r="G109" s="50">
        <f t="shared" si="3"/>
        <v>0.64898044111527253</v>
      </c>
    </row>
    <row r="110" spans="1:7" x14ac:dyDescent="0.25">
      <c r="A110" s="49" t="str">
        <f>'Data shares'!C105</f>
        <v>ITC</v>
      </c>
      <c r="B110" s="50">
        <f>VLOOKUP($A110,'Data shares'!$C:$FM,102)</f>
        <v>14.16</v>
      </c>
      <c r="C110" s="50">
        <f>VLOOKUP($A110,'Data shares'!$C:$FM,110)</f>
        <v>13.99</v>
      </c>
      <c r="D110" s="50">
        <f>VLOOKUP($A110,'Data shares'!$C:$FM,114)</f>
        <v>14.44</v>
      </c>
      <c r="E110" s="50">
        <f>VLOOKUP($A110,'Data shares'!$C:$FM,106)</f>
        <v>19.690000000000001</v>
      </c>
      <c r="F110" s="50">
        <f>VLOOKUP($A110,'Data shares'!$C:$FM,108)</f>
        <v>-5.53</v>
      </c>
      <c r="G110" s="50">
        <f t="shared" si="3"/>
        <v>0.71914677501269675</v>
      </c>
    </row>
    <row r="111" spans="1:7" x14ac:dyDescent="0.25">
      <c r="A111" s="49" t="str">
        <f>'Data shares'!C106</f>
        <v>JINDALSTEL</v>
      </c>
      <c r="B111" s="50">
        <f>VLOOKUP($A111,'Data shares'!$C:$FM,102)</f>
        <v>27.48</v>
      </c>
      <c r="C111" s="50">
        <f>VLOOKUP($A111,'Data shares'!$C:$FM,110)</f>
        <v>27.69</v>
      </c>
      <c r="D111" s="50">
        <f>VLOOKUP($A111,'Data shares'!$C:$FM,114)</f>
        <v>26.88</v>
      </c>
      <c r="E111" s="50">
        <f>VLOOKUP($A111,'Data shares'!$C:$FM,106)</f>
        <v>36.36</v>
      </c>
      <c r="F111" s="50">
        <f>VLOOKUP($A111,'Data shares'!$C:$FM,108)</f>
        <v>-8.8800000000000008</v>
      </c>
      <c r="G111" s="50">
        <f t="shared" si="3"/>
        <v>0.75577557755775582</v>
      </c>
    </row>
    <row r="112" spans="1:7" x14ac:dyDescent="0.25">
      <c r="A112" s="49" t="str">
        <f>'Data shares'!C107</f>
        <v>JIOFIN</v>
      </c>
      <c r="B112" s="50">
        <f>VLOOKUP($A112,'Data shares'!$C:$FM,102)</f>
        <v>26.48</v>
      </c>
      <c r="C112" s="50">
        <f>VLOOKUP($A112,'Data shares'!$C:$FM,110)</f>
        <v>26.58</v>
      </c>
      <c r="D112" s="50">
        <f>VLOOKUP($A112,'Data shares'!$C:$FM,114)</f>
        <v>26.28</v>
      </c>
      <c r="E112" s="50">
        <f>VLOOKUP($A112,'Data shares'!$C:$FM,106)</f>
        <v>36.380000000000003</v>
      </c>
      <c r="F112" s="50">
        <f>VLOOKUP($A112,'Data shares'!$C:$FM,108)</f>
        <v>-9.9</v>
      </c>
      <c r="G112" s="50">
        <f t="shared" si="3"/>
        <v>0.72787245739417261</v>
      </c>
    </row>
    <row r="113" spans="1:7" x14ac:dyDescent="0.25">
      <c r="A113" s="49" t="str">
        <f>'Data shares'!C108</f>
        <v>JSWENERGY</v>
      </c>
      <c r="B113" s="50">
        <f>VLOOKUP($A113,'Data shares'!$C:$FM,102)</f>
        <v>28.38</v>
      </c>
      <c r="C113" s="50">
        <f>VLOOKUP($A113,'Data shares'!$C:$FM,110)</f>
        <v>28.42</v>
      </c>
      <c r="D113" s="50">
        <f>VLOOKUP($A113,'Data shares'!$C:$FM,114)</f>
        <v>28.22</v>
      </c>
      <c r="E113" s="50">
        <f>VLOOKUP($A113,'Data shares'!$C:$FM,106)</f>
        <v>45.69</v>
      </c>
      <c r="F113" s="50">
        <f>VLOOKUP($A113,'Data shares'!$C:$FM,108)</f>
        <v>-17.309999999999999</v>
      </c>
      <c r="G113" s="50">
        <f t="shared" si="3"/>
        <v>0.6211424819435325</v>
      </c>
    </row>
    <row r="114" spans="1:7" x14ac:dyDescent="0.25">
      <c r="A114" s="49" t="str">
        <f>'Data shares'!C109</f>
        <v>JSWSTEEL</v>
      </c>
      <c r="B114" s="50">
        <f>VLOOKUP($A114,'Data shares'!$C:$FM,102)</f>
        <v>24.05</v>
      </c>
      <c r="C114" s="50">
        <f>VLOOKUP($A114,'Data shares'!$C:$FM,110)</f>
        <v>23.83</v>
      </c>
      <c r="D114" s="50">
        <f>VLOOKUP($A114,'Data shares'!$C:$FM,114)</f>
        <v>24.41</v>
      </c>
      <c r="E114" s="50">
        <f>VLOOKUP($A114,'Data shares'!$C:$FM,106)</f>
        <v>29.67</v>
      </c>
      <c r="F114" s="50">
        <f>VLOOKUP($A114,'Data shares'!$C:$FM,108)</f>
        <v>-5.62</v>
      </c>
      <c r="G114" s="50">
        <f t="shared" si="3"/>
        <v>0.81058308055274686</v>
      </c>
    </row>
    <row r="115" spans="1:7" x14ac:dyDescent="0.25">
      <c r="A115" s="49" t="str">
        <f>'Data shares'!C110</f>
        <v>JUBLFOOD</v>
      </c>
      <c r="B115" s="50">
        <f>VLOOKUP($A115,'Data shares'!$C:$FM,102)</f>
        <v>26.32</v>
      </c>
      <c r="C115" s="50">
        <f>VLOOKUP($A115,'Data shares'!$C:$FM,110)</f>
        <v>26.39</v>
      </c>
      <c r="D115" s="50">
        <f>VLOOKUP($A115,'Data shares'!$C:$FM,114)</f>
        <v>26.08</v>
      </c>
      <c r="E115" s="50">
        <f>VLOOKUP($A115,'Data shares'!$C:$FM,106)</f>
        <v>34.1</v>
      </c>
      <c r="F115" s="50">
        <f>VLOOKUP($A115,'Data shares'!$C:$FM,108)</f>
        <v>-7.78</v>
      </c>
      <c r="G115" s="50">
        <f t="shared" si="3"/>
        <v>0.7718475073313783</v>
      </c>
    </row>
    <row r="116" spans="1:7" x14ac:dyDescent="0.25">
      <c r="A116" s="49" t="str">
        <f>'Data shares'!C111</f>
        <v>KALYANKJIL</v>
      </c>
      <c r="B116" s="50">
        <f>VLOOKUP($A116,'Data shares'!$C:$FM,102)</f>
        <v>34.18</v>
      </c>
      <c r="C116" s="50">
        <f>VLOOKUP($A116,'Data shares'!$C:$FM,110)</f>
        <v>34.61</v>
      </c>
      <c r="D116" s="50">
        <f>VLOOKUP($A116,'Data shares'!$C:$FM,114)</f>
        <v>33.07</v>
      </c>
      <c r="E116" s="50">
        <f>VLOOKUP($A116,'Data shares'!$C:$FM,106)</f>
        <v>52.08</v>
      </c>
      <c r="F116" s="50">
        <f>VLOOKUP($A116,'Data shares'!$C:$FM,108)</f>
        <v>-17.899999999999999</v>
      </c>
      <c r="G116" s="50">
        <f t="shared" si="3"/>
        <v>0.65629800307219666</v>
      </c>
    </row>
    <row r="117" spans="1:7" x14ac:dyDescent="0.25">
      <c r="A117" s="49" t="str">
        <f>'Data shares'!C112</f>
        <v>KAYNES</v>
      </c>
      <c r="B117" s="50">
        <f>VLOOKUP($A117,'Data shares'!$C:$FM,102)</f>
        <v>39.630000000000003</v>
      </c>
      <c r="C117" s="50">
        <f>VLOOKUP($A117,'Data shares'!$C:$FM,110)</f>
        <v>39.04</v>
      </c>
      <c r="D117" s="50">
        <f>VLOOKUP($A117,'Data shares'!$C:$FM,114)</f>
        <v>41.41</v>
      </c>
      <c r="E117" s="50">
        <f>VLOOKUP($A117,'Data shares'!$C:$FM,106)</f>
        <v>56.03</v>
      </c>
      <c r="F117" s="50">
        <f>VLOOKUP($A117,'Data shares'!$C:$FM,108)</f>
        <v>-16.399999999999999</v>
      </c>
      <c r="G117" s="50">
        <f t="shared" si="3"/>
        <v>0.70729966089594865</v>
      </c>
    </row>
    <row r="118" spans="1:7" x14ac:dyDescent="0.25">
      <c r="A118" s="49" t="str">
        <f>'Data shares'!C113</f>
        <v>KEI</v>
      </c>
      <c r="B118" s="50">
        <f>VLOOKUP($A118,'Data shares'!$C:$FM,102)</f>
        <v>33.880000000000003</v>
      </c>
      <c r="C118" s="50">
        <f>VLOOKUP($A118,'Data shares'!$C:$FM,110)</f>
        <v>33.630000000000003</v>
      </c>
      <c r="D118" s="50">
        <f>VLOOKUP($A118,'Data shares'!$C:$FM,114)</f>
        <v>34.24</v>
      </c>
      <c r="E118" s="50">
        <f>VLOOKUP($A118,'Data shares'!$C:$FM,106)</f>
        <v>48.58</v>
      </c>
      <c r="F118" s="50">
        <f>VLOOKUP($A118,'Data shares'!$C:$FM,108)</f>
        <v>-14.7</v>
      </c>
      <c r="G118" s="50">
        <f t="shared" si="3"/>
        <v>0.69740634005763702</v>
      </c>
    </row>
    <row r="119" spans="1:7" x14ac:dyDescent="0.25">
      <c r="A119" s="49" t="str">
        <f>'Data shares'!C114</f>
        <v>KFINTECH</v>
      </c>
      <c r="B119" s="50">
        <f>VLOOKUP($A119,'Data shares'!$C:$FM,102)</f>
        <v>35.409999999999997</v>
      </c>
      <c r="C119" s="50">
        <f>VLOOKUP($A119,'Data shares'!$C:$FM,110)</f>
        <v>34.950000000000003</v>
      </c>
      <c r="D119" s="50">
        <f>VLOOKUP($A119,'Data shares'!$C:$FM,114)</f>
        <v>36.409999999999997</v>
      </c>
      <c r="E119" s="50">
        <f>VLOOKUP($A119,'Data shares'!$C:$FM,106)</f>
        <v>55.83</v>
      </c>
      <c r="F119" s="50">
        <f>VLOOKUP($A119,'Data shares'!$C:$FM,108)</f>
        <v>-20.420000000000002</v>
      </c>
      <c r="G119" s="50">
        <f t="shared" si="3"/>
        <v>0.6342468207057137</v>
      </c>
    </row>
    <row r="120" spans="1:7" x14ac:dyDescent="0.25">
      <c r="A120" s="49" t="str">
        <f>'Data shares'!C115</f>
        <v>KOTAKBANK</v>
      </c>
      <c r="B120" s="50">
        <f>VLOOKUP($A120,'Data shares'!$C:$FM,102)</f>
        <v>20.350000000000001</v>
      </c>
      <c r="C120" s="50">
        <f>VLOOKUP($A120,'Data shares'!$C:$FM,110)</f>
        <v>19.760000000000002</v>
      </c>
      <c r="D120" s="50">
        <f>VLOOKUP($A120,'Data shares'!$C:$FM,114)</f>
        <v>21.3</v>
      </c>
      <c r="E120" s="50">
        <f>VLOOKUP($A120,'Data shares'!$C:$FM,106)</f>
        <v>27.67</v>
      </c>
      <c r="F120" s="50">
        <f>VLOOKUP($A120,'Data shares'!$C:$FM,108)</f>
        <v>-7.32</v>
      </c>
      <c r="G120" s="50">
        <f t="shared" si="3"/>
        <v>0.73545355981207083</v>
      </c>
    </row>
    <row r="121" spans="1:7" x14ac:dyDescent="0.25">
      <c r="A121" s="49" t="str">
        <f>'Data shares'!C116</f>
        <v>KPITTECH</v>
      </c>
      <c r="B121" s="50">
        <f>VLOOKUP($A121,'Data shares'!$C:$FM,102)</f>
        <v>31.07</v>
      </c>
      <c r="C121" s="50">
        <f>VLOOKUP($A121,'Data shares'!$C:$FM,110)</f>
        <v>31.31</v>
      </c>
      <c r="D121" s="50">
        <f>VLOOKUP($A121,'Data shares'!$C:$FM,114)</f>
        <v>30.69</v>
      </c>
      <c r="E121" s="50">
        <f>VLOOKUP($A121,'Data shares'!$C:$FM,106)</f>
        <v>45.32</v>
      </c>
      <c r="F121" s="50">
        <f>VLOOKUP($A121,'Data shares'!$C:$FM,108)</f>
        <v>-14.25</v>
      </c>
      <c r="G121" s="50">
        <f t="shared" si="3"/>
        <v>0.68556928508384818</v>
      </c>
    </row>
    <row r="122" spans="1:7" x14ac:dyDescent="0.25">
      <c r="A122" s="49" t="str">
        <f>'Data shares'!C117</f>
        <v>LAURUSLABS</v>
      </c>
      <c r="B122" s="50">
        <f>VLOOKUP($A122,'Data shares'!$C:$FM,102)</f>
        <v>36.75</v>
      </c>
      <c r="C122" s="50">
        <f>VLOOKUP($A122,'Data shares'!$C:$FM,110)</f>
        <v>36.869999999999997</v>
      </c>
      <c r="D122" s="50">
        <f>VLOOKUP($A122,'Data shares'!$C:$FM,114)</f>
        <v>36.44</v>
      </c>
      <c r="E122" s="50">
        <f>VLOOKUP($A122,'Data shares'!$C:$FM,106)</f>
        <v>41.21</v>
      </c>
      <c r="F122" s="50">
        <f>VLOOKUP($A122,'Data shares'!$C:$FM,108)</f>
        <v>-4.46</v>
      </c>
      <c r="G122" s="50">
        <f t="shared" si="3"/>
        <v>0.89177384130065518</v>
      </c>
    </row>
    <row r="123" spans="1:7" x14ac:dyDescent="0.25">
      <c r="A123" s="49" t="str">
        <f>'Data shares'!C118</f>
        <v>LICHSGFIN</v>
      </c>
      <c r="B123" s="50">
        <f>VLOOKUP($A123,'Data shares'!$C:$FM,102)</f>
        <v>21.9</v>
      </c>
      <c r="C123" s="50">
        <f>VLOOKUP($A123,'Data shares'!$C:$FM,110)</f>
        <v>22.06</v>
      </c>
      <c r="D123" s="50">
        <f>VLOOKUP($A123,'Data shares'!$C:$FM,114)</f>
        <v>21.47</v>
      </c>
      <c r="E123" s="50">
        <f>VLOOKUP($A123,'Data shares'!$C:$FM,106)</f>
        <v>34.869999999999997</v>
      </c>
      <c r="F123" s="50">
        <f>VLOOKUP($A123,'Data shares'!$C:$FM,108)</f>
        <v>-12.97</v>
      </c>
      <c r="G123" s="50">
        <f t="shared" si="3"/>
        <v>0.62804703183252075</v>
      </c>
    </row>
    <row r="124" spans="1:7" x14ac:dyDescent="0.25">
      <c r="A124" s="49" t="str">
        <f>'Data shares'!C119</f>
        <v>LICI</v>
      </c>
      <c r="B124" s="50">
        <f>VLOOKUP($A124,'Data shares'!$C:$FM,102)</f>
        <v>21.79</v>
      </c>
      <c r="C124" s="50">
        <f>VLOOKUP($A124,'Data shares'!$C:$FM,110)</f>
        <v>21.77</v>
      </c>
      <c r="D124" s="50">
        <f>VLOOKUP($A124,'Data shares'!$C:$FM,114)</f>
        <v>21.83</v>
      </c>
      <c r="E124" s="50">
        <f>VLOOKUP($A124,'Data shares'!$C:$FM,106)</f>
        <v>32.46</v>
      </c>
      <c r="F124" s="50">
        <f>VLOOKUP($A124,'Data shares'!$C:$FM,108)</f>
        <v>-10.67</v>
      </c>
      <c r="G124" s="50">
        <f t="shared" si="3"/>
        <v>0.67128773875539116</v>
      </c>
    </row>
    <row r="125" spans="1:7" x14ac:dyDescent="0.25">
      <c r="A125" s="49" t="str">
        <f>'Data shares'!C120</f>
        <v>LODHA</v>
      </c>
      <c r="B125" s="50">
        <f>VLOOKUP($A125,'Data shares'!$C:$FM,102)</f>
        <v>33.229999999999997</v>
      </c>
      <c r="C125" s="50">
        <f>VLOOKUP($A125,'Data shares'!$C:$FM,110)</f>
        <v>33.26</v>
      </c>
      <c r="D125" s="50">
        <f>VLOOKUP($A125,'Data shares'!$C:$FM,114)</f>
        <v>33.08</v>
      </c>
      <c r="E125" s="50">
        <f>VLOOKUP($A125,'Data shares'!$C:$FM,106)</f>
        <v>47.83</v>
      </c>
      <c r="F125" s="50">
        <f>VLOOKUP($A125,'Data shares'!$C:$FM,108)</f>
        <v>-14.6</v>
      </c>
      <c r="G125" s="50">
        <f t="shared" si="3"/>
        <v>0.69475224754338283</v>
      </c>
    </row>
    <row r="126" spans="1:7" x14ac:dyDescent="0.25">
      <c r="A126" s="49" t="str">
        <f>'Data shares'!C121</f>
        <v>LT</v>
      </c>
      <c r="B126" s="50">
        <f>VLOOKUP($A126,'Data shares'!$C:$FM,102)</f>
        <v>16.25</v>
      </c>
      <c r="C126" s="50">
        <f>VLOOKUP($A126,'Data shares'!$C:$FM,110)</f>
        <v>16.09</v>
      </c>
      <c r="D126" s="50">
        <f>VLOOKUP($A126,'Data shares'!$C:$FM,114)</f>
        <v>16.62</v>
      </c>
      <c r="E126" s="50">
        <f>VLOOKUP($A126,'Data shares'!$C:$FM,106)</f>
        <v>28.09</v>
      </c>
      <c r="F126" s="50">
        <f>VLOOKUP($A126,'Data shares'!$C:$FM,108)</f>
        <v>-11.84</v>
      </c>
      <c r="G126" s="50">
        <f t="shared" si="3"/>
        <v>0.578497686009256</v>
      </c>
    </row>
    <row r="127" spans="1:7" x14ac:dyDescent="0.25">
      <c r="A127" s="49" t="str">
        <f>'Data shares'!C122</f>
        <v>LTF</v>
      </c>
      <c r="B127" s="50">
        <f>VLOOKUP($A127,'Data shares'!$C:$FM,102)</f>
        <v>34.270000000000003</v>
      </c>
      <c r="C127" s="50">
        <f>VLOOKUP($A127,'Data shares'!$C:$FM,110)</f>
        <v>33.78</v>
      </c>
      <c r="D127" s="50">
        <f>VLOOKUP($A127,'Data shares'!$C:$FM,114)</f>
        <v>34.94</v>
      </c>
      <c r="E127" s="50">
        <f>VLOOKUP($A127,'Data shares'!$C:$FM,106)</f>
        <v>38.64</v>
      </c>
      <c r="F127" s="50">
        <f>VLOOKUP($A127,'Data shares'!$C:$FM,108)</f>
        <v>-4.37</v>
      </c>
      <c r="G127" s="50">
        <f t="shared" si="3"/>
        <v>0.88690476190476197</v>
      </c>
    </row>
    <row r="128" spans="1:7" x14ac:dyDescent="0.25">
      <c r="A128" s="49" t="str">
        <f>'Data shares'!C123</f>
        <v>LTIM</v>
      </c>
      <c r="B128" s="50">
        <f>VLOOKUP($A128,'Data shares'!$C:$FM,102)</f>
        <v>30.52</v>
      </c>
      <c r="C128" s="50">
        <f>VLOOKUP($A128,'Data shares'!$C:$FM,110)</f>
        <v>29.96</v>
      </c>
      <c r="D128" s="50">
        <f>VLOOKUP($A128,'Data shares'!$C:$FM,114)</f>
        <v>31.57</v>
      </c>
      <c r="E128" s="50">
        <f>VLOOKUP($A128,'Data shares'!$C:$FM,106)</f>
        <v>34.01</v>
      </c>
      <c r="F128" s="50">
        <f>VLOOKUP($A128,'Data shares'!$C:$FM,108)</f>
        <v>-3.49</v>
      </c>
      <c r="G128" s="50">
        <f t="shared" si="3"/>
        <v>0.89738312261099684</v>
      </c>
    </row>
    <row r="129" spans="1:7" x14ac:dyDescent="0.25">
      <c r="A129" s="49" t="str">
        <f>'Data shares'!C124</f>
        <v>LUPIN</v>
      </c>
      <c r="B129" s="50">
        <f>VLOOKUP($A129,'Data shares'!$C:$FM,102)</f>
        <v>23.76</v>
      </c>
      <c r="C129" s="50">
        <f>VLOOKUP($A129,'Data shares'!$C:$FM,110)</f>
        <v>23.59</v>
      </c>
      <c r="D129" s="50">
        <f>VLOOKUP($A129,'Data shares'!$C:$FM,114)</f>
        <v>24.15</v>
      </c>
      <c r="E129" s="50">
        <f>VLOOKUP($A129,'Data shares'!$C:$FM,106)</f>
        <v>32.619999999999997</v>
      </c>
      <c r="F129" s="50">
        <f>VLOOKUP($A129,'Data shares'!$C:$FM,108)</f>
        <v>-8.86</v>
      </c>
      <c r="G129" s="50">
        <f t="shared" si="3"/>
        <v>0.72838749233599032</v>
      </c>
    </row>
    <row r="130" spans="1:7" x14ac:dyDescent="0.25">
      <c r="A130" s="49" t="str">
        <f>'Data shares'!C125</f>
        <v>M&amp;M</v>
      </c>
      <c r="B130" s="50">
        <f>VLOOKUP($A130,'Data shares'!$C:$FM,102)</f>
        <v>24.64</v>
      </c>
      <c r="C130" s="50">
        <f>VLOOKUP($A130,'Data shares'!$C:$FM,110)</f>
        <v>24.75</v>
      </c>
      <c r="D130" s="50">
        <f>VLOOKUP($A130,'Data shares'!$C:$FM,114)</f>
        <v>24.33</v>
      </c>
      <c r="E130" s="50">
        <f>VLOOKUP($A130,'Data shares'!$C:$FM,106)</f>
        <v>34.46</v>
      </c>
      <c r="F130" s="50">
        <f>VLOOKUP($A130,'Data shares'!$C:$FM,108)</f>
        <v>-9.82</v>
      </c>
      <c r="G130" s="50">
        <f t="shared" si="3"/>
        <v>0.71503192106790481</v>
      </c>
    </row>
    <row r="131" spans="1:7" x14ac:dyDescent="0.25">
      <c r="A131" s="49" t="str">
        <f>'Data shares'!C126</f>
        <v>MANAPPURAM</v>
      </c>
      <c r="B131" s="50">
        <f>VLOOKUP($A131,'Data shares'!$C:$FM,102)</f>
        <v>29.67</v>
      </c>
      <c r="C131" s="50">
        <f>VLOOKUP($A131,'Data shares'!$C:$FM,110)</f>
        <v>29.86</v>
      </c>
      <c r="D131" s="50">
        <f>VLOOKUP($A131,'Data shares'!$C:$FM,114)</f>
        <v>29.28</v>
      </c>
      <c r="E131" s="50">
        <f>VLOOKUP($A131,'Data shares'!$C:$FM,106)</f>
        <v>43.58</v>
      </c>
      <c r="F131" s="50">
        <f>VLOOKUP($A131,'Data shares'!$C:$FM,108)</f>
        <v>-13.91</v>
      </c>
      <c r="G131" s="50">
        <f t="shared" si="3"/>
        <v>0.68081688848095467</v>
      </c>
    </row>
    <row r="132" spans="1:7" x14ac:dyDescent="0.25">
      <c r="A132" s="49" t="str">
        <f>'Data shares'!C127</f>
        <v>MANKIND</v>
      </c>
      <c r="B132" s="50">
        <f>VLOOKUP($A132,'Data shares'!$C:$FM,102)</f>
        <v>30.56</v>
      </c>
      <c r="C132" s="50">
        <f>VLOOKUP($A132,'Data shares'!$C:$FM,110)</f>
        <v>30.89</v>
      </c>
      <c r="D132" s="50">
        <f>VLOOKUP($A132,'Data shares'!$C:$FM,114)</f>
        <v>28.91</v>
      </c>
      <c r="E132" s="50">
        <f>VLOOKUP($A132,'Data shares'!$C:$FM,106)</f>
        <v>34.770000000000003</v>
      </c>
      <c r="F132" s="50">
        <f>VLOOKUP($A132,'Data shares'!$C:$FM,108)</f>
        <v>-4.21</v>
      </c>
      <c r="G132" s="50">
        <f t="shared" si="3"/>
        <v>0.87891860799539823</v>
      </c>
    </row>
    <row r="133" spans="1:7" x14ac:dyDescent="0.25">
      <c r="A133" s="49" t="str">
        <f>'Data shares'!C128</f>
        <v>MARICO</v>
      </c>
      <c r="B133" s="50">
        <f>VLOOKUP($A133,'Data shares'!$C:$FM,102)</f>
        <v>18.600000000000001</v>
      </c>
      <c r="C133" s="50">
        <f>VLOOKUP($A133,'Data shares'!$C:$FM,110)</f>
        <v>18.399999999999999</v>
      </c>
      <c r="D133" s="50">
        <f>VLOOKUP($A133,'Data shares'!$C:$FM,114)</f>
        <v>19.03</v>
      </c>
      <c r="E133" s="50">
        <f>VLOOKUP($A133,'Data shares'!$C:$FM,106)</f>
        <v>25.92</v>
      </c>
      <c r="F133" s="50">
        <f>VLOOKUP($A133,'Data shares'!$C:$FM,108)</f>
        <v>-7.32</v>
      </c>
      <c r="G133" s="50">
        <f t="shared" si="3"/>
        <v>0.71759259259259256</v>
      </c>
    </row>
    <row r="134" spans="1:7" x14ac:dyDescent="0.25">
      <c r="A134" s="49" t="str">
        <f>'Data shares'!C129</f>
        <v>MARUTI</v>
      </c>
      <c r="B134" s="50">
        <f>VLOOKUP($A134,'Data shares'!$C:$FM,102)</f>
        <v>18.440000000000001</v>
      </c>
      <c r="C134" s="50">
        <f>VLOOKUP($A134,'Data shares'!$C:$FM,110)</f>
        <v>18.21</v>
      </c>
      <c r="D134" s="50">
        <f>VLOOKUP($A134,'Data shares'!$C:$FM,114)</f>
        <v>19.059999999999999</v>
      </c>
      <c r="E134" s="50">
        <f>VLOOKUP($A134,'Data shares'!$C:$FM,106)</f>
        <v>25.96</v>
      </c>
      <c r="F134" s="50">
        <f>VLOOKUP($A134,'Data shares'!$C:$FM,108)</f>
        <v>-7.52</v>
      </c>
      <c r="G134" s="50">
        <f t="shared" si="3"/>
        <v>0.71032357473035446</v>
      </c>
    </row>
    <row r="135" spans="1:7" x14ac:dyDescent="0.25">
      <c r="A135" s="49" t="str">
        <f>'Data shares'!C130</f>
        <v>MAXHEALTH</v>
      </c>
      <c r="B135" s="50">
        <f>VLOOKUP($A135,'Data shares'!$C:$FM,102)</f>
        <v>25.37</v>
      </c>
      <c r="C135" s="50">
        <f>VLOOKUP($A135,'Data shares'!$C:$FM,110)</f>
        <v>24.54</v>
      </c>
      <c r="D135" s="50">
        <f>VLOOKUP($A135,'Data shares'!$C:$FM,114)</f>
        <v>26.53</v>
      </c>
      <c r="E135" s="50">
        <f>VLOOKUP($A135,'Data shares'!$C:$FM,106)</f>
        <v>41.42</v>
      </c>
      <c r="F135" s="50">
        <f>VLOOKUP($A135,'Data shares'!$C:$FM,108)</f>
        <v>-16.05</v>
      </c>
      <c r="G135" s="50">
        <f t="shared" ref="G135:G166" si="4">B135/E135</f>
        <v>0.61250603573153062</v>
      </c>
    </row>
    <row r="136" spans="1:7" x14ac:dyDescent="0.25">
      <c r="A136" s="49" t="str">
        <f>'Data shares'!C131</f>
        <v>MAZDOCK</v>
      </c>
      <c r="B136" s="50">
        <f>VLOOKUP($A136,'Data shares'!$C:$FM,102)</f>
        <v>35.270000000000003</v>
      </c>
      <c r="C136" s="50">
        <f>VLOOKUP($A136,'Data shares'!$C:$FM,110)</f>
        <v>35.42</v>
      </c>
      <c r="D136" s="50">
        <f>VLOOKUP($A136,'Data shares'!$C:$FM,114)</f>
        <v>34.770000000000003</v>
      </c>
      <c r="E136" s="50">
        <f>VLOOKUP($A136,'Data shares'!$C:$FM,106)</f>
        <v>60.29</v>
      </c>
      <c r="F136" s="50">
        <f>VLOOKUP($A136,'Data shares'!$C:$FM,108)</f>
        <v>-25.02</v>
      </c>
      <c r="G136" s="50">
        <f t="shared" si="4"/>
        <v>0.58500580527450663</v>
      </c>
    </row>
    <row r="137" spans="1:7" x14ac:dyDescent="0.25">
      <c r="A137" s="49" t="str">
        <f>'Data shares'!C132</f>
        <v>MCX</v>
      </c>
      <c r="B137" s="50">
        <f>VLOOKUP($A137,'Data shares'!$C:$FM,102)</f>
        <v>34.15</v>
      </c>
      <c r="C137" s="50">
        <f>VLOOKUP($A137,'Data shares'!$C:$FM,110)</f>
        <v>33.979999999999997</v>
      </c>
      <c r="D137" s="50">
        <f>VLOOKUP($A137,'Data shares'!$C:$FM,114)</f>
        <v>34.54</v>
      </c>
      <c r="E137" s="50">
        <f>VLOOKUP($A137,'Data shares'!$C:$FM,106)</f>
        <v>47.26</v>
      </c>
      <c r="F137" s="50">
        <f>VLOOKUP($A137,'Data shares'!$C:$FM,108)</f>
        <v>-13.11</v>
      </c>
      <c r="G137" s="50">
        <f t="shared" si="4"/>
        <v>0.72259839187473551</v>
      </c>
    </row>
    <row r="138" spans="1:7" x14ac:dyDescent="0.25">
      <c r="A138" s="49" t="str">
        <f>'Data shares'!C133</f>
        <v>MFSL</v>
      </c>
      <c r="B138" s="50">
        <f>VLOOKUP($A138,'Data shares'!$C:$FM,102)</f>
        <v>24.12</v>
      </c>
      <c r="C138" s="50">
        <f>VLOOKUP($A138,'Data shares'!$C:$FM,110)</f>
        <v>24.08</v>
      </c>
      <c r="D138" s="50">
        <f>VLOOKUP($A138,'Data shares'!$C:$FM,114)</f>
        <v>24.23</v>
      </c>
      <c r="E138" s="50">
        <f>VLOOKUP($A138,'Data shares'!$C:$FM,106)</f>
        <v>30.54</v>
      </c>
      <c r="F138" s="50">
        <f>VLOOKUP($A138,'Data shares'!$C:$FM,108)</f>
        <v>-6.42</v>
      </c>
      <c r="G138" s="50">
        <f t="shared" si="4"/>
        <v>0.78978388998035365</v>
      </c>
    </row>
    <row r="139" spans="1:7" x14ac:dyDescent="0.25">
      <c r="A139" s="49" t="str">
        <f>'Data shares'!C134</f>
        <v>MIDCPNIFTY</v>
      </c>
      <c r="B139" s="50">
        <f>VLOOKUP($A139,'Data shares'!$C:$FM,102)</f>
        <v>14.72</v>
      </c>
      <c r="C139" s="50">
        <f>VLOOKUP($A139,'Data shares'!$C:$FM,110)</f>
        <v>13.29</v>
      </c>
      <c r="D139" s="50">
        <f>VLOOKUP($A139,'Data shares'!$C:$FM,114)</f>
        <v>16.100000000000001</v>
      </c>
      <c r="E139" s="50">
        <f>VLOOKUP($A139,'Data shares'!$C:$FM,106)</f>
        <v>22.98</v>
      </c>
      <c r="F139" s="50">
        <f>VLOOKUP($A139,'Data shares'!$C:$FM,108)</f>
        <v>-8.26</v>
      </c>
      <c r="G139" s="50">
        <f t="shared" si="4"/>
        <v>0.64055700609225419</v>
      </c>
    </row>
    <row r="140" spans="1:7" x14ac:dyDescent="0.25">
      <c r="A140" s="49" t="str">
        <f>'Data shares'!C135</f>
        <v>MOTHERSON</v>
      </c>
      <c r="B140" s="50">
        <f>VLOOKUP($A140,'Data shares'!$C:$FM,102)</f>
        <v>31.49</v>
      </c>
      <c r="C140" s="50">
        <f>VLOOKUP($A140,'Data shares'!$C:$FM,110)</f>
        <v>31.74</v>
      </c>
      <c r="D140" s="50">
        <f>VLOOKUP($A140,'Data shares'!$C:$FM,114)</f>
        <v>30.64</v>
      </c>
      <c r="E140" s="50">
        <f>VLOOKUP($A140,'Data shares'!$C:$FM,106)</f>
        <v>41.32</v>
      </c>
      <c r="F140" s="50">
        <f>VLOOKUP($A140,'Data shares'!$C:$FM,108)</f>
        <v>-9.83</v>
      </c>
      <c r="G140" s="50">
        <f t="shared" si="4"/>
        <v>0.76210067763794764</v>
      </c>
    </row>
    <row r="141" spans="1:7" x14ac:dyDescent="0.25">
      <c r="A141" s="49" t="str">
        <f>'Data shares'!C136</f>
        <v>MPHASIS</v>
      </c>
      <c r="B141" s="50">
        <f>VLOOKUP($A141,'Data shares'!$C:$FM,102)</f>
        <v>29.33</v>
      </c>
      <c r="C141" s="50">
        <f>VLOOKUP($A141,'Data shares'!$C:$FM,110)</f>
        <v>29.11</v>
      </c>
      <c r="D141" s="50">
        <f>VLOOKUP($A141,'Data shares'!$C:$FM,114)</f>
        <v>29.8</v>
      </c>
      <c r="E141" s="50">
        <f>VLOOKUP($A141,'Data shares'!$C:$FM,106)</f>
        <v>37.82</v>
      </c>
      <c r="F141" s="50">
        <f>VLOOKUP($A141,'Data shares'!$C:$FM,108)</f>
        <v>-8.49</v>
      </c>
      <c r="G141" s="50">
        <f t="shared" si="4"/>
        <v>0.77551560021152821</v>
      </c>
    </row>
    <row r="142" spans="1:7" x14ac:dyDescent="0.25">
      <c r="A142" s="49" t="str">
        <f>'Data shares'!C137</f>
        <v>MUTHOOTFIN</v>
      </c>
      <c r="B142" s="50">
        <f>VLOOKUP($A142,'Data shares'!$C:$FM,102)</f>
        <v>26.09</v>
      </c>
      <c r="C142" s="50">
        <f>VLOOKUP($A142,'Data shares'!$C:$FM,110)</f>
        <v>25.97</v>
      </c>
      <c r="D142" s="50">
        <f>VLOOKUP($A142,'Data shares'!$C:$FM,114)</f>
        <v>26.28</v>
      </c>
      <c r="E142" s="50">
        <f>VLOOKUP($A142,'Data shares'!$C:$FM,106)</f>
        <v>36.29</v>
      </c>
      <c r="F142" s="50">
        <f>VLOOKUP($A142,'Data shares'!$C:$FM,108)</f>
        <v>-10.199999999999999</v>
      </c>
      <c r="G142" s="50">
        <f t="shared" si="4"/>
        <v>0.71893083494075505</v>
      </c>
    </row>
    <row r="143" spans="1:7" x14ac:dyDescent="0.25">
      <c r="A143" s="49" t="str">
        <f>'Data shares'!C138</f>
        <v>NATIONALUM</v>
      </c>
      <c r="B143" s="50">
        <f>VLOOKUP($A143,'Data shares'!$C:$FM,102)</f>
        <v>31.91</v>
      </c>
      <c r="C143" s="50">
        <f>VLOOKUP($A143,'Data shares'!$C:$FM,110)</f>
        <v>31.94</v>
      </c>
      <c r="D143" s="50">
        <f>VLOOKUP($A143,'Data shares'!$C:$FM,114)</f>
        <v>31.84</v>
      </c>
      <c r="E143" s="50">
        <f>VLOOKUP($A143,'Data shares'!$C:$FM,106)</f>
        <v>48.07</v>
      </c>
      <c r="F143" s="50">
        <f>VLOOKUP($A143,'Data shares'!$C:$FM,108)</f>
        <v>-16.16</v>
      </c>
      <c r="G143" s="50">
        <f t="shared" si="4"/>
        <v>0.66382359059704599</v>
      </c>
    </row>
    <row r="144" spans="1:7" x14ac:dyDescent="0.25">
      <c r="A144" s="49" t="str">
        <f>'Data shares'!C139</f>
        <v>NAUKRI</v>
      </c>
      <c r="B144" s="50">
        <f>VLOOKUP($A144,'Data shares'!$C:$FM,102)</f>
        <v>27.75</v>
      </c>
      <c r="C144" s="50">
        <f>VLOOKUP($A144,'Data shares'!$C:$FM,110)</f>
        <v>27.96</v>
      </c>
      <c r="D144" s="50">
        <f>VLOOKUP($A144,'Data shares'!$C:$FM,114)</f>
        <v>27.07</v>
      </c>
      <c r="E144" s="50">
        <f>VLOOKUP($A144,'Data shares'!$C:$FM,106)</f>
        <v>38.42</v>
      </c>
      <c r="F144" s="50">
        <f>VLOOKUP($A144,'Data shares'!$C:$FM,108)</f>
        <v>-10.67</v>
      </c>
      <c r="G144" s="50">
        <f t="shared" si="4"/>
        <v>0.72228006246746479</v>
      </c>
    </row>
    <row r="145" spans="1:7" x14ac:dyDescent="0.25">
      <c r="A145" s="49" t="str">
        <f>'Data shares'!C140</f>
        <v>NBCC</v>
      </c>
      <c r="B145" s="50">
        <f>VLOOKUP($A145,'Data shares'!$C:$FM,102)</f>
        <v>35.520000000000003</v>
      </c>
      <c r="C145" s="50">
        <f>VLOOKUP($A145,'Data shares'!$C:$FM,110)</f>
        <v>35.97</v>
      </c>
      <c r="D145" s="50">
        <f>VLOOKUP($A145,'Data shares'!$C:$FM,114)</f>
        <v>33.950000000000003</v>
      </c>
      <c r="E145" s="50">
        <f>VLOOKUP($A145,'Data shares'!$C:$FM,106)</f>
        <v>53.02</v>
      </c>
      <c r="F145" s="50">
        <f>VLOOKUP($A145,'Data shares'!$C:$FM,108)</f>
        <v>-17.5</v>
      </c>
      <c r="G145" s="50">
        <f t="shared" si="4"/>
        <v>0.6699358732553754</v>
      </c>
    </row>
    <row r="146" spans="1:7" x14ac:dyDescent="0.25">
      <c r="A146" s="49" t="str">
        <f>'Data shares'!C141</f>
        <v>NCC</v>
      </c>
      <c r="B146" s="50">
        <f>VLOOKUP($A146,'Data shares'!$C:$FM,102)</f>
        <v>25.89</v>
      </c>
      <c r="C146" s="50">
        <f>VLOOKUP($A146,'Data shares'!$C:$FM,110)</f>
        <v>25.78</v>
      </c>
      <c r="D146" s="50">
        <f>VLOOKUP($A146,'Data shares'!$C:$FM,114)</f>
        <v>26.32</v>
      </c>
      <c r="E146" s="50">
        <f>VLOOKUP($A146,'Data shares'!$C:$FM,106)</f>
        <v>47.43</v>
      </c>
      <c r="F146" s="50">
        <f>VLOOKUP($A146,'Data shares'!$C:$FM,108)</f>
        <v>-21.54</v>
      </c>
      <c r="G146" s="50">
        <f t="shared" si="4"/>
        <v>0.54585705249841876</v>
      </c>
    </row>
    <row r="147" spans="1:7" x14ac:dyDescent="0.25">
      <c r="A147" s="49" t="str">
        <f>'Data shares'!C142</f>
        <v>NESTLEIND</v>
      </c>
      <c r="B147" s="50">
        <f>VLOOKUP($A147,'Data shares'!$C:$FM,102)</f>
        <v>20.63</v>
      </c>
      <c r="C147" s="50">
        <f>VLOOKUP($A147,'Data shares'!$C:$FM,110)</f>
        <v>20.21</v>
      </c>
      <c r="D147" s="50">
        <f>VLOOKUP($A147,'Data shares'!$C:$FM,114)</f>
        <v>21.42</v>
      </c>
      <c r="E147" s="50">
        <f>VLOOKUP($A147,'Data shares'!$C:$FM,106)</f>
        <v>23.41</v>
      </c>
      <c r="F147" s="50">
        <f>VLOOKUP($A147,'Data shares'!$C:$FM,108)</f>
        <v>-2.78</v>
      </c>
      <c r="G147" s="50">
        <f t="shared" si="4"/>
        <v>0.88124733020076884</v>
      </c>
    </row>
    <row r="148" spans="1:7" x14ac:dyDescent="0.25">
      <c r="A148" s="49" t="str">
        <f>'Data shares'!C143</f>
        <v>NHPC</v>
      </c>
      <c r="B148" s="50">
        <f>VLOOKUP($A148,'Data shares'!$C:$FM,102)</f>
        <v>27.37</v>
      </c>
      <c r="C148" s="50">
        <f>VLOOKUP($A148,'Data shares'!$C:$FM,110)</f>
        <v>27.77</v>
      </c>
      <c r="D148" s="50">
        <f>VLOOKUP($A148,'Data shares'!$C:$FM,114)</f>
        <v>26.64</v>
      </c>
      <c r="E148" s="50">
        <f>VLOOKUP($A148,'Data shares'!$C:$FM,106)</f>
        <v>39.96</v>
      </c>
      <c r="F148" s="50">
        <f>VLOOKUP($A148,'Data shares'!$C:$FM,108)</f>
        <v>-12.59</v>
      </c>
      <c r="G148" s="50">
        <f t="shared" si="4"/>
        <v>0.68493493493493496</v>
      </c>
    </row>
    <row r="149" spans="1:7" x14ac:dyDescent="0.25">
      <c r="A149" s="49" t="str">
        <f>'Data shares'!C144</f>
        <v>NIFTY</v>
      </c>
      <c r="B149" s="50">
        <f>VLOOKUP($A149,'Data shares'!$C:$FM,102)</f>
        <v>9.58</v>
      </c>
      <c r="C149" s="50">
        <f>VLOOKUP($A149,'Data shares'!$C:$FM,110)</f>
        <v>8.61</v>
      </c>
      <c r="D149" s="50">
        <f>VLOOKUP($A149,'Data shares'!$C:$FM,114)</f>
        <v>10.64</v>
      </c>
      <c r="E149" s="50">
        <f>VLOOKUP($A149,'Data shares'!$C:$FM,106)</f>
        <v>15.13</v>
      </c>
      <c r="F149" s="50">
        <f>VLOOKUP($A149,'Data shares'!$C:$FM,108)</f>
        <v>-5.55</v>
      </c>
      <c r="G149" s="50">
        <f t="shared" si="4"/>
        <v>0.63317911434236618</v>
      </c>
    </row>
    <row r="150" spans="1:7" x14ac:dyDescent="0.25">
      <c r="A150" s="49" t="str">
        <f>'Data shares'!C145</f>
        <v>NIFTYNXT50</v>
      </c>
      <c r="B150" s="50">
        <f>VLOOKUP($A150,'Data shares'!$C:$FM,102)</f>
        <v>13.08</v>
      </c>
      <c r="C150" s="50">
        <f>VLOOKUP($A150,'Data shares'!$C:$FM,110)</f>
        <v>13.44</v>
      </c>
      <c r="D150" s="50">
        <f>VLOOKUP($A150,'Data shares'!$C:$FM,114)</f>
        <v>11.78</v>
      </c>
      <c r="E150" s="50">
        <f>VLOOKUP($A150,'Data shares'!$C:$FM,106)</f>
        <v>21.38</v>
      </c>
      <c r="F150" s="50">
        <f>VLOOKUP($A150,'Data shares'!$C:$FM,108)</f>
        <v>-8.3000000000000007</v>
      </c>
      <c r="G150" s="50">
        <f t="shared" si="4"/>
        <v>0.61178671655753047</v>
      </c>
    </row>
    <row r="151" spans="1:7" x14ac:dyDescent="0.25">
      <c r="A151" s="49" t="str">
        <f>'Data shares'!C146</f>
        <v>NMDC</v>
      </c>
      <c r="B151" s="50">
        <f>VLOOKUP($A151,'Data shares'!$C:$FM,102)</f>
        <v>29.76</v>
      </c>
      <c r="C151" s="50">
        <f>VLOOKUP($A151,'Data shares'!$C:$FM,110)</f>
        <v>30.01</v>
      </c>
      <c r="D151" s="50">
        <f>VLOOKUP($A151,'Data shares'!$C:$FM,114)</f>
        <v>29.2</v>
      </c>
      <c r="E151" s="50">
        <f>VLOOKUP($A151,'Data shares'!$C:$FM,106)</f>
        <v>39.880000000000003</v>
      </c>
      <c r="F151" s="50">
        <f>VLOOKUP($A151,'Data shares'!$C:$FM,108)</f>
        <v>-10.119999999999999</v>
      </c>
      <c r="G151" s="50">
        <f t="shared" si="4"/>
        <v>0.74623871614844528</v>
      </c>
    </row>
    <row r="152" spans="1:7" x14ac:dyDescent="0.25">
      <c r="A152" s="49" t="str">
        <f>'Data shares'!C147</f>
        <v>NTPC</v>
      </c>
      <c r="B152" s="50">
        <f>VLOOKUP($A152,'Data shares'!$C:$FM,102)</f>
        <v>15.49</v>
      </c>
      <c r="C152" s="50">
        <f>VLOOKUP($A152,'Data shares'!$C:$FM,110)</f>
        <v>15.31</v>
      </c>
      <c r="D152" s="50">
        <f>VLOOKUP($A152,'Data shares'!$C:$FM,114)</f>
        <v>15.85</v>
      </c>
      <c r="E152" s="50">
        <f>VLOOKUP($A152,'Data shares'!$C:$FM,106)</f>
        <v>28.89</v>
      </c>
      <c r="F152" s="50">
        <f>VLOOKUP($A152,'Data shares'!$C:$FM,108)</f>
        <v>-13.4</v>
      </c>
      <c r="G152" s="50">
        <f t="shared" si="4"/>
        <v>0.53617168570439599</v>
      </c>
    </row>
    <row r="153" spans="1:7" x14ac:dyDescent="0.25">
      <c r="A153" s="49" t="str">
        <f>'Data shares'!C148</f>
        <v>NUVAMA</v>
      </c>
      <c r="B153" s="50">
        <f>VLOOKUP($A153,'Data shares'!$C:$FM,102)</f>
        <v>31.34</v>
      </c>
      <c r="C153" s="50">
        <f>VLOOKUP($A153,'Data shares'!$C:$FM,110)</f>
        <v>30.88</v>
      </c>
      <c r="D153" s="50">
        <f>VLOOKUP($A153,'Data shares'!$C:$FM,114)</f>
        <v>32.19</v>
      </c>
      <c r="E153" s="50">
        <f>VLOOKUP($A153,'Data shares'!$C:$FM,106)</f>
        <v>52.53</v>
      </c>
      <c r="F153" s="50">
        <f>VLOOKUP($A153,'Data shares'!$C:$FM,108)</f>
        <v>-21.19</v>
      </c>
      <c r="G153" s="50">
        <f t="shared" si="4"/>
        <v>0.59661146011802779</v>
      </c>
    </row>
    <row r="154" spans="1:7" x14ac:dyDescent="0.25">
      <c r="A154" s="49" t="str">
        <f>'Data shares'!C149</f>
        <v>NYKAA</v>
      </c>
      <c r="B154" s="50">
        <f>VLOOKUP($A154,'Data shares'!$C:$FM,102)</f>
        <v>26.65</v>
      </c>
      <c r="C154" s="50">
        <f>VLOOKUP($A154,'Data shares'!$C:$FM,110)</f>
        <v>26.52</v>
      </c>
      <c r="D154" s="50">
        <f>VLOOKUP($A154,'Data shares'!$C:$FM,114)</f>
        <v>26.91</v>
      </c>
      <c r="E154" s="50">
        <f>VLOOKUP($A154,'Data shares'!$C:$FM,106)</f>
        <v>37.54</v>
      </c>
      <c r="F154" s="50">
        <f>VLOOKUP($A154,'Data shares'!$C:$FM,108)</f>
        <v>-10.89</v>
      </c>
      <c r="G154" s="50">
        <f t="shared" si="4"/>
        <v>0.70990942994139583</v>
      </c>
    </row>
    <row r="155" spans="1:7" x14ac:dyDescent="0.25">
      <c r="A155" s="49" t="str">
        <f>'Data shares'!C150</f>
        <v>OBEROIRLTY</v>
      </c>
      <c r="B155" s="50">
        <f>VLOOKUP($A155,'Data shares'!$C:$FM,102)</f>
        <v>31.89</v>
      </c>
      <c r="C155" s="50">
        <f>VLOOKUP($A155,'Data shares'!$C:$FM,110)</f>
        <v>31.79</v>
      </c>
      <c r="D155" s="50">
        <f>VLOOKUP($A155,'Data shares'!$C:$FM,114)</f>
        <v>32.24</v>
      </c>
      <c r="E155" s="50">
        <f>VLOOKUP($A155,'Data shares'!$C:$FM,106)</f>
        <v>38.42</v>
      </c>
      <c r="F155" s="50">
        <f>VLOOKUP($A155,'Data shares'!$C:$FM,108)</f>
        <v>-6.53</v>
      </c>
      <c r="G155" s="50">
        <f t="shared" si="4"/>
        <v>0.83003643935450289</v>
      </c>
    </row>
    <row r="156" spans="1:7" x14ac:dyDescent="0.25">
      <c r="A156" s="49" t="str">
        <f>'Data shares'!C151</f>
        <v>OFSS</v>
      </c>
      <c r="B156" s="50">
        <f>VLOOKUP($A156,'Data shares'!$C:$FM,102)</f>
        <v>33.380000000000003</v>
      </c>
      <c r="C156" s="50">
        <f>VLOOKUP($A156,'Data shares'!$C:$FM,110)</f>
        <v>33.44</v>
      </c>
      <c r="D156" s="50">
        <f>VLOOKUP($A156,'Data shares'!$C:$FM,114)</f>
        <v>33.229999999999997</v>
      </c>
      <c r="E156" s="50">
        <f>VLOOKUP($A156,'Data shares'!$C:$FM,106)</f>
        <v>41.98</v>
      </c>
      <c r="F156" s="50">
        <f>VLOOKUP($A156,'Data shares'!$C:$FM,108)</f>
        <v>-8.6</v>
      </c>
      <c r="G156" s="50">
        <f t="shared" si="4"/>
        <v>0.79514054311576954</v>
      </c>
    </row>
    <row r="157" spans="1:7" x14ac:dyDescent="0.25">
      <c r="A157" s="49" t="str">
        <f>'Data shares'!C152</f>
        <v>OIL</v>
      </c>
      <c r="B157" s="50">
        <f>VLOOKUP($A157,'Data shares'!$C:$FM,102)</f>
        <v>29.51</v>
      </c>
      <c r="C157" s="50">
        <f>VLOOKUP($A157,'Data shares'!$C:$FM,110)</f>
        <v>30.05</v>
      </c>
      <c r="D157" s="50">
        <f>VLOOKUP($A157,'Data shares'!$C:$FM,114)</f>
        <v>28.46</v>
      </c>
      <c r="E157" s="50">
        <f>VLOOKUP($A157,'Data shares'!$C:$FM,106)</f>
        <v>44.81</v>
      </c>
      <c r="F157" s="50">
        <f>VLOOKUP($A157,'Data shares'!$C:$FM,108)</f>
        <v>-15.3</v>
      </c>
      <c r="G157" s="50">
        <f t="shared" si="4"/>
        <v>0.65855835750948444</v>
      </c>
    </row>
    <row r="158" spans="1:7" x14ac:dyDescent="0.25">
      <c r="A158" s="49" t="str">
        <f>'Data shares'!C153</f>
        <v>ONGC</v>
      </c>
      <c r="B158" s="50">
        <f>VLOOKUP($A158,'Data shares'!$C:$FM,102)</f>
        <v>16.48</v>
      </c>
      <c r="C158" s="50">
        <f>VLOOKUP($A158,'Data shares'!$C:$FM,110)</f>
        <v>16.05</v>
      </c>
      <c r="D158" s="50">
        <f>VLOOKUP($A158,'Data shares'!$C:$FM,114)</f>
        <v>17.32</v>
      </c>
      <c r="E158" s="50">
        <f>VLOOKUP($A158,'Data shares'!$C:$FM,106)</f>
        <v>32.5</v>
      </c>
      <c r="F158" s="50">
        <f>VLOOKUP($A158,'Data shares'!$C:$FM,108)</f>
        <v>-16.02</v>
      </c>
      <c r="G158" s="50">
        <f t="shared" si="4"/>
        <v>0.50707692307692309</v>
      </c>
    </row>
    <row r="159" spans="1:7" x14ac:dyDescent="0.25">
      <c r="A159" s="49" t="str">
        <f>'Data shares'!C154</f>
        <v>PAGEIND</v>
      </c>
      <c r="B159" s="50">
        <f>VLOOKUP($A159,'Data shares'!$C:$FM,102)</f>
        <v>25.75</v>
      </c>
      <c r="C159" s="50">
        <f>VLOOKUP($A159,'Data shares'!$C:$FM,110)</f>
        <v>25.98</v>
      </c>
      <c r="D159" s="50">
        <f>VLOOKUP($A159,'Data shares'!$C:$FM,114)</f>
        <v>24.52</v>
      </c>
      <c r="E159" s="50">
        <f>VLOOKUP($A159,'Data shares'!$C:$FM,106)</f>
        <v>29.62</v>
      </c>
      <c r="F159" s="50">
        <f>VLOOKUP($A159,'Data shares'!$C:$FM,108)</f>
        <v>-3.87</v>
      </c>
      <c r="G159" s="50">
        <f t="shared" si="4"/>
        <v>0.86934503713706957</v>
      </c>
    </row>
    <row r="160" spans="1:7" x14ac:dyDescent="0.25">
      <c r="A160" s="49" t="str">
        <f>'Data shares'!C155</f>
        <v>PATANJALI</v>
      </c>
      <c r="B160" s="50">
        <f>VLOOKUP($A160,'Data shares'!$C:$FM,102)</f>
        <v>28.66</v>
      </c>
      <c r="C160" s="50">
        <f>VLOOKUP($A160,'Data shares'!$C:$FM,110)</f>
        <v>28.8</v>
      </c>
      <c r="D160" s="50">
        <f>VLOOKUP($A160,'Data shares'!$C:$FM,114)</f>
        <v>28.36</v>
      </c>
      <c r="E160" s="50">
        <f>VLOOKUP($A160,'Data shares'!$C:$FM,106)</f>
        <v>34.49</v>
      </c>
      <c r="F160" s="50">
        <f>VLOOKUP($A160,'Data shares'!$C:$FM,108)</f>
        <v>-5.83</v>
      </c>
      <c r="G160" s="50">
        <f t="shared" si="4"/>
        <v>0.83096549724557833</v>
      </c>
    </row>
    <row r="161" spans="1:7" x14ac:dyDescent="0.25">
      <c r="A161" s="49" t="str">
        <f>'Data shares'!C156</f>
        <v>PAYTM</v>
      </c>
      <c r="B161" s="50">
        <f>VLOOKUP($A161,'Data shares'!$C:$FM,102)</f>
        <v>35.5</v>
      </c>
      <c r="C161" s="50">
        <f>VLOOKUP($A161,'Data shares'!$C:$FM,110)</f>
        <v>35.29</v>
      </c>
      <c r="D161" s="50">
        <f>VLOOKUP($A161,'Data shares'!$C:$FM,114)</f>
        <v>35.85</v>
      </c>
      <c r="E161" s="50">
        <f>VLOOKUP($A161,'Data shares'!$C:$FM,106)</f>
        <v>56.39</v>
      </c>
      <c r="F161" s="50">
        <f>VLOOKUP($A161,'Data shares'!$C:$FM,108)</f>
        <v>-20.89</v>
      </c>
      <c r="G161" s="50">
        <f t="shared" si="4"/>
        <v>0.62954424543358756</v>
      </c>
    </row>
    <row r="162" spans="1:7" x14ac:dyDescent="0.25">
      <c r="A162" s="49" t="str">
        <f>'Data shares'!C157</f>
        <v>PERSISTENT</v>
      </c>
      <c r="B162" s="50">
        <f>VLOOKUP($A162,'Data shares'!$C:$FM,102)</f>
        <v>36.82</v>
      </c>
      <c r="C162" s="50">
        <f>VLOOKUP($A162,'Data shares'!$C:$FM,110)</f>
        <v>36.1</v>
      </c>
      <c r="D162" s="50">
        <f>VLOOKUP($A162,'Data shares'!$C:$FM,114)</f>
        <v>37.979999999999997</v>
      </c>
      <c r="E162" s="50">
        <f>VLOOKUP($A162,'Data shares'!$C:$FM,106)</f>
        <v>41.71</v>
      </c>
      <c r="F162" s="50">
        <f>VLOOKUP($A162,'Data shares'!$C:$FM,108)</f>
        <v>-4.8899999999999997</v>
      </c>
      <c r="G162" s="50">
        <f t="shared" si="4"/>
        <v>0.88276192759530092</v>
      </c>
    </row>
    <row r="163" spans="1:7" x14ac:dyDescent="0.25">
      <c r="A163" s="49" t="str">
        <f>'Data shares'!C158</f>
        <v>PETRONET</v>
      </c>
      <c r="B163" s="50">
        <f>VLOOKUP($A163,'Data shares'!$C:$FM,102)</f>
        <v>23.74</v>
      </c>
      <c r="C163" s="50">
        <f>VLOOKUP($A163,'Data shares'!$C:$FM,110)</f>
        <v>23.33</v>
      </c>
      <c r="D163" s="50">
        <f>VLOOKUP($A163,'Data shares'!$C:$FM,114)</f>
        <v>24.95</v>
      </c>
      <c r="E163" s="50">
        <f>VLOOKUP($A163,'Data shares'!$C:$FM,106)</f>
        <v>33.14</v>
      </c>
      <c r="F163" s="50">
        <f>VLOOKUP($A163,'Data shares'!$C:$FM,108)</f>
        <v>-9.4</v>
      </c>
      <c r="G163" s="50">
        <f t="shared" si="4"/>
        <v>0.71635485817742905</v>
      </c>
    </row>
    <row r="164" spans="1:7" x14ac:dyDescent="0.25">
      <c r="A164" s="49" t="str">
        <f>'Data shares'!C159</f>
        <v>PFC</v>
      </c>
      <c r="B164" s="50">
        <f>VLOOKUP($A164,'Data shares'!$C:$FM,102)</f>
        <v>23.65</v>
      </c>
      <c r="C164" s="50">
        <f>VLOOKUP($A164,'Data shares'!$C:$FM,110)</f>
        <v>23.95</v>
      </c>
      <c r="D164" s="50">
        <f>VLOOKUP($A164,'Data shares'!$C:$FM,114)</f>
        <v>23.16</v>
      </c>
      <c r="E164" s="50">
        <f>VLOOKUP($A164,'Data shares'!$C:$FM,106)</f>
        <v>44.88</v>
      </c>
      <c r="F164" s="50">
        <f>VLOOKUP($A164,'Data shares'!$C:$FM,108)</f>
        <v>-21.23</v>
      </c>
      <c r="G164" s="50">
        <f t="shared" si="4"/>
        <v>0.52696078431372539</v>
      </c>
    </row>
    <row r="165" spans="1:7" x14ac:dyDescent="0.25">
      <c r="A165" s="49" t="str">
        <f>'Data shares'!C160</f>
        <v>PGEL</v>
      </c>
      <c r="B165" s="50">
        <f>VLOOKUP($A165,'Data shares'!$C:$FM,102)</f>
        <v>42.24</v>
      </c>
      <c r="C165" s="50">
        <f>VLOOKUP($A165,'Data shares'!$C:$FM,110)</f>
        <v>41.8</v>
      </c>
      <c r="D165" s="50">
        <f>VLOOKUP($A165,'Data shares'!$C:$FM,114)</f>
        <v>43.44</v>
      </c>
      <c r="E165" s="50">
        <f>VLOOKUP($A165,'Data shares'!$C:$FM,106)</f>
        <v>70.53</v>
      </c>
      <c r="F165" s="50">
        <f>VLOOKUP($A165,'Data shares'!$C:$FM,108)</f>
        <v>-28.29</v>
      </c>
      <c r="G165" s="50">
        <f t="shared" si="4"/>
        <v>0.59889408762228835</v>
      </c>
    </row>
    <row r="166" spans="1:7" x14ac:dyDescent="0.25">
      <c r="A166" s="49" t="str">
        <f>'Data shares'!C161</f>
        <v>PHOENIXLTD</v>
      </c>
      <c r="B166" s="50">
        <f>VLOOKUP($A166,'Data shares'!$C:$FM,102)</f>
        <v>29.13</v>
      </c>
      <c r="C166" s="50">
        <f>VLOOKUP($A166,'Data shares'!$C:$FM,110)</f>
        <v>29.11</v>
      </c>
      <c r="D166" s="50">
        <f>VLOOKUP($A166,'Data shares'!$C:$FM,114)</f>
        <v>29.16</v>
      </c>
      <c r="E166" s="50">
        <f>VLOOKUP($A166,'Data shares'!$C:$FM,106)</f>
        <v>44.68</v>
      </c>
      <c r="F166" s="50">
        <f>VLOOKUP($A166,'Data shares'!$C:$FM,108)</f>
        <v>-15.55</v>
      </c>
      <c r="G166" s="50">
        <f t="shared" si="4"/>
        <v>0.65196956132497763</v>
      </c>
    </row>
    <row r="167" spans="1:7" x14ac:dyDescent="0.25">
      <c r="A167" s="49" t="str">
        <f>'Data shares'!C162</f>
        <v>PIDILITIND</v>
      </c>
      <c r="B167" s="50">
        <f>VLOOKUP($A167,'Data shares'!$C:$FM,102)</f>
        <v>17.510000000000002</v>
      </c>
      <c r="C167" s="50">
        <f>VLOOKUP($A167,'Data shares'!$C:$FM,110)</f>
        <v>17.260000000000002</v>
      </c>
      <c r="D167" s="50">
        <f>VLOOKUP($A167,'Data shares'!$C:$FM,114)</f>
        <v>18.239999999999998</v>
      </c>
      <c r="E167" s="50">
        <f>VLOOKUP($A167,'Data shares'!$C:$FM,106)</f>
        <v>22.16</v>
      </c>
      <c r="F167" s="50">
        <f>VLOOKUP($A167,'Data shares'!$C:$FM,108)</f>
        <v>-4.6500000000000004</v>
      </c>
      <c r="G167" s="50">
        <f t="shared" ref="G167:G189" si="5">B167/E167</f>
        <v>0.79016245487364623</v>
      </c>
    </row>
    <row r="168" spans="1:7" x14ac:dyDescent="0.25">
      <c r="A168" s="49" t="str">
        <f>'Data shares'!C163</f>
        <v>PIIND</v>
      </c>
      <c r="B168" s="50">
        <f>VLOOKUP($A168,'Data shares'!$C:$FM,102)</f>
        <v>23.52</v>
      </c>
      <c r="C168" s="50">
        <f>VLOOKUP($A168,'Data shares'!$C:$FM,110)</f>
        <v>23.47</v>
      </c>
      <c r="D168" s="50">
        <f>VLOOKUP($A168,'Data shares'!$C:$FM,114)</f>
        <v>23.68</v>
      </c>
      <c r="E168" s="50">
        <f>VLOOKUP($A168,'Data shares'!$C:$FM,106)</f>
        <v>30.41</v>
      </c>
      <c r="F168" s="50">
        <f>VLOOKUP($A168,'Data shares'!$C:$FM,108)</f>
        <v>-6.89</v>
      </c>
      <c r="G168" s="50">
        <f t="shared" si="5"/>
        <v>0.77342979283130553</v>
      </c>
    </row>
    <row r="169" spans="1:7" x14ac:dyDescent="0.25">
      <c r="A169" s="49" t="str">
        <f>'Data shares'!C164</f>
        <v>PNB</v>
      </c>
      <c r="B169" s="50">
        <f>VLOOKUP($A169,'Data shares'!$C:$FM,102)</f>
        <v>25.63</v>
      </c>
      <c r="C169" s="50">
        <f>VLOOKUP($A169,'Data shares'!$C:$FM,110)</f>
        <v>25.48</v>
      </c>
      <c r="D169" s="50">
        <f>VLOOKUP($A169,'Data shares'!$C:$FM,114)</f>
        <v>25.94</v>
      </c>
      <c r="E169" s="50">
        <f>VLOOKUP($A169,'Data shares'!$C:$FM,106)</f>
        <v>37.32</v>
      </c>
      <c r="F169" s="50">
        <f>VLOOKUP($A169,'Data shares'!$C:$FM,108)</f>
        <v>-11.69</v>
      </c>
      <c r="G169" s="50">
        <f t="shared" si="5"/>
        <v>0.68676312968917463</v>
      </c>
    </row>
    <row r="170" spans="1:7" x14ac:dyDescent="0.25">
      <c r="A170" s="49" t="str">
        <f>'Data shares'!C165</f>
        <v>PNBHOUSING</v>
      </c>
      <c r="B170" s="50">
        <f>VLOOKUP($A170,'Data shares'!$C:$FM,102)</f>
        <v>38.409999999999997</v>
      </c>
      <c r="C170" s="50">
        <f>VLOOKUP($A170,'Data shares'!$C:$FM,110)</f>
        <v>38.49</v>
      </c>
      <c r="D170" s="50">
        <f>VLOOKUP($A170,'Data shares'!$C:$FM,114)</f>
        <v>38.25</v>
      </c>
      <c r="E170" s="50">
        <f>VLOOKUP($A170,'Data shares'!$C:$FM,106)</f>
        <v>49.5</v>
      </c>
      <c r="F170" s="50">
        <f>VLOOKUP($A170,'Data shares'!$C:$FM,108)</f>
        <v>-11.09</v>
      </c>
      <c r="G170" s="50">
        <f t="shared" si="5"/>
        <v>0.77595959595959585</v>
      </c>
    </row>
    <row r="171" spans="1:7" x14ac:dyDescent="0.25">
      <c r="A171" s="49" t="str">
        <f>'Data shares'!C166</f>
        <v>POLICYBZR</v>
      </c>
      <c r="B171" s="50">
        <f>VLOOKUP($A171,'Data shares'!$C:$FM,102)</f>
        <v>29.52</v>
      </c>
      <c r="C171" s="50">
        <f>VLOOKUP($A171,'Data shares'!$C:$FM,110)</f>
        <v>29.25</v>
      </c>
      <c r="D171" s="50">
        <f>VLOOKUP($A171,'Data shares'!$C:$FM,114)</f>
        <v>30.1</v>
      </c>
      <c r="E171" s="50">
        <f>VLOOKUP($A171,'Data shares'!$C:$FM,106)</f>
        <v>47.85</v>
      </c>
      <c r="F171" s="50">
        <f>VLOOKUP($A171,'Data shares'!$C:$FM,108)</f>
        <v>-18.329999999999998</v>
      </c>
      <c r="G171" s="50">
        <f t="shared" si="5"/>
        <v>0.6169278996865204</v>
      </c>
    </row>
    <row r="172" spans="1:7" x14ac:dyDescent="0.25">
      <c r="A172" s="49" t="str">
        <f>'Data shares'!C167</f>
        <v>POLYCAB</v>
      </c>
      <c r="B172" s="50">
        <f>VLOOKUP($A172,'Data shares'!$C:$FM,102)</f>
        <v>31.65</v>
      </c>
      <c r="C172" s="50">
        <f>VLOOKUP($A172,'Data shares'!$C:$FM,110)</f>
        <v>31.12</v>
      </c>
      <c r="D172" s="50">
        <f>VLOOKUP($A172,'Data shares'!$C:$FM,114)</f>
        <v>33.64</v>
      </c>
      <c r="E172" s="50">
        <f>VLOOKUP($A172,'Data shares'!$C:$FM,106)</f>
        <v>41.15</v>
      </c>
      <c r="F172" s="50">
        <f>VLOOKUP($A172,'Data shares'!$C:$FM,108)</f>
        <v>-9.5</v>
      </c>
      <c r="G172" s="50">
        <f t="shared" si="5"/>
        <v>0.76913730255164037</v>
      </c>
    </row>
    <row r="173" spans="1:7" x14ac:dyDescent="0.25">
      <c r="A173" s="49" t="str">
        <f>'Data shares'!C168</f>
        <v>POWERGRID</v>
      </c>
      <c r="B173" s="50">
        <f>VLOOKUP($A173,'Data shares'!$C:$FM,102)</f>
        <v>17.600000000000001</v>
      </c>
      <c r="C173" s="50">
        <f>VLOOKUP($A173,'Data shares'!$C:$FM,110)</f>
        <v>17.61</v>
      </c>
      <c r="D173" s="50">
        <f>VLOOKUP($A173,'Data shares'!$C:$FM,114)</f>
        <v>17.57</v>
      </c>
      <c r="E173" s="50">
        <f>VLOOKUP($A173,'Data shares'!$C:$FM,106)</f>
        <v>29.6</v>
      </c>
      <c r="F173" s="50">
        <f>VLOOKUP($A173,'Data shares'!$C:$FM,108)</f>
        <v>-12</v>
      </c>
      <c r="G173" s="50">
        <f t="shared" si="5"/>
        <v>0.59459459459459463</v>
      </c>
    </row>
    <row r="174" spans="1:7" x14ac:dyDescent="0.25">
      <c r="A174" s="49" t="str">
        <f>'Data shares'!C169</f>
        <v>POWERINDIA</v>
      </c>
      <c r="B174" s="50">
        <f>VLOOKUP($A174,'Data shares'!$C:$FM,102)</f>
        <v>37.700000000000003</v>
      </c>
      <c r="C174" s="50">
        <f>VLOOKUP($A174,'Data shares'!$C:$FM,110)</f>
        <v>37.869999999999997</v>
      </c>
      <c r="D174" s="50">
        <f>VLOOKUP($A174,'Data shares'!$C:$FM,114)</f>
        <v>36.799999999999997</v>
      </c>
      <c r="E174" s="50">
        <f>VLOOKUP($A174,'Data shares'!$C:$FM,106)</f>
        <v>58.46</v>
      </c>
      <c r="F174" s="50">
        <f>VLOOKUP($A174,'Data shares'!$C:$FM,108)</f>
        <v>-20.76</v>
      </c>
      <c r="G174" s="50">
        <f t="shared" si="5"/>
        <v>0.64488539172083481</v>
      </c>
    </row>
    <row r="175" spans="1:7" x14ac:dyDescent="0.25">
      <c r="A175" s="49" t="str">
        <f>'Data shares'!C170</f>
        <v>PPLPHARMA</v>
      </c>
      <c r="B175" s="50">
        <f>VLOOKUP($A175,'Data shares'!$C:$FM,102)</f>
        <v>35.18</v>
      </c>
      <c r="C175" s="50">
        <f>VLOOKUP($A175,'Data shares'!$C:$FM,110)</f>
        <v>35.200000000000003</v>
      </c>
      <c r="D175" s="50">
        <f>VLOOKUP($A175,'Data shares'!$C:$FM,114)</f>
        <v>35.15</v>
      </c>
      <c r="E175" s="50">
        <f>VLOOKUP($A175,'Data shares'!$C:$FM,106)</f>
        <v>47.29</v>
      </c>
      <c r="F175" s="50">
        <f>VLOOKUP($A175,'Data shares'!$C:$FM,108)</f>
        <v>-12.11</v>
      </c>
      <c r="G175" s="50">
        <f t="shared" si="5"/>
        <v>0.74392049058997678</v>
      </c>
    </row>
    <row r="176" spans="1:7" x14ac:dyDescent="0.25">
      <c r="A176" s="49" t="str">
        <f>'Data shares'!C171</f>
        <v>PRESTIGE</v>
      </c>
      <c r="B176" s="50">
        <f>VLOOKUP($A176,'Data shares'!$C:$FM,102)</f>
        <v>29.94</v>
      </c>
      <c r="C176" s="50">
        <f>VLOOKUP($A176,'Data shares'!$C:$FM,110)</f>
        <v>29.98</v>
      </c>
      <c r="D176" s="50">
        <f>VLOOKUP($A176,'Data shares'!$C:$FM,114)</f>
        <v>29.83</v>
      </c>
      <c r="E176" s="50">
        <f>VLOOKUP($A176,'Data shares'!$C:$FM,106)</f>
        <v>47.46</v>
      </c>
      <c r="F176" s="50">
        <f>VLOOKUP($A176,'Data shares'!$C:$FM,108)</f>
        <v>-17.52</v>
      </c>
      <c r="G176" s="50">
        <f t="shared" si="5"/>
        <v>0.63084702907711754</v>
      </c>
    </row>
    <row r="177" spans="1:7" x14ac:dyDescent="0.25">
      <c r="A177" s="49" t="str">
        <f>'Data shares'!C172</f>
        <v>RBLBANK</v>
      </c>
      <c r="B177" s="50">
        <f>VLOOKUP($A177,'Data shares'!$C:$FM,102)</f>
        <v>44.65</v>
      </c>
      <c r="C177" s="50">
        <f>VLOOKUP($A177,'Data shares'!$C:$FM,110)</f>
        <v>44.36</v>
      </c>
      <c r="D177" s="50">
        <f>VLOOKUP($A177,'Data shares'!$C:$FM,114)</f>
        <v>45.35</v>
      </c>
      <c r="E177" s="50">
        <f>VLOOKUP($A177,'Data shares'!$C:$FM,106)</f>
        <v>46.74</v>
      </c>
      <c r="F177" s="50">
        <f>VLOOKUP($A177,'Data shares'!$C:$FM,108)</f>
        <v>-2.09</v>
      </c>
      <c r="G177" s="50">
        <f t="shared" si="5"/>
        <v>0.95528455284552838</v>
      </c>
    </row>
    <row r="178" spans="1:7" x14ac:dyDescent="0.25">
      <c r="A178" s="49" t="str">
        <f>'Data shares'!C173</f>
        <v>RECLTD</v>
      </c>
      <c r="B178" s="50">
        <f>VLOOKUP($A178,'Data shares'!$C:$FM,102)</f>
        <v>26.43</v>
      </c>
      <c r="C178" s="50">
        <f>VLOOKUP($A178,'Data shares'!$C:$FM,110)</f>
        <v>26.37</v>
      </c>
      <c r="D178" s="50">
        <f>VLOOKUP($A178,'Data shares'!$C:$FM,114)</f>
        <v>26.59</v>
      </c>
      <c r="E178" s="50">
        <f>VLOOKUP($A178,'Data shares'!$C:$FM,106)</f>
        <v>45.35</v>
      </c>
      <c r="F178" s="50">
        <f>VLOOKUP($A178,'Data shares'!$C:$FM,108)</f>
        <v>-18.920000000000002</v>
      </c>
      <c r="G178" s="50">
        <f t="shared" si="5"/>
        <v>0.58280044101433293</v>
      </c>
    </row>
    <row r="179" spans="1:7" x14ac:dyDescent="0.25">
      <c r="A179" s="49" t="str">
        <f>'Data shares'!C174</f>
        <v>RELIANCE</v>
      </c>
      <c r="B179" s="50">
        <f>VLOOKUP($A179,'Data shares'!$C:$FM,102)</f>
        <v>18.920000000000002</v>
      </c>
      <c r="C179" s="50">
        <f>VLOOKUP($A179,'Data shares'!$C:$FM,110)</f>
        <v>18.829999999999998</v>
      </c>
      <c r="D179" s="50">
        <f>VLOOKUP($A179,'Data shares'!$C:$FM,114)</f>
        <v>19.079999999999998</v>
      </c>
      <c r="E179" s="50">
        <f>VLOOKUP($A179,'Data shares'!$C:$FM,106)</f>
        <v>24.39</v>
      </c>
      <c r="F179" s="50">
        <f>VLOOKUP($A179,'Data shares'!$C:$FM,108)</f>
        <v>-5.47</v>
      </c>
      <c r="G179" s="50">
        <f t="shared" si="5"/>
        <v>0.77572775727757282</v>
      </c>
    </row>
    <row r="180" spans="1:7" x14ac:dyDescent="0.25">
      <c r="A180" s="49" t="str">
        <f>'Data shares'!C175</f>
        <v>RVNL</v>
      </c>
      <c r="B180" s="50">
        <f>VLOOKUP($A180,'Data shares'!$C:$FM,102)</f>
        <v>38.43</v>
      </c>
      <c r="C180" s="50">
        <f>VLOOKUP($A180,'Data shares'!$C:$FM,110)</f>
        <v>39.1</v>
      </c>
      <c r="D180" s="50">
        <f>VLOOKUP($A180,'Data shares'!$C:$FM,114)</f>
        <v>36.22</v>
      </c>
      <c r="E180" s="50">
        <f>VLOOKUP($A180,'Data shares'!$C:$FM,106)</f>
        <v>58.34</v>
      </c>
      <c r="F180" s="50">
        <f>VLOOKUP($A180,'Data shares'!$C:$FM,108)</f>
        <v>-19.91</v>
      </c>
      <c r="G180" s="50">
        <f t="shared" si="5"/>
        <v>0.65872471717517989</v>
      </c>
    </row>
    <row r="181" spans="1:7" x14ac:dyDescent="0.25">
      <c r="A181" s="49" t="str">
        <f>'Data shares'!C176</f>
        <v>SAIL</v>
      </c>
      <c r="B181" s="50">
        <f>VLOOKUP($A181,'Data shares'!$C:$FM,102)</f>
        <v>34.61</v>
      </c>
      <c r="C181" s="50">
        <f>VLOOKUP($A181,'Data shares'!$C:$FM,110)</f>
        <v>34.840000000000003</v>
      </c>
      <c r="D181" s="50">
        <f>VLOOKUP($A181,'Data shares'!$C:$FM,114)</f>
        <v>34.049999999999997</v>
      </c>
      <c r="E181" s="50">
        <f>VLOOKUP($A181,'Data shares'!$C:$FM,106)</f>
        <v>45.61</v>
      </c>
      <c r="F181" s="50">
        <f>VLOOKUP($A181,'Data shares'!$C:$FM,108)</f>
        <v>-11</v>
      </c>
      <c r="G181" s="50">
        <f t="shared" si="5"/>
        <v>0.75882481911861432</v>
      </c>
    </row>
    <row r="182" spans="1:7" x14ac:dyDescent="0.25">
      <c r="A182" s="49" t="str">
        <f>'Data shares'!C177</f>
        <v>SAMMAANCAP</v>
      </c>
      <c r="B182" s="50">
        <f>VLOOKUP($A182,'Data shares'!$C:$FM,102)</f>
        <v>36.380000000000003</v>
      </c>
      <c r="C182" s="50">
        <f>VLOOKUP($A182,'Data shares'!$C:$FM,110)</f>
        <v>36.340000000000003</v>
      </c>
      <c r="D182" s="50">
        <f>VLOOKUP($A182,'Data shares'!$C:$FM,114)</f>
        <v>36.47</v>
      </c>
      <c r="E182" s="50">
        <f>VLOOKUP($A182,'Data shares'!$C:$FM,106)</f>
        <v>57.84</v>
      </c>
      <c r="F182" s="50">
        <f>VLOOKUP($A182,'Data shares'!$C:$FM,108)</f>
        <v>-21.46</v>
      </c>
      <c r="G182" s="50">
        <f t="shared" si="5"/>
        <v>0.62897648686030427</v>
      </c>
    </row>
    <row r="183" spans="1:7" x14ac:dyDescent="0.25">
      <c r="A183" s="49" t="str">
        <f>'Data shares'!C178</f>
        <v>SBICARD</v>
      </c>
      <c r="B183" s="50">
        <f>VLOOKUP($A183,'Data shares'!$C:$FM,102)</f>
        <v>27.28</v>
      </c>
      <c r="C183" s="50">
        <f>VLOOKUP($A183,'Data shares'!$C:$FM,110)</f>
        <v>27.25</v>
      </c>
      <c r="D183" s="50">
        <f>VLOOKUP($A183,'Data shares'!$C:$FM,114)</f>
        <v>27.34</v>
      </c>
      <c r="E183" s="50">
        <f>VLOOKUP($A183,'Data shares'!$C:$FM,106)</f>
        <v>30.47</v>
      </c>
      <c r="F183" s="50">
        <f>VLOOKUP($A183,'Data shares'!$C:$FM,108)</f>
        <v>-3.19</v>
      </c>
      <c r="G183" s="50">
        <f t="shared" si="5"/>
        <v>0.89530685920577624</v>
      </c>
    </row>
    <row r="184" spans="1:7" x14ac:dyDescent="0.25">
      <c r="A184" s="49" t="str">
        <f>'Data shares'!C179</f>
        <v>SBILIFE</v>
      </c>
      <c r="B184" s="50">
        <f>VLOOKUP($A184,'Data shares'!$C:$FM,102)</f>
        <v>19.53</v>
      </c>
      <c r="C184" s="50">
        <f>VLOOKUP($A184,'Data shares'!$C:$FM,110)</f>
        <v>19.329999999999998</v>
      </c>
      <c r="D184" s="50">
        <f>VLOOKUP($A184,'Data shares'!$C:$FM,114)</f>
        <v>20.12</v>
      </c>
      <c r="E184" s="50">
        <f>VLOOKUP($A184,'Data shares'!$C:$FM,106)</f>
        <v>25.85</v>
      </c>
      <c r="F184" s="50">
        <f>VLOOKUP($A184,'Data shares'!$C:$FM,108)</f>
        <v>-6.32</v>
      </c>
      <c r="G184" s="50">
        <f t="shared" si="5"/>
        <v>0.75551257253384918</v>
      </c>
    </row>
    <row r="185" spans="1:7" x14ac:dyDescent="0.25">
      <c r="A185" s="49" t="str">
        <f>'Data shares'!C180</f>
        <v>SBIN</v>
      </c>
      <c r="B185" s="50">
        <f>VLOOKUP($A185,'Data shares'!$C:$FM,102)</f>
        <v>17.46</v>
      </c>
      <c r="C185" s="50">
        <f>VLOOKUP($A185,'Data shares'!$C:$FM,110)</f>
        <v>17.149999999999999</v>
      </c>
      <c r="D185" s="50">
        <f>VLOOKUP($A185,'Data shares'!$C:$FM,114)</f>
        <v>18.07</v>
      </c>
      <c r="E185" s="50">
        <f>VLOOKUP($A185,'Data shares'!$C:$FM,106)</f>
        <v>26.45</v>
      </c>
      <c r="F185" s="50">
        <f>VLOOKUP($A185,'Data shares'!$C:$FM,108)</f>
        <v>-8.99</v>
      </c>
      <c r="G185" s="50">
        <f t="shared" si="5"/>
        <v>0.66011342155009456</v>
      </c>
    </row>
    <row r="186" spans="1:7" x14ac:dyDescent="0.25">
      <c r="A186" s="49" t="str">
        <f>'Data shares'!C181</f>
        <v>SHREECEM</v>
      </c>
      <c r="B186" s="50">
        <f>VLOOKUP($A186,'Data shares'!$C:$FM,102)</f>
        <v>20.14</v>
      </c>
      <c r="C186" s="50">
        <f>VLOOKUP($A186,'Data shares'!$C:$FM,110)</f>
        <v>20.3</v>
      </c>
      <c r="D186" s="50">
        <f>VLOOKUP($A186,'Data shares'!$C:$FM,114)</f>
        <v>19.559999999999999</v>
      </c>
      <c r="E186" s="50">
        <f>VLOOKUP($A186,'Data shares'!$C:$FM,106)</f>
        <v>25.93</v>
      </c>
      <c r="F186" s="50">
        <f>VLOOKUP($A186,'Data shares'!$C:$FM,108)</f>
        <v>-5.79</v>
      </c>
      <c r="G186" s="50">
        <f t="shared" si="5"/>
        <v>0.77670651754724263</v>
      </c>
    </row>
    <row r="187" spans="1:7" x14ac:dyDescent="0.25">
      <c r="A187" s="49" t="str">
        <f>'Data shares'!C182</f>
        <v>SHRIRAMFIN</v>
      </c>
      <c r="B187" s="50">
        <f>VLOOKUP($A187,'Data shares'!$C:$FM,102)</f>
        <v>30.5</v>
      </c>
      <c r="C187" s="50">
        <f>VLOOKUP($A187,'Data shares'!$C:$FM,110)</f>
        <v>30.4</v>
      </c>
      <c r="D187" s="50">
        <f>VLOOKUP($A187,'Data shares'!$C:$FM,114)</f>
        <v>30.68</v>
      </c>
      <c r="E187" s="50">
        <f>VLOOKUP($A187,'Data shares'!$C:$FM,106)</f>
        <v>41</v>
      </c>
      <c r="F187" s="50">
        <f>VLOOKUP($A187,'Data shares'!$C:$FM,108)</f>
        <v>-10.5</v>
      </c>
      <c r="G187" s="50">
        <f t="shared" si="5"/>
        <v>0.74390243902439024</v>
      </c>
    </row>
    <row r="188" spans="1:7" x14ac:dyDescent="0.25">
      <c r="A188" s="49" t="str">
        <f>'Data shares'!C183</f>
        <v>SIEMENS</v>
      </c>
      <c r="B188" s="50">
        <f>VLOOKUP($A188,'Data shares'!$C:$FM,102)</f>
        <v>26.41</v>
      </c>
      <c r="C188" s="50">
        <f>VLOOKUP($A188,'Data shares'!$C:$FM,110)</f>
        <v>26.62</v>
      </c>
      <c r="D188" s="50">
        <f>VLOOKUP($A188,'Data shares'!$C:$FM,114)</f>
        <v>25.74</v>
      </c>
      <c r="E188" s="50">
        <f>VLOOKUP($A188,'Data shares'!$C:$FM,106)</f>
        <v>40</v>
      </c>
      <c r="F188" s="50">
        <f>VLOOKUP($A188,'Data shares'!$C:$FM,108)</f>
        <v>-13.59</v>
      </c>
      <c r="G188" s="50">
        <f t="shared" si="5"/>
        <v>0.66025</v>
      </c>
    </row>
    <row r="189" spans="1:7" x14ac:dyDescent="0.25">
      <c r="A189" s="49" t="str">
        <f>'Data shares'!C216</f>
        <v>ZYDUSLIFE</v>
      </c>
      <c r="B189" s="50">
        <f>VLOOKUP($A189,'Data shares'!$C:$FM,102)</f>
        <v>23.68</v>
      </c>
      <c r="C189" s="50">
        <f>VLOOKUP($A189,'Data shares'!$C:$FM,110)</f>
        <v>23.86</v>
      </c>
      <c r="D189" s="50">
        <f>VLOOKUP($A189,'Data shares'!$C:$FM,114)</f>
        <v>23.21</v>
      </c>
      <c r="E189" s="50">
        <f>VLOOKUP($A189,'Data shares'!$C:$FM,106)</f>
        <v>30.11</v>
      </c>
      <c r="F189" s="50">
        <f>VLOOKUP($A189,'Data shares'!$C:$FM,108)</f>
        <v>-6.43</v>
      </c>
      <c r="G189" s="50">
        <f t="shared" si="5"/>
        <v>0.78644968449020258</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65" activePane="bottomLeft" state="frozen"/>
      <selection pane="bottomLeft" activeCell="K9" sqref="K9"/>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hidden="1"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44660948</v>
      </c>
      <c r="C5" s="49">
        <v>3826500</v>
      </c>
      <c r="D5" s="49">
        <v>2340076.3307949998</v>
      </c>
      <c r="E5" s="50">
        <f>VLOOKUP($A5,'Data shares'!$C:$FA,154)*100</f>
        <v>9.09</v>
      </c>
      <c r="F5" s="173">
        <f>C5/B5</f>
        <v>8.5678879901967153E-2</v>
      </c>
    </row>
    <row r="6" spans="1:6" x14ac:dyDescent="0.25">
      <c r="A6" s="99" t="s">
        <v>553</v>
      </c>
      <c r="B6" s="49">
        <v>7946564</v>
      </c>
      <c r="C6" s="49">
        <v>4485125</v>
      </c>
      <c r="D6" s="49">
        <v>2401041.3916812502</v>
      </c>
      <c r="E6" s="50">
        <f>VLOOKUP($A6,'Data shares'!$C:$FA,154)*100</f>
        <v>57.42</v>
      </c>
      <c r="F6" s="173">
        <f>C6/B6</f>
        <v>0.56441060564037493</v>
      </c>
    </row>
    <row r="7" spans="1:6" x14ac:dyDescent="0.25">
      <c r="A7" s="99" t="s">
        <v>544</v>
      </c>
      <c r="B7" s="49">
        <v>122316423</v>
      </c>
      <c r="C7" s="49">
        <v>106057200</v>
      </c>
      <c r="D7" s="49">
        <v>70771444.589384004</v>
      </c>
      <c r="E7" s="50">
        <f>VLOOKUP($A7,'Data shares'!$C:$FA,154)*100</f>
        <v>87.89</v>
      </c>
      <c r="F7" s="173">
        <f>C7/B7</f>
        <v>0.86707244537391348</v>
      </c>
    </row>
    <row r="8" spans="1:6" x14ac:dyDescent="0.25">
      <c r="A8" s="99" t="s">
        <v>580</v>
      </c>
      <c r="B8" s="49">
        <v>51907388</v>
      </c>
      <c r="C8" s="49">
        <v>23741775</v>
      </c>
      <c r="D8" s="49">
        <v>16486071.1341502</v>
      </c>
      <c r="E8" s="50">
        <f>VLOOKUP($A8,'Data shares'!$C:$FA,154)*100</f>
        <v>46.23</v>
      </c>
      <c r="F8" s="173">
        <f>C8/B8</f>
        <v>0.45738720276196521</v>
      </c>
    </row>
    <row r="9" spans="1:6" x14ac:dyDescent="0.25">
      <c r="A9" s="99" t="s">
        <v>159</v>
      </c>
      <c r="B9" s="49">
        <v>30040977</v>
      </c>
      <c r="C9" s="49">
        <v>26587800</v>
      </c>
      <c r="D9" s="49">
        <v>13058624.702289</v>
      </c>
      <c r="E9" s="50">
        <f>VLOOKUP($A9,'Data shares'!$C:$FA,154)*100</f>
        <v>90.46</v>
      </c>
      <c r="F9" s="173">
        <f>C9/B9</f>
        <v>0.88505110869063941</v>
      </c>
    </row>
    <row r="10" spans="1:6" x14ac:dyDescent="0.25">
      <c r="A10" s="99" t="s">
        <v>607</v>
      </c>
      <c r="B10" s="49">
        <v>61877951</v>
      </c>
      <c r="C10" s="49">
        <v>35342400</v>
      </c>
      <c r="D10" s="49">
        <v>18124865.712221999</v>
      </c>
      <c r="E10" s="50">
        <f>VLOOKUP($A10,'Data shares'!$C:$FA,154)*100</f>
        <v>58.77</v>
      </c>
      <c r="F10" s="173">
        <f>C10/B10</f>
        <v>0.57116306259074412</v>
      </c>
    </row>
    <row r="11" spans="1:6" x14ac:dyDescent="0.25">
      <c r="A11" s="99" t="s">
        <v>160</v>
      </c>
      <c r="B11" s="49">
        <v>73799006</v>
      </c>
      <c r="C11" s="49">
        <v>34299275</v>
      </c>
      <c r="D11" s="49">
        <v>21805987.188598</v>
      </c>
      <c r="E11" s="50">
        <f>VLOOKUP($A11,'Data shares'!$C:$FA,154)*100</f>
        <v>47.260000000000005</v>
      </c>
      <c r="F11" s="173">
        <f>C11/B11</f>
        <v>0.46476608370578865</v>
      </c>
    </row>
    <row r="12" spans="1:6" x14ac:dyDescent="0.25">
      <c r="A12" s="99" t="s">
        <v>497</v>
      </c>
      <c r="B12" s="49">
        <v>6130387</v>
      </c>
      <c r="C12" s="49">
        <v>1857000</v>
      </c>
      <c r="D12" s="49">
        <v>1507741.8793124999</v>
      </c>
      <c r="E12" s="50">
        <f>VLOOKUP($A12,'Data shares'!$C:$FA,154)*100</f>
        <v>30.48</v>
      </c>
      <c r="F12" s="173">
        <f>C12/B12</f>
        <v>0.30291725465292813</v>
      </c>
    </row>
    <row r="13" spans="1:6" x14ac:dyDescent="0.25">
      <c r="A13" s="99" t="s">
        <v>683</v>
      </c>
      <c r="B13" s="49">
        <v>3067454</v>
      </c>
      <c r="C13" s="49">
        <v>1395100</v>
      </c>
      <c r="D13" s="49">
        <v>521814.25550700002</v>
      </c>
      <c r="E13" s="50">
        <f>VLOOKUP($A13,'Data shares'!$C:$FA,154)*100</f>
        <v>46.379999999999995</v>
      </c>
      <c r="F13" s="173">
        <f>C13/B13</f>
        <v>0.45480714625223395</v>
      </c>
    </row>
    <row r="14" spans="1:6" x14ac:dyDescent="0.25">
      <c r="A14" s="99" t="s">
        <v>164</v>
      </c>
      <c r="B14" s="49">
        <v>119762774</v>
      </c>
      <c r="C14" s="49">
        <v>59730300</v>
      </c>
      <c r="D14" s="49">
        <v>36945957.955095001</v>
      </c>
      <c r="E14" s="50">
        <f>VLOOKUP($A14,'Data shares'!$C:$FA,154)*100</f>
        <v>50.760000000000005</v>
      </c>
      <c r="F14" s="173">
        <f>C14/B14</f>
        <v>0.49873844772500009</v>
      </c>
    </row>
    <row r="15" spans="1:6" x14ac:dyDescent="0.25">
      <c r="A15" s="99" t="s">
        <v>610</v>
      </c>
      <c r="B15" s="49">
        <v>9647634</v>
      </c>
      <c r="C15" s="49">
        <v>7316750</v>
      </c>
      <c r="D15" s="49">
        <v>3586200.3230424998</v>
      </c>
      <c r="E15" s="50">
        <f>VLOOKUP($A15,'Data shares'!$C:$FA,154)*100</f>
        <v>77.510000000000005</v>
      </c>
      <c r="F15" s="173">
        <f>C15/B15</f>
        <v>0.75839838036973628</v>
      </c>
    </row>
    <row r="16" spans="1:6" x14ac:dyDescent="0.25">
      <c r="A16" s="99" t="s">
        <v>599</v>
      </c>
      <c r="B16" s="49">
        <v>27232196</v>
      </c>
      <c r="C16" s="49">
        <v>11191600</v>
      </c>
      <c r="D16" s="49">
        <v>8761174.5636870004</v>
      </c>
      <c r="E16" s="50">
        <f>VLOOKUP($A16,'Data shares'!$C:$FA,154)*100</f>
        <v>41.33</v>
      </c>
      <c r="F16" s="173">
        <f>C16/B16</f>
        <v>0.41096942751146476</v>
      </c>
    </row>
    <row r="17" spans="1:6" x14ac:dyDescent="0.25">
      <c r="A17" s="99" t="s">
        <v>165</v>
      </c>
      <c r="B17" s="49">
        <v>15240043</v>
      </c>
      <c r="C17" s="49">
        <v>3981125</v>
      </c>
      <c r="D17" s="49">
        <v>2888192.0211700001</v>
      </c>
      <c r="E17" s="50">
        <f>VLOOKUP($A17,'Data shares'!$C:$FA,154)*100</f>
        <v>26.31</v>
      </c>
      <c r="F17" s="173">
        <f>C17/B17</f>
        <v>0.26122793748022888</v>
      </c>
    </row>
    <row r="18" spans="1:6" x14ac:dyDescent="0.25">
      <c r="A18" s="99" t="s">
        <v>167</v>
      </c>
      <c r="B18" s="49">
        <v>409181558</v>
      </c>
      <c r="C18" s="49">
        <v>241980000</v>
      </c>
      <c r="D18" s="49">
        <v>123981967.16135</v>
      </c>
      <c r="E18" s="50">
        <f>VLOOKUP($A18,'Data shares'!$C:$FA,154)*100</f>
        <v>60.550000000000004</v>
      </c>
      <c r="F18" s="173">
        <f>C18/B18</f>
        <v>0.59137562597579241</v>
      </c>
    </row>
    <row r="19" spans="1:6" x14ac:dyDescent="0.25">
      <c r="A19" s="99" t="s">
        <v>169</v>
      </c>
      <c r="B19" s="49">
        <v>52357280</v>
      </c>
      <c r="C19" s="49">
        <v>22784750</v>
      </c>
      <c r="D19" s="49">
        <v>12610180.175240001</v>
      </c>
      <c r="E19" s="50">
        <f>VLOOKUP($A19,'Data shares'!$C:$FA,154)*100</f>
        <v>44.2</v>
      </c>
      <c r="F19" s="173">
        <f>C19/B19</f>
        <v>0.43517825983320751</v>
      </c>
    </row>
    <row r="20" spans="1:6" x14ac:dyDescent="0.25">
      <c r="A20" s="99" t="s">
        <v>503</v>
      </c>
      <c r="B20" s="49">
        <v>18495534</v>
      </c>
      <c r="C20" s="49">
        <v>12902575</v>
      </c>
      <c r="D20" s="49">
        <v>7920001.1538592502</v>
      </c>
      <c r="E20" s="50">
        <f>VLOOKUP($A20,'Data shares'!$C:$FA,154)*100</f>
        <v>70.38</v>
      </c>
      <c r="F20" s="173">
        <f>C20/B20</f>
        <v>0.69760489207827148</v>
      </c>
    </row>
    <row r="21" spans="1:6" x14ac:dyDescent="0.25">
      <c r="A21" s="99" t="s">
        <v>495</v>
      </c>
      <c r="B21" s="49">
        <v>86234186</v>
      </c>
      <c r="C21" s="49">
        <v>32320000</v>
      </c>
      <c r="D21" s="49">
        <v>21017289.32604</v>
      </c>
      <c r="E21" s="50">
        <f>VLOOKUP($A21,'Data shares'!$C:$FA,154)*100</f>
        <v>38.03</v>
      </c>
      <c r="F21" s="173">
        <f>C21/B21</f>
        <v>0.37479335631462912</v>
      </c>
    </row>
    <row r="22" spans="1:6" x14ac:dyDescent="0.25">
      <c r="A22" s="99" t="s">
        <v>171</v>
      </c>
      <c r="B22" s="49">
        <v>41977935</v>
      </c>
      <c r="C22" s="49">
        <v>26635950</v>
      </c>
      <c r="D22" s="49">
        <v>19675985.418111</v>
      </c>
      <c r="E22" s="50">
        <f>VLOOKUP($A22,'Data shares'!$C:$FA,154)*100</f>
        <v>64.259999999999991</v>
      </c>
      <c r="F22" s="173">
        <f>C22/B22</f>
        <v>0.63452263671378784</v>
      </c>
    </row>
    <row r="23" spans="1:6" x14ac:dyDescent="0.25">
      <c r="A23" s="99" t="s">
        <v>173</v>
      </c>
      <c r="B23" s="49">
        <v>316147681</v>
      </c>
      <c r="C23" s="49">
        <v>121500625</v>
      </c>
      <c r="D23" s="49">
        <v>84099821.752681196</v>
      </c>
      <c r="E23" s="50"/>
      <c r="F23" s="173">
        <f>C23/B23</f>
        <v>0.38431604057851687</v>
      </c>
    </row>
    <row r="24" spans="1:6" x14ac:dyDescent="0.25">
      <c r="A24" s="99" t="s">
        <v>174</v>
      </c>
      <c r="B24" s="49">
        <v>12547731</v>
      </c>
      <c r="C24" s="49">
        <v>5611050</v>
      </c>
      <c r="D24" s="49">
        <v>2986352.3967202501</v>
      </c>
      <c r="E24" s="50">
        <f>VLOOKUP($A24,'Data shares'!$C:$FA,154)*100</f>
        <v>45.81</v>
      </c>
      <c r="F24" s="173">
        <f>C24/B24</f>
        <v>0.44717646560959906</v>
      </c>
    </row>
    <row r="25" spans="1:6" x14ac:dyDescent="0.25">
      <c r="A25" s="99" t="s">
        <v>176</v>
      </c>
      <c r="B25" s="49">
        <v>65659712</v>
      </c>
      <c r="C25" s="49">
        <v>25853500</v>
      </c>
      <c r="D25" s="49">
        <v>17835786.404355001</v>
      </c>
      <c r="E25" s="50">
        <f>VLOOKUP($A25,'Data shares'!$C:$FA,154)*100</f>
        <v>39.83</v>
      </c>
      <c r="F25" s="173">
        <f>C25/B25</f>
        <v>0.39374982333154307</v>
      </c>
    </row>
    <row r="26" spans="1:6" x14ac:dyDescent="0.25">
      <c r="A26" s="99" t="s">
        <v>177</v>
      </c>
      <c r="B26" s="49">
        <v>281116345</v>
      </c>
      <c r="C26" s="49">
        <v>120532500</v>
      </c>
      <c r="D26" s="49">
        <v>92566456.740547493</v>
      </c>
      <c r="E26" s="50">
        <f>VLOOKUP($A26,'Data shares'!$C:$FA,154)*100</f>
        <v>43.84</v>
      </c>
      <c r="F26" s="173">
        <f>C26/B26</f>
        <v>0.42876375615939372</v>
      </c>
    </row>
    <row r="27" spans="1:6" x14ac:dyDescent="0.25">
      <c r="A27" s="99" t="s">
        <v>179</v>
      </c>
      <c r="B27" s="49">
        <v>142752962</v>
      </c>
      <c r="C27" s="49">
        <v>152442000</v>
      </c>
      <c r="D27" s="49">
        <v>89656747.384248003</v>
      </c>
      <c r="E27" s="50">
        <f>VLOOKUP($A27,'Data shares'!$C:$FA,154)*100</f>
        <v>108.83</v>
      </c>
      <c r="F27" s="173">
        <f>C27/B27</f>
        <v>1.0678727632985998</v>
      </c>
    </row>
    <row r="28" spans="1:6" x14ac:dyDescent="0.25">
      <c r="A28" s="99" t="s">
        <v>180</v>
      </c>
      <c r="B28" s="49">
        <v>257509827</v>
      </c>
      <c r="C28" s="49">
        <v>198633825</v>
      </c>
      <c r="D28" s="49">
        <v>126777120.621898</v>
      </c>
      <c r="E28" s="50">
        <f>VLOOKUP($A28,'Data shares'!$C:$FA,154)*100</f>
        <v>78.459999999999994</v>
      </c>
      <c r="F28" s="173">
        <f>C28/B28</f>
        <v>0.7713640574967261</v>
      </c>
    </row>
    <row r="29" spans="1:6" x14ac:dyDescent="0.25">
      <c r="A29" s="99" t="s">
        <v>603</v>
      </c>
      <c r="B29" s="49">
        <v>181770921</v>
      </c>
      <c r="C29" s="49">
        <v>111576400</v>
      </c>
      <c r="D29" s="49">
        <v>69177717.193156004</v>
      </c>
      <c r="E29" s="50">
        <f>VLOOKUP($A29,'Data shares'!$C:$FA,154)*100</f>
        <v>62.51</v>
      </c>
      <c r="F29" s="173">
        <f>C29/B29</f>
        <v>0.61382975553058894</v>
      </c>
    </row>
    <row r="30" spans="1:6" x14ac:dyDescent="0.25">
      <c r="A30" s="99" t="s">
        <v>673</v>
      </c>
      <c r="B30" s="49">
        <v>13786716</v>
      </c>
      <c r="C30" s="49">
        <v>9693775</v>
      </c>
      <c r="D30" s="49">
        <v>4188921.0862622499</v>
      </c>
      <c r="E30" s="50">
        <f>VLOOKUP($A30,'Data shares'!$C:$FA,154)*100</f>
        <v>71.17</v>
      </c>
      <c r="F30" s="173">
        <f>C30/B30</f>
        <v>0.70312429733085091</v>
      </c>
    </row>
    <row r="31" spans="1:6" x14ac:dyDescent="0.25">
      <c r="A31" s="99" t="s">
        <v>185</v>
      </c>
      <c r="B31" s="49">
        <v>535778534</v>
      </c>
      <c r="C31" s="49">
        <v>205305450</v>
      </c>
      <c r="D31" s="49">
        <v>107943428.476879</v>
      </c>
      <c r="E31" s="50"/>
      <c r="F31" s="173">
        <f>C31/B31</f>
        <v>0.38319088386620581</v>
      </c>
    </row>
    <row r="32" spans="1:6" x14ac:dyDescent="0.25">
      <c r="A32" s="99" t="s">
        <v>187</v>
      </c>
      <c r="B32" s="49">
        <v>35155737</v>
      </c>
      <c r="C32" s="49">
        <v>16232000</v>
      </c>
      <c r="D32" s="49">
        <v>9818315.1818150003</v>
      </c>
      <c r="E32" s="50">
        <f>VLOOKUP($A32,'Data shares'!$C:$FA,154)*100</f>
        <v>46.72</v>
      </c>
      <c r="F32" s="173">
        <f>C32/B32</f>
        <v>0.46171695959609665</v>
      </c>
    </row>
    <row r="33" spans="1:6" x14ac:dyDescent="0.25">
      <c r="A33" s="99" t="s">
        <v>189</v>
      </c>
      <c r="B33" s="49">
        <v>314058656</v>
      </c>
      <c r="C33" s="49">
        <v>67744975</v>
      </c>
      <c r="D33" s="49">
        <v>49800137.797539003</v>
      </c>
      <c r="E33" s="50">
        <f>VLOOKUP($A33,'Data shares'!$C:$FA,154)*100</f>
        <v>21.86</v>
      </c>
      <c r="F33" s="173">
        <f>C33/B33</f>
        <v>0.21570803321529849</v>
      </c>
    </row>
    <row r="34" spans="1:6" x14ac:dyDescent="0.25">
      <c r="A34" s="99" t="s">
        <v>190</v>
      </c>
      <c r="B34" s="49">
        <v>169029877</v>
      </c>
      <c r="C34" s="49">
        <v>92011500</v>
      </c>
      <c r="D34" s="49">
        <v>53754519.941613697</v>
      </c>
      <c r="E34" s="50">
        <f>VLOOKUP($A34,'Data shares'!$C:$FA,154)*100</f>
        <v>55.57</v>
      </c>
      <c r="F34" s="173">
        <f>C34/B34</f>
        <v>0.54435051147792057</v>
      </c>
    </row>
    <row r="35" spans="1:6" x14ac:dyDescent="0.25">
      <c r="A35" s="99" t="s">
        <v>191</v>
      </c>
      <c r="B35" s="49">
        <v>90981174</v>
      </c>
      <c r="C35" s="49">
        <v>66252500</v>
      </c>
      <c r="D35" s="49">
        <v>34884913.235624999</v>
      </c>
      <c r="E35" s="50">
        <f>VLOOKUP($A35,'Data shares'!$C:$FA,154)*100</f>
        <v>73.790000000000006</v>
      </c>
      <c r="F35" s="173">
        <f>C35/B35</f>
        <v>0.72820009994595147</v>
      </c>
    </row>
    <row r="36" spans="1:6" x14ac:dyDescent="0.25">
      <c r="A36" s="99" t="s">
        <v>681</v>
      </c>
      <c r="B36" s="49">
        <v>19584741</v>
      </c>
      <c r="C36" s="49">
        <v>2511600</v>
      </c>
      <c r="D36" s="49">
        <v>1694962.9674867501</v>
      </c>
      <c r="E36" s="50">
        <f>VLOOKUP($A36,'Data shares'!$C:$FA,154)*100</f>
        <v>13.61</v>
      </c>
      <c r="F36" s="173">
        <f>C36/B36</f>
        <v>0.12824269669943555</v>
      </c>
    </row>
    <row r="37" spans="1:6" x14ac:dyDescent="0.25">
      <c r="A37" s="99" t="s">
        <v>192</v>
      </c>
      <c r="B37" s="49">
        <v>982526</v>
      </c>
      <c r="C37" s="49">
        <v>341750</v>
      </c>
      <c r="D37" s="49">
        <v>238221.89173025</v>
      </c>
      <c r="E37" s="50">
        <f>VLOOKUP($A37,'Data shares'!$C:$FA,154)*100</f>
        <v>35.010000000000005</v>
      </c>
      <c r="F37" s="173">
        <f>C37/B37</f>
        <v>0.34782794552001678</v>
      </c>
    </row>
    <row r="38" spans="1:6" x14ac:dyDescent="0.25">
      <c r="A38" s="99" t="s">
        <v>194</v>
      </c>
      <c r="B38" s="49">
        <v>281577339</v>
      </c>
      <c r="C38" s="49">
        <v>59609450</v>
      </c>
      <c r="D38" s="49">
        <v>36661621.898961999</v>
      </c>
      <c r="E38" s="50">
        <f>VLOOKUP($A38,'Data shares'!$C:$FA,154)*100</f>
        <v>21.41</v>
      </c>
      <c r="F38" s="173">
        <f>C38/B38</f>
        <v>0.21169832136243039</v>
      </c>
    </row>
    <row r="39" spans="1:6" x14ac:dyDescent="0.25">
      <c r="A39" s="99" t="s">
        <v>195</v>
      </c>
      <c r="B39" s="49">
        <v>13082978</v>
      </c>
      <c r="C39" s="49">
        <v>5093750</v>
      </c>
      <c r="D39" s="49">
        <v>3547466.647835</v>
      </c>
      <c r="E39" s="50">
        <f>VLOOKUP($A39,'Data shares'!$C:$FA,154)*100</f>
        <v>39.79</v>
      </c>
      <c r="F39" s="173">
        <f>C39/B39</f>
        <v>0.38934178441636147</v>
      </c>
    </row>
    <row r="40" spans="1:6" x14ac:dyDescent="0.25">
      <c r="A40" s="99" t="s">
        <v>585</v>
      </c>
      <c r="B40" s="49">
        <v>48385387</v>
      </c>
      <c r="C40" s="49">
        <v>28883250</v>
      </c>
      <c r="D40" s="49">
        <v>12719370.5056237</v>
      </c>
      <c r="E40" s="50">
        <f>VLOOKUP($A40,'Data shares'!$C:$FA,154)*100</f>
        <v>62.7</v>
      </c>
      <c r="F40" s="173">
        <f>C40/B40</f>
        <v>0.59694159313017381</v>
      </c>
    </row>
    <row r="41" spans="1:6" x14ac:dyDescent="0.25">
      <c r="A41" s="99" t="s">
        <v>612</v>
      </c>
      <c r="B41" s="49">
        <v>7421215</v>
      </c>
      <c r="C41" s="49">
        <v>3926700</v>
      </c>
      <c r="D41" s="49">
        <v>2149493.8765230002</v>
      </c>
      <c r="E41" s="50">
        <f>VLOOKUP($A41,'Data shares'!$C:$FA,154)*100</f>
        <v>53.71</v>
      </c>
      <c r="F41" s="173">
        <f>C41/B41</f>
        <v>0.52911821042780727</v>
      </c>
    </row>
    <row r="42" spans="1:6" x14ac:dyDescent="0.25">
      <c r="A42" s="99" t="s">
        <v>196</v>
      </c>
      <c r="B42" s="49">
        <v>504315430</v>
      </c>
      <c r="C42" s="49">
        <v>440734500</v>
      </c>
      <c r="D42" s="49">
        <v>270491555.49387699</v>
      </c>
      <c r="E42" s="50">
        <f>VLOOKUP($A42,'Data shares'!$C:$FA,154)*100</f>
        <v>89.070000000000007</v>
      </c>
      <c r="F42" s="173">
        <f>C42/B42</f>
        <v>0.87392626475854607</v>
      </c>
    </row>
    <row r="43" spans="1:6" x14ac:dyDescent="0.25">
      <c r="A43" s="99" t="s">
        <v>598</v>
      </c>
      <c r="B43" s="49">
        <v>26647500</v>
      </c>
      <c r="C43" s="49">
        <v>16952275</v>
      </c>
      <c r="D43" s="49">
        <v>7380152.9927580003</v>
      </c>
      <c r="E43" s="50">
        <f>VLOOKUP($A43,'Data shares'!$C:$FA,154)*100</f>
        <v>64.92</v>
      </c>
      <c r="F43" s="173">
        <f>C43/B43</f>
        <v>0.63616755793226376</v>
      </c>
    </row>
    <row r="44" spans="1:6" x14ac:dyDescent="0.25">
      <c r="A44" s="99" t="s">
        <v>613</v>
      </c>
      <c r="B44" s="49">
        <v>100245792</v>
      </c>
      <c r="C44" s="49">
        <v>27841750</v>
      </c>
      <c r="D44" s="49">
        <v>17757650.626138501</v>
      </c>
      <c r="E44" s="50">
        <f>VLOOKUP($A44,'Data shares'!$C:$FA,154)*100</f>
        <v>28.050000000000004</v>
      </c>
      <c r="F44" s="173">
        <f>C44/B44</f>
        <v>0.27773484995759223</v>
      </c>
    </row>
    <row r="45" spans="1:6" x14ac:dyDescent="0.25">
      <c r="A45" s="99" t="s">
        <v>198</v>
      </c>
      <c r="B45" s="49">
        <v>63212268</v>
      </c>
      <c r="C45" s="49">
        <v>19774375</v>
      </c>
      <c r="D45" s="49">
        <v>14092447.285487499</v>
      </c>
      <c r="E45" s="50">
        <f>VLOOKUP($A45,'Data shares'!$C:$FA,154)*100</f>
        <v>31.64</v>
      </c>
      <c r="F45" s="173">
        <f>C45/B45</f>
        <v>0.31282495669986088</v>
      </c>
    </row>
    <row r="46" spans="1:6" x14ac:dyDescent="0.25">
      <c r="A46" s="99" t="s">
        <v>199</v>
      </c>
      <c r="B46" s="49">
        <v>57073940</v>
      </c>
      <c r="C46" s="49">
        <v>17953875</v>
      </c>
      <c r="D46" s="49">
        <v>11209661.7589837</v>
      </c>
      <c r="E46" s="50">
        <f>VLOOKUP($A46,'Data shares'!$C:$FA,154)*100</f>
        <v>32.22</v>
      </c>
      <c r="F46" s="173">
        <f>C46/B46</f>
        <v>0.31457220230458943</v>
      </c>
    </row>
    <row r="47" spans="1:6" x14ac:dyDescent="0.25">
      <c r="A47" s="99" t="s">
        <v>200</v>
      </c>
      <c r="B47" s="49">
        <v>227199238</v>
      </c>
      <c r="C47" s="49">
        <v>118683900</v>
      </c>
      <c r="D47" s="49">
        <v>69684477.592176005</v>
      </c>
      <c r="E47" s="50">
        <f>VLOOKUP($A47,'Data shares'!$C:$FA,154)*100</f>
        <v>53</v>
      </c>
      <c r="F47" s="173">
        <f>C47/B47</f>
        <v>0.52237807241237311</v>
      </c>
    </row>
    <row r="48" spans="1:6" x14ac:dyDescent="0.25">
      <c r="A48" s="99" t="s">
        <v>470</v>
      </c>
      <c r="B48" s="49">
        <v>50163899</v>
      </c>
      <c r="C48" s="49">
        <v>18862500</v>
      </c>
      <c r="D48" s="49">
        <v>12510910.6952137</v>
      </c>
      <c r="E48" s="50">
        <f>VLOOKUP($A48,'Data shares'!$C:$FA,154)*100</f>
        <v>39.300000000000004</v>
      </c>
      <c r="F48" s="173">
        <f>C48/B48</f>
        <v>0.37601742240968949</v>
      </c>
    </row>
    <row r="49" spans="1:6" x14ac:dyDescent="0.25">
      <c r="A49" s="99" t="s">
        <v>201</v>
      </c>
      <c r="B49" s="49">
        <v>19990944</v>
      </c>
      <c r="C49" s="49">
        <v>8289450</v>
      </c>
      <c r="D49" s="49">
        <v>5059468.5032564998</v>
      </c>
      <c r="E49" s="50">
        <f>VLOOKUP($A49,'Data shares'!$C:$FA,154)*100</f>
        <v>42.04</v>
      </c>
      <c r="F49" s="173">
        <f>C49/B49</f>
        <v>0.41466025816489704</v>
      </c>
    </row>
    <row r="50" spans="1:6" x14ac:dyDescent="0.25">
      <c r="A50" s="99" t="s">
        <v>202</v>
      </c>
      <c r="B50" s="49">
        <v>48077012</v>
      </c>
      <c r="C50" s="49">
        <v>41977500</v>
      </c>
      <c r="D50" s="49">
        <v>22581015.808587499</v>
      </c>
      <c r="E50" s="50">
        <f>VLOOKUP($A50,'Data shares'!$C:$FA,154)*100</f>
        <v>89.44</v>
      </c>
      <c r="F50" s="173">
        <f>C50/B50</f>
        <v>0.87313038505803975</v>
      </c>
    </row>
    <row r="51" spans="1:6" x14ac:dyDescent="0.25">
      <c r="A51" s="99" t="s">
        <v>523</v>
      </c>
      <c r="B51" s="49">
        <v>81400589</v>
      </c>
      <c r="C51" s="49">
        <v>79624800</v>
      </c>
      <c r="D51" s="49">
        <v>47827940.991425999</v>
      </c>
      <c r="E51" s="50">
        <f>VLOOKUP($A51,'Data shares'!$C:$FA,154)*100</f>
        <v>99.18</v>
      </c>
      <c r="F51" s="173">
        <f>C51/B51</f>
        <v>0.97818456817308774</v>
      </c>
    </row>
    <row r="52" spans="1:6" x14ac:dyDescent="0.25">
      <c r="A52" s="99" t="s">
        <v>203</v>
      </c>
      <c r="B52" s="49">
        <v>20374200</v>
      </c>
      <c r="C52" s="49">
        <v>4138000</v>
      </c>
      <c r="D52" s="49">
        <v>2893468.41175</v>
      </c>
      <c r="E52" s="50">
        <f>VLOOKUP($A52,'Data shares'!$C:$FA,154)*100</f>
        <v>20.76</v>
      </c>
      <c r="F52" s="173">
        <f>C52/B52</f>
        <v>0.20309999901836637</v>
      </c>
    </row>
    <row r="53" spans="1:6" x14ac:dyDescent="0.25">
      <c r="A53" s="99" t="s">
        <v>573</v>
      </c>
      <c r="B53" s="49">
        <v>12039544</v>
      </c>
      <c r="C53" s="49">
        <v>7106850</v>
      </c>
      <c r="D53" s="49">
        <v>3568153.7829149999</v>
      </c>
      <c r="E53" s="50">
        <f>VLOOKUP($A53,'Data shares'!$C:$FA,154)*100</f>
        <v>59.68</v>
      </c>
      <c r="F53" s="173">
        <f>C53/B53</f>
        <v>0.59029229013989237</v>
      </c>
    </row>
    <row r="54" spans="1:6" x14ac:dyDescent="0.25">
      <c r="A54" s="99" t="s">
        <v>204</v>
      </c>
      <c r="B54" s="49">
        <v>89873278</v>
      </c>
      <c r="C54" s="49">
        <v>54188750</v>
      </c>
      <c r="D54" s="49">
        <v>27560750.825187501</v>
      </c>
      <c r="E54" s="50">
        <f>VLOOKUP($A54,'Data shares'!$C:$FA,154)*100</f>
        <v>62.019999999999996</v>
      </c>
      <c r="F54" s="173">
        <f>C54/B54</f>
        <v>0.60294618384788412</v>
      </c>
    </row>
    <row r="55" spans="1:6" x14ac:dyDescent="0.25">
      <c r="A55" s="99" t="s">
        <v>524</v>
      </c>
      <c r="B55" s="49">
        <v>12425041</v>
      </c>
      <c r="C55" s="49">
        <v>3265600</v>
      </c>
      <c r="D55" s="49">
        <v>2518882.8208440002</v>
      </c>
      <c r="E55" s="50">
        <f>VLOOKUP($A55,'Data shares'!$C:$FA,154)*100</f>
        <v>26.5</v>
      </c>
      <c r="F55" s="173">
        <f>C55/B55</f>
        <v>0.26282408243159922</v>
      </c>
    </row>
    <row r="56" spans="1:6" x14ac:dyDescent="0.25">
      <c r="A56" s="99" t="s">
        <v>601</v>
      </c>
      <c r="B56" s="49">
        <v>94196226</v>
      </c>
      <c r="C56" s="49">
        <v>30905050</v>
      </c>
      <c r="D56" s="49">
        <v>17634486.366280001</v>
      </c>
      <c r="E56" s="50">
        <f>VLOOKUP($A56,'Data shares'!$C:$FA,154)*100</f>
        <v>33.71</v>
      </c>
      <c r="F56" s="173">
        <f>C56/B56</f>
        <v>0.32809223163569207</v>
      </c>
    </row>
    <row r="57" spans="1:6" x14ac:dyDescent="0.25">
      <c r="A57" s="99" t="s">
        <v>205</v>
      </c>
      <c r="B57" s="49">
        <v>16353614</v>
      </c>
      <c r="C57" s="49">
        <v>5852000</v>
      </c>
      <c r="D57" s="49">
        <v>2869870.8846570002</v>
      </c>
      <c r="E57" s="50">
        <f>VLOOKUP($A57,'Data shares'!$C:$FA,154)*100</f>
        <v>36.94</v>
      </c>
      <c r="F57" s="173">
        <f>C57/B57</f>
        <v>0.35784139212286653</v>
      </c>
    </row>
    <row r="58" spans="1:6" x14ac:dyDescent="0.25">
      <c r="A58" s="99" t="s">
        <v>512</v>
      </c>
      <c r="B58" s="49">
        <v>6445442</v>
      </c>
      <c r="C58" s="49">
        <v>2972850</v>
      </c>
      <c r="D58" s="49">
        <v>1436621.9417595</v>
      </c>
      <c r="E58" s="50">
        <f>VLOOKUP($A58,'Data shares'!$C:$FA,154)*100</f>
        <v>47.699999999999996</v>
      </c>
      <c r="F58" s="173">
        <f>C58/B58</f>
        <v>0.46123291467055322</v>
      </c>
    </row>
    <row r="59" spans="1:6" x14ac:dyDescent="0.25">
      <c r="A59" s="99" t="s">
        <v>207</v>
      </c>
      <c r="B59" s="49">
        <v>83667734</v>
      </c>
      <c r="C59" s="49">
        <v>67369500</v>
      </c>
      <c r="D59" s="49">
        <v>39455338.411838204</v>
      </c>
      <c r="E59" s="50">
        <f>VLOOKUP($A59,'Data shares'!$C:$FA,154)*100</f>
        <v>82.16</v>
      </c>
      <c r="F59" s="173">
        <f>C59/B59</f>
        <v>0.80520287545973224</v>
      </c>
    </row>
    <row r="60" spans="1:6" x14ac:dyDescent="0.25">
      <c r="A60" s="99" t="s">
        <v>584</v>
      </c>
      <c r="B60" s="49">
        <v>22136392</v>
      </c>
      <c r="C60" s="49">
        <v>10278300</v>
      </c>
      <c r="D60" s="49">
        <v>5323583.7031455003</v>
      </c>
      <c r="E60" s="50">
        <f>VLOOKUP($A60,'Data shares'!$C:$FA,154)*100</f>
        <v>47.99</v>
      </c>
      <c r="F60" s="173">
        <f>C60/B60</f>
        <v>0.46431685886299812</v>
      </c>
    </row>
    <row r="61" spans="1:6" x14ac:dyDescent="0.25">
      <c r="A61" s="99" t="s">
        <v>208</v>
      </c>
      <c r="B61" s="49">
        <v>61006521</v>
      </c>
      <c r="C61" s="49">
        <v>20557500</v>
      </c>
      <c r="D61" s="49">
        <v>11589281.7115687</v>
      </c>
      <c r="E61" s="50">
        <f>VLOOKUP($A61,'Data shares'!$C:$FA,154)*100</f>
        <v>34.449999999999996</v>
      </c>
      <c r="F61" s="173">
        <f>C61/B61</f>
        <v>0.33697217384351419</v>
      </c>
    </row>
    <row r="62" spans="1:6" x14ac:dyDescent="0.25">
      <c r="A62" s="99" t="s">
        <v>209</v>
      </c>
      <c r="B62" s="49">
        <v>20353850</v>
      </c>
      <c r="C62" s="49">
        <v>6554625</v>
      </c>
      <c r="D62" s="49">
        <v>3647359.0805575</v>
      </c>
      <c r="E62" s="50">
        <f>VLOOKUP($A62,'Data shares'!$C:$FA,154)*100</f>
        <v>33.32</v>
      </c>
      <c r="F62" s="173">
        <f>C62/B62</f>
        <v>0.32203366930580701</v>
      </c>
    </row>
    <row r="63" spans="1:6" x14ac:dyDescent="0.25">
      <c r="A63" s="99" t="s">
        <v>669</v>
      </c>
      <c r="B63" s="49">
        <v>1361988292</v>
      </c>
      <c r="C63" s="49">
        <v>328965800</v>
      </c>
      <c r="D63" s="49">
        <v>236857107.65585801</v>
      </c>
      <c r="E63" s="50">
        <f>VLOOKUP($A63,'Data shares'!$C:$FA,154)*100</f>
        <v>24.41</v>
      </c>
      <c r="F63" s="173">
        <f>C63/B63</f>
        <v>0.24153350064186896</v>
      </c>
    </row>
    <row r="64" spans="1:6" x14ac:dyDescent="0.25">
      <c r="A64" s="99" t="s">
        <v>211</v>
      </c>
      <c r="B64" s="49">
        <v>68856800</v>
      </c>
      <c r="C64" s="49">
        <v>49048200</v>
      </c>
      <c r="D64" s="49">
        <v>25313435.653266001</v>
      </c>
      <c r="E64" s="50">
        <f>VLOOKUP($A64,'Data shares'!$C:$FA,154)*100</f>
        <v>72.209999999999994</v>
      </c>
      <c r="F64" s="173">
        <f>C64/B64</f>
        <v>0.71232180409197055</v>
      </c>
    </row>
    <row r="65" spans="1:6" x14ac:dyDescent="0.25">
      <c r="A65" s="99" t="s">
        <v>212</v>
      </c>
      <c r="B65" s="49">
        <v>338654719</v>
      </c>
      <c r="C65" s="49">
        <v>168915000</v>
      </c>
      <c r="D65" s="49">
        <v>85344710.016949996</v>
      </c>
      <c r="E65" s="50">
        <f>VLOOKUP($A65,'Data shares'!$C:$FA,154)*100</f>
        <v>50.690000000000005</v>
      </c>
      <c r="F65" s="173">
        <f>C65/B65</f>
        <v>0.49878236009461896</v>
      </c>
    </row>
    <row r="66" spans="1:6" x14ac:dyDescent="0.25">
      <c r="A66" s="99" t="s">
        <v>679</v>
      </c>
      <c r="B66" s="49">
        <v>62490435</v>
      </c>
      <c r="C66" s="49">
        <v>14756775</v>
      </c>
      <c r="D66" s="49">
        <v>8940865.8203995004</v>
      </c>
      <c r="E66" s="50">
        <f>VLOOKUP($A66,'Data shares'!$C:$FA,154)*100</f>
        <v>24.27</v>
      </c>
      <c r="F66" s="173">
        <f>C66/B66</f>
        <v>0.23614453956033432</v>
      </c>
    </row>
    <row r="67" spans="1:6" x14ac:dyDescent="0.25">
      <c r="A67" s="99" t="s">
        <v>213</v>
      </c>
      <c r="B67" s="49">
        <v>402429848</v>
      </c>
      <c r="C67" s="49">
        <v>160785450</v>
      </c>
      <c r="D67" s="49">
        <v>94465384.853993997</v>
      </c>
      <c r="E67" s="50">
        <f>VLOOKUP($A67,'Data shares'!$C:$FA,154)*100</f>
        <v>40.65</v>
      </c>
      <c r="F67" s="173">
        <f>C67/B67</f>
        <v>0.39953659202733888</v>
      </c>
    </row>
    <row r="68" spans="1:6" x14ac:dyDescent="0.25">
      <c r="A68" s="99" t="s">
        <v>214</v>
      </c>
      <c r="B68" s="49">
        <v>22585180</v>
      </c>
      <c r="C68" s="49">
        <v>10417500</v>
      </c>
      <c r="D68" s="49">
        <v>7376203.0705500003</v>
      </c>
      <c r="E68" s="50">
        <f>VLOOKUP($A68,'Data shares'!$C:$FA,154)*100</f>
        <v>46.5</v>
      </c>
      <c r="F68" s="173">
        <f>C68/B68</f>
        <v>0.46125379563058605</v>
      </c>
    </row>
    <row r="69" spans="1:6" x14ac:dyDescent="0.25">
      <c r="A69" s="99" t="s">
        <v>632</v>
      </c>
      <c r="B69" s="49">
        <v>534704421</v>
      </c>
      <c r="C69" s="49">
        <v>326729925</v>
      </c>
      <c r="D69" s="49">
        <v>191435976.63872701</v>
      </c>
      <c r="E69" s="50">
        <f>VLOOKUP($A69,'Data shares'!$C:$FA,154)*100</f>
        <v>61.539999999999992</v>
      </c>
      <c r="F69" s="173">
        <f>C69/B69</f>
        <v>0.61104773435191029</v>
      </c>
    </row>
    <row r="70" spans="1:6" x14ac:dyDescent="0.25">
      <c r="A70" s="99" t="s">
        <v>217</v>
      </c>
      <c r="B70" s="49">
        <v>58001204</v>
      </c>
      <c r="C70" s="49">
        <v>17220000</v>
      </c>
      <c r="D70" s="49">
        <v>10893207.149005</v>
      </c>
      <c r="E70" s="50">
        <f>VLOOKUP($A70,'Data shares'!$C:$FA,154)*100</f>
        <v>30.15</v>
      </c>
      <c r="F70" s="173">
        <f>C70/B70</f>
        <v>0.29689038868917272</v>
      </c>
    </row>
    <row r="71" spans="1:6" x14ac:dyDescent="0.25">
      <c r="A71" s="99" t="s">
        <v>218</v>
      </c>
      <c r="B71" s="49">
        <v>24082879</v>
      </c>
      <c r="C71" s="49">
        <v>14227125</v>
      </c>
      <c r="D71" s="49">
        <v>9532831.1582212504</v>
      </c>
      <c r="E71" s="50">
        <f>VLOOKUP($A71,'Data shares'!$C:$FA,154)*100</f>
        <v>59.51</v>
      </c>
      <c r="F71" s="173">
        <f>C71/B71</f>
        <v>0.59075681939854452</v>
      </c>
    </row>
    <row r="72" spans="1:6" x14ac:dyDescent="0.25">
      <c r="A72" s="99" t="s">
        <v>219</v>
      </c>
      <c r="B72" s="49">
        <v>38514157</v>
      </c>
      <c r="C72" s="49">
        <v>17042750</v>
      </c>
      <c r="D72" s="49">
        <v>11765685.4092975</v>
      </c>
      <c r="E72" s="50">
        <f>VLOOKUP($A72,'Data shares'!$C:$FA,154)*100</f>
        <v>44.57</v>
      </c>
      <c r="F72" s="173">
        <f>C72/B72</f>
        <v>0.44250611534870155</v>
      </c>
    </row>
    <row r="73" spans="1:6" x14ac:dyDescent="0.25">
      <c r="A73" s="99" t="s">
        <v>513</v>
      </c>
      <c r="B73" s="49">
        <v>28450886</v>
      </c>
      <c r="C73" s="49">
        <v>15467100</v>
      </c>
      <c r="D73" s="49">
        <v>8354434.2593775</v>
      </c>
      <c r="E73" s="50">
        <f>VLOOKUP($A73,'Data shares'!$C:$FA,154)*100</f>
        <v>55.669999999999995</v>
      </c>
      <c r="F73" s="173">
        <f>C73/B73</f>
        <v>0.5436421206706884</v>
      </c>
    </row>
    <row r="74" spans="1:6" x14ac:dyDescent="0.25">
      <c r="A74" s="99" t="s">
        <v>220</v>
      </c>
      <c r="B74" s="49">
        <v>38133766</v>
      </c>
      <c r="C74" s="49">
        <v>14381000</v>
      </c>
      <c r="D74" s="49">
        <v>10001509.46094</v>
      </c>
      <c r="E74" s="50">
        <f>VLOOKUP($A74,'Data shares'!$C:$FA,154)*100</f>
        <v>38.49</v>
      </c>
      <c r="F74" s="173">
        <f>C74/B74</f>
        <v>0.37711984701432322</v>
      </c>
    </row>
    <row r="75" spans="1:6" x14ac:dyDescent="0.25">
      <c r="A75" s="99" t="s">
        <v>222</v>
      </c>
      <c r="B75" s="49">
        <v>145993539</v>
      </c>
      <c r="C75" s="49">
        <v>30928450</v>
      </c>
      <c r="D75" s="49">
        <v>19648619.278361499</v>
      </c>
      <c r="E75" s="50"/>
      <c r="F75" s="173">
        <f>C75/B75</f>
        <v>0.21184807363290234</v>
      </c>
    </row>
    <row r="76" spans="1:6" x14ac:dyDescent="0.25">
      <c r="A76" s="99" t="s">
        <v>475</v>
      </c>
      <c r="B76" s="49">
        <v>15259458</v>
      </c>
      <c r="C76" s="49">
        <v>3509850</v>
      </c>
      <c r="D76" s="49">
        <v>2171650.2706605</v>
      </c>
      <c r="E76" s="50">
        <f>VLOOKUP($A76,'Data shares'!$C:$FA,154)*100</f>
        <v>23.46</v>
      </c>
      <c r="F76" s="173">
        <f>C76/B76</f>
        <v>0.23001144601597251</v>
      </c>
    </row>
    <row r="77" spans="1:6" x14ac:dyDescent="0.25">
      <c r="A77" s="99" t="s">
        <v>224</v>
      </c>
      <c r="B77" s="49">
        <v>1329733550</v>
      </c>
      <c r="C77" s="49">
        <v>253704000</v>
      </c>
      <c r="D77" s="49">
        <v>199975636.36056599</v>
      </c>
      <c r="E77" s="50">
        <f>VLOOKUP($A77,'Data shares'!$C:$FA,154)*100</f>
        <v>19.29</v>
      </c>
      <c r="F77" s="173">
        <f>C77/B77</f>
        <v>0.19079311039418387</v>
      </c>
    </row>
    <row r="78" spans="1:6" x14ac:dyDescent="0.25">
      <c r="A78" s="99" t="s">
        <v>225</v>
      </c>
      <c r="B78" s="49">
        <v>119296253</v>
      </c>
      <c r="C78" s="49">
        <v>44871200</v>
      </c>
      <c r="D78" s="49">
        <v>30724242.694552001</v>
      </c>
      <c r="E78" s="50">
        <f>VLOOKUP($A78,'Data shares'!$C:$FA,154)*100</f>
        <v>38.46</v>
      </c>
      <c r="F78" s="173">
        <f>C78/B78</f>
        <v>0.37613251775812273</v>
      </c>
    </row>
    <row r="79" spans="1:6" x14ac:dyDescent="0.25">
      <c r="A79" s="99" t="s">
        <v>226</v>
      </c>
      <c r="B79" s="49">
        <v>19579129</v>
      </c>
      <c r="C79" s="49">
        <v>8632350</v>
      </c>
      <c r="D79" s="49">
        <v>4550856.0454454999</v>
      </c>
      <c r="E79" s="50">
        <f>VLOOKUP($A79,'Data shares'!$C:$FA,154)*100</f>
        <v>46.17</v>
      </c>
      <c r="F79" s="173">
        <f>C79/B79</f>
        <v>0.4408955066387274</v>
      </c>
    </row>
    <row r="80" spans="1:6" x14ac:dyDescent="0.25">
      <c r="A80" s="99" t="s">
        <v>577</v>
      </c>
      <c r="B80" s="49">
        <v>147979599</v>
      </c>
      <c r="C80" s="49">
        <v>178258650</v>
      </c>
      <c r="D80" s="49">
        <v>96982599.309502497</v>
      </c>
      <c r="E80" s="50">
        <f>VLOOKUP($A80,'Data shares'!$C:$FA,154)*100</f>
        <v>122.66999999999999</v>
      </c>
      <c r="F80" s="173">
        <f>C80/B80</f>
        <v>1.2046163876954417</v>
      </c>
    </row>
    <row r="81" spans="1:6" x14ac:dyDescent="0.25">
      <c r="A81" s="99" t="s">
        <v>228</v>
      </c>
      <c r="B81" s="49">
        <v>176136372</v>
      </c>
      <c r="C81" s="49">
        <v>94301200</v>
      </c>
      <c r="D81" s="49">
        <v>63788798.049116001</v>
      </c>
      <c r="E81" s="50">
        <f>VLOOKUP($A81,'Data shares'!$C:$FA,154)*100</f>
        <v>54.75</v>
      </c>
      <c r="F81" s="173">
        <f>C81/B81</f>
        <v>0.53538743264224831</v>
      </c>
    </row>
    <row r="82" spans="1:6" x14ac:dyDescent="0.25">
      <c r="A82" s="99" t="s">
        <v>229</v>
      </c>
      <c r="B82" s="49">
        <v>143933168</v>
      </c>
      <c r="C82" s="49">
        <v>86125275</v>
      </c>
      <c r="D82" s="49">
        <v>50618030.356154203</v>
      </c>
      <c r="E82" s="50">
        <f>VLOOKUP($A82,'Data shares'!$C:$FA,154)*100</f>
        <v>60.629999999999995</v>
      </c>
      <c r="F82" s="173">
        <f>C82/B82</f>
        <v>0.59836989761803894</v>
      </c>
    </row>
    <row r="83" spans="1:6" x14ac:dyDescent="0.25">
      <c r="A83" s="99" t="s">
        <v>230</v>
      </c>
      <c r="B83" s="49">
        <v>89517840</v>
      </c>
      <c r="C83" s="49">
        <v>21501300</v>
      </c>
      <c r="D83" s="49">
        <v>14301790.934559001</v>
      </c>
      <c r="E83" s="50">
        <f>VLOOKUP($A83,'Data shares'!$C:$FA,154)*100</f>
        <v>24.240000000000002</v>
      </c>
      <c r="F83" s="173">
        <f>C83/B83</f>
        <v>0.2401901118257545</v>
      </c>
    </row>
    <row r="84" spans="1:6" x14ac:dyDescent="0.25">
      <c r="A84" s="99" t="s">
        <v>670</v>
      </c>
      <c r="B84" s="49">
        <v>167680340</v>
      </c>
      <c r="C84" s="49">
        <v>65200625</v>
      </c>
      <c r="D84" s="49">
        <v>31560650.671156202</v>
      </c>
      <c r="E84" s="50">
        <f>VLOOKUP($A84,'Data shares'!$C:$FA,154)*100</f>
        <v>40.07</v>
      </c>
      <c r="F84" s="173">
        <f>C84/B84</f>
        <v>0.38883881676289539</v>
      </c>
    </row>
    <row r="85" spans="1:6" x14ac:dyDescent="0.25">
      <c r="A85" s="99" t="s">
        <v>609</v>
      </c>
      <c r="B85" s="49">
        <v>75071250</v>
      </c>
      <c r="C85" s="49">
        <v>49617000</v>
      </c>
      <c r="D85" s="49">
        <v>25092541.860258002</v>
      </c>
      <c r="E85" s="50">
        <f>VLOOKUP($A85,'Data shares'!$C:$FA,154)*100</f>
        <v>67.08</v>
      </c>
      <c r="F85" s="173">
        <f>C85/B85</f>
        <v>0.66093211449123335</v>
      </c>
    </row>
    <row r="86" spans="1:6" x14ac:dyDescent="0.25">
      <c r="A86" s="99" t="s">
        <v>232</v>
      </c>
      <c r="B86" s="49">
        <v>579785172</v>
      </c>
      <c r="C86" s="49">
        <v>150845800</v>
      </c>
      <c r="D86" s="49">
        <v>110417606.302178</v>
      </c>
      <c r="E86" s="50">
        <f>VLOOKUP($A86,'Data shares'!$C:$FA,154)*100</f>
        <v>26.52</v>
      </c>
      <c r="F86" s="173">
        <f>C86/B86</f>
        <v>0.26017533266614828</v>
      </c>
    </row>
    <row r="87" spans="1:6" x14ac:dyDescent="0.25">
      <c r="A87" s="99" t="s">
        <v>472</v>
      </c>
      <c r="B87" s="49">
        <v>26688038</v>
      </c>
      <c r="C87" s="49">
        <v>7363200</v>
      </c>
      <c r="D87" s="49">
        <v>5486154.0520085003</v>
      </c>
      <c r="E87" s="50"/>
      <c r="F87" s="173">
        <f>C87/B87</f>
        <v>0.27589888773389787</v>
      </c>
    </row>
    <row r="88" spans="1:6" x14ac:dyDescent="0.25">
      <c r="A88" s="99" t="s">
        <v>233</v>
      </c>
      <c r="B88" s="49">
        <v>48653643</v>
      </c>
      <c r="C88" s="49">
        <v>16692550</v>
      </c>
      <c r="D88" s="49">
        <v>11079544.750530699</v>
      </c>
      <c r="E88" s="50">
        <f>VLOOKUP($A88,'Data shares'!$C:$FA,154)*100</f>
        <v>34.68</v>
      </c>
      <c r="F88" s="173">
        <f>C88/B88</f>
        <v>0.34308941675754884</v>
      </c>
    </row>
    <row r="89" spans="1:6" x14ac:dyDescent="0.25">
      <c r="A89" s="99" t="s">
        <v>234</v>
      </c>
      <c r="B89" s="49">
        <v>8713529091</v>
      </c>
      <c r="C89" s="49">
        <v>9647695500</v>
      </c>
      <c r="D89" s="49">
        <v>5369059622.6719904</v>
      </c>
      <c r="E89" s="50">
        <f>VLOOKUP($A89,'Data shares'!$C:$FA,154)*100</f>
        <v>111.94</v>
      </c>
      <c r="F89" s="173">
        <f>C89/B89</f>
        <v>1.1072087324485871</v>
      </c>
    </row>
    <row r="90" spans="1:6" x14ac:dyDescent="0.25">
      <c r="A90" s="99" t="s">
        <v>235</v>
      </c>
      <c r="B90" s="49">
        <v>761294821</v>
      </c>
      <c r="C90" s="49">
        <v>629642650</v>
      </c>
      <c r="D90" s="49">
        <v>384976861.51675898</v>
      </c>
      <c r="E90" s="50">
        <f>VLOOKUP($A90,'Data shares'!$C:$FA,154)*100</f>
        <v>83.49</v>
      </c>
      <c r="F90" s="173">
        <f>C90/B90</f>
        <v>0.82706808536137411</v>
      </c>
    </row>
    <row r="91" spans="1:6" x14ac:dyDescent="0.25">
      <c r="A91" s="99" t="s">
        <v>514</v>
      </c>
      <c r="B91" s="49">
        <v>133395043</v>
      </c>
      <c r="C91" s="49">
        <v>103710000</v>
      </c>
      <c r="D91" s="49">
        <v>53342286.92475</v>
      </c>
      <c r="E91" s="50">
        <f>VLOOKUP($A91,'Data shares'!$C:$FA,154)*100</f>
        <v>78.56</v>
      </c>
      <c r="F91" s="173">
        <f>C91/B91</f>
        <v>0.77746517162560536</v>
      </c>
    </row>
    <row r="92" spans="1:6" x14ac:dyDescent="0.25">
      <c r="A92" s="99" t="s">
        <v>236</v>
      </c>
      <c r="B92" s="49">
        <v>94000476</v>
      </c>
      <c r="C92" s="49">
        <v>45394250</v>
      </c>
      <c r="D92" s="49">
        <v>19575346.210749999</v>
      </c>
      <c r="E92" s="50">
        <f>VLOOKUP($A92,'Data shares'!$C:$FA,154)*100</f>
        <v>49.519999999999996</v>
      </c>
      <c r="F92" s="173">
        <f>C92/B92</f>
        <v>0.48291510779158181</v>
      </c>
    </row>
    <row r="93" spans="1:6" x14ac:dyDescent="0.25">
      <c r="A93" s="99" t="s">
        <v>668</v>
      </c>
      <c r="B93" s="49">
        <v>47888370</v>
      </c>
      <c r="C93" s="49">
        <v>22136400</v>
      </c>
      <c r="D93" s="49">
        <v>15224914.574694</v>
      </c>
      <c r="E93" s="50">
        <f>VLOOKUP($A93,'Data shares'!$C:$FA,154)*100</f>
        <v>47.33</v>
      </c>
      <c r="F93" s="173">
        <f>C93/B93</f>
        <v>0.46225002020323513</v>
      </c>
    </row>
    <row r="94" spans="1:6" x14ac:dyDescent="0.25">
      <c r="A94" s="99" t="s">
        <v>501</v>
      </c>
      <c r="B94" s="49">
        <v>111956321</v>
      </c>
      <c r="C94" s="49">
        <v>46841000</v>
      </c>
      <c r="D94" s="49">
        <v>26310326.397179998</v>
      </c>
      <c r="E94" s="50">
        <f>VLOOKUP($A94,'Data shares'!$C:$FA,154)*100</f>
        <v>42.620000000000005</v>
      </c>
      <c r="F94" s="173">
        <f>C94/B94</f>
        <v>0.41838638123880473</v>
      </c>
    </row>
    <row r="95" spans="1:6" x14ac:dyDescent="0.25">
      <c r="A95" s="99" t="s">
        <v>579</v>
      </c>
      <c r="B95" s="49">
        <v>52862157</v>
      </c>
      <c r="C95" s="49">
        <v>12757000</v>
      </c>
      <c r="D95" s="49">
        <v>7584241.6968499999</v>
      </c>
      <c r="E95" s="50">
        <f>VLOOKUP($A95,'Data shares'!$C:$FA,154)*100</f>
        <v>24.990000000000002</v>
      </c>
      <c r="F95" s="173">
        <f>C95/B95</f>
        <v>0.24132575596565234</v>
      </c>
    </row>
    <row r="96" spans="1:6" x14ac:dyDescent="0.25">
      <c r="A96" s="99" t="s">
        <v>238</v>
      </c>
      <c r="B96" s="49">
        <v>32732860</v>
      </c>
      <c r="C96" s="49">
        <v>11170800</v>
      </c>
      <c r="D96" s="49">
        <v>7783386.9291914999</v>
      </c>
      <c r="E96" s="50">
        <f>VLOOKUP($A96,'Data shares'!$C:$FA,154)*100</f>
        <v>34.489999999999995</v>
      </c>
      <c r="F96" s="173">
        <f>C96/B96</f>
        <v>0.34127173733062127</v>
      </c>
    </row>
    <row r="97" spans="1:6" x14ac:dyDescent="0.25">
      <c r="A97" s="99" t="s">
        <v>239</v>
      </c>
      <c r="B97" s="49">
        <v>93805784</v>
      </c>
      <c r="C97" s="49">
        <v>75339600</v>
      </c>
      <c r="D97" s="49">
        <v>51108719.786054</v>
      </c>
      <c r="E97" s="50">
        <f>VLOOKUP($A97,'Data shares'!$C:$FA,154)*100</f>
        <v>81.69</v>
      </c>
      <c r="F97" s="173">
        <f>C97/B97</f>
        <v>0.80314450546034555</v>
      </c>
    </row>
    <row r="98" spans="1:6" x14ac:dyDescent="0.25">
      <c r="A98" s="99" t="s">
        <v>473</v>
      </c>
      <c r="B98" s="49">
        <v>197705578</v>
      </c>
      <c r="C98" s="49">
        <v>123958900</v>
      </c>
      <c r="D98" s="49">
        <v>82711412.515872002</v>
      </c>
      <c r="E98" s="50">
        <f>VLOOKUP($A98,'Data shares'!$C:$FA,154)*100</f>
        <v>63.360000000000007</v>
      </c>
      <c r="F98" s="173">
        <f>C98/B98</f>
        <v>0.62698736805493671</v>
      </c>
    </row>
    <row r="99" spans="1:6" x14ac:dyDescent="0.25">
      <c r="A99" s="99" t="s">
        <v>240</v>
      </c>
      <c r="B99" s="49">
        <v>341789333</v>
      </c>
      <c r="C99" s="49">
        <v>92423200</v>
      </c>
      <c r="D99" s="49">
        <v>56842666.392099999</v>
      </c>
      <c r="E99" s="50">
        <f>VLOOKUP($A99,'Data shares'!$C:$FA,154)*100</f>
        <v>27.66</v>
      </c>
      <c r="F99" s="173">
        <f>C99/B99</f>
        <v>0.27040984336395307</v>
      </c>
    </row>
    <row r="100" spans="1:6" x14ac:dyDescent="0.25">
      <c r="A100" s="99" t="s">
        <v>671</v>
      </c>
      <c r="B100" s="49">
        <v>144708707</v>
      </c>
      <c r="C100" s="49">
        <v>69834296</v>
      </c>
      <c r="D100" s="49">
        <v>38207094.743541002</v>
      </c>
      <c r="E100" s="50">
        <f>VLOOKUP($A100,'Data shares'!$C:$FA,154)*100</f>
        <v>48.78</v>
      </c>
      <c r="F100" s="173">
        <f>C100/B100</f>
        <v>0.48258530842929859</v>
      </c>
    </row>
    <row r="101" spans="1:6" x14ac:dyDescent="0.25">
      <c r="A101" s="99" t="s">
        <v>241</v>
      </c>
      <c r="B101" s="49">
        <v>684903861</v>
      </c>
      <c r="C101" s="49">
        <v>165598875</v>
      </c>
      <c r="D101" s="49">
        <v>94925965.539210007</v>
      </c>
      <c r="E101" s="50">
        <f>VLOOKUP($A101,'Data shares'!$C:$FA,154)*100</f>
        <v>24.44</v>
      </c>
      <c r="F101" s="173">
        <f>C101/B101</f>
        <v>0.24178411661779201</v>
      </c>
    </row>
    <row r="102" spans="1:6" x14ac:dyDescent="0.25">
      <c r="A102" s="99" t="s">
        <v>490</v>
      </c>
      <c r="B102" s="49">
        <v>30082783</v>
      </c>
      <c r="C102" s="49">
        <v>27995625</v>
      </c>
      <c r="D102" s="49">
        <v>14189374.926588699</v>
      </c>
      <c r="E102" s="50">
        <f>VLOOKUP($A102,'Data shares'!$C:$FA,154)*100</f>
        <v>94.77</v>
      </c>
      <c r="F102" s="173">
        <f>C102/B102</f>
        <v>0.93061951748280736</v>
      </c>
    </row>
    <row r="103" spans="1:6" x14ac:dyDescent="0.25">
      <c r="A103" s="99" t="s">
        <v>666</v>
      </c>
      <c r="B103" s="49">
        <v>119011160</v>
      </c>
      <c r="C103" s="49">
        <v>84514650</v>
      </c>
      <c r="D103" s="49">
        <v>37262500.656323999</v>
      </c>
      <c r="E103" s="50">
        <f>VLOOKUP($A103,'Data shares'!$C:$FA,154)*100</f>
        <v>73.11</v>
      </c>
      <c r="F103" s="173">
        <f>C103/B103</f>
        <v>0.71014054480268907</v>
      </c>
    </row>
    <row r="104" spans="1:6" x14ac:dyDescent="0.25">
      <c r="A104" s="99" t="s">
        <v>593</v>
      </c>
      <c r="B104" s="49">
        <v>226853356</v>
      </c>
      <c r="C104" s="49">
        <v>84201000</v>
      </c>
      <c r="D104" s="49">
        <v>39104193.458169997</v>
      </c>
      <c r="E104" s="50"/>
      <c r="F104" s="173">
        <f>C104/B104</f>
        <v>0.37116929405267429</v>
      </c>
    </row>
    <row r="105" spans="1:6" x14ac:dyDescent="0.25">
      <c r="A105" s="99" t="s">
        <v>242</v>
      </c>
      <c r="B105" s="49">
        <v>1251412841</v>
      </c>
      <c r="C105" s="49">
        <v>201848000</v>
      </c>
      <c r="D105" s="49">
        <v>127259873.677792</v>
      </c>
      <c r="E105" s="50">
        <f>VLOOKUP($A105,'Data shares'!$C:$FA,154)*100</f>
        <v>16.400000000000002</v>
      </c>
      <c r="F105" s="173">
        <f>C105/B105</f>
        <v>0.16129609141512716</v>
      </c>
    </row>
    <row r="106" spans="1:6" x14ac:dyDescent="0.25">
      <c r="A106" s="99" t="s">
        <v>243</v>
      </c>
      <c r="B106" s="49">
        <v>54776702</v>
      </c>
      <c r="C106" s="49">
        <v>24991875</v>
      </c>
      <c r="D106" s="49">
        <v>14276024.278418699</v>
      </c>
      <c r="E106" s="50">
        <f>VLOOKUP($A106,'Data shares'!$C:$FA,154)*100</f>
        <v>47.15</v>
      </c>
      <c r="F106" s="173">
        <f>C106/B106</f>
        <v>0.45625008603110134</v>
      </c>
    </row>
    <row r="107" spans="1:6" x14ac:dyDescent="0.25">
      <c r="A107" s="99" t="s">
        <v>571</v>
      </c>
      <c r="B107" s="49">
        <v>446457456</v>
      </c>
      <c r="C107" s="49">
        <v>224887950</v>
      </c>
      <c r="D107" s="49">
        <v>126296776.27151801</v>
      </c>
      <c r="E107" s="50"/>
      <c r="F107" s="173">
        <f>C107/B107</f>
        <v>0.50371641682247992</v>
      </c>
    </row>
    <row r="108" spans="1:6" x14ac:dyDescent="0.25">
      <c r="A108" s="99" t="s">
        <v>581</v>
      </c>
      <c r="B108" s="49">
        <v>80203755</v>
      </c>
      <c r="C108" s="49">
        <v>49658000</v>
      </c>
      <c r="D108" s="49">
        <v>35814446.549110003</v>
      </c>
      <c r="E108" s="50">
        <f>VLOOKUP($A108,'Data shares'!$C:$FA,154)*100</f>
        <v>62.419999999999995</v>
      </c>
      <c r="F108" s="173">
        <f>C108/B108</f>
        <v>0.61914806856611637</v>
      </c>
    </row>
    <row r="109" spans="1:6" x14ac:dyDescent="0.25">
      <c r="A109" s="99" t="s">
        <v>244</v>
      </c>
      <c r="B109" s="49">
        <v>133166619</v>
      </c>
      <c r="C109" s="49">
        <v>54610875</v>
      </c>
      <c r="D109" s="49">
        <v>41650284.739783503</v>
      </c>
      <c r="E109" s="50">
        <f>VLOOKUP($A109,'Data shares'!$C:$FA,154)*100</f>
        <v>41.23</v>
      </c>
      <c r="F109" s="173">
        <f>C109/B109</f>
        <v>0.41009432701749376</v>
      </c>
    </row>
    <row r="110" spans="1:6" x14ac:dyDescent="0.25">
      <c r="A110" s="99" t="s">
        <v>245</v>
      </c>
      <c r="B110" s="49">
        <v>48884739</v>
      </c>
      <c r="C110" s="49">
        <v>33941250</v>
      </c>
      <c r="D110" s="49">
        <v>21014225.921324998</v>
      </c>
      <c r="E110" s="50">
        <f>VLOOKUP($A110,'Data shares'!$C:$FA,154)*100</f>
        <v>71.069999999999993</v>
      </c>
      <c r="F110" s="173">
        <f>C110/B110</f>
        <v>0.69431177693308332</v>
      </c>
    </row>
    <row r="111" spans="1:6" x14ac:dyDescent="0.25">
      <c r="A111" s="99" t="s">
        <v>583</v>
      </c>
      <c r="B111" s="49">
        <v>57552009</v>
      </c>
      <c r="C111" s="49">
        <v>52722250</v>
      </c>
      <c r="D111" s="49">
        <v>26913698.676309999</v>
      </c>
      <c r="E111" s="50">
        <f>VLOOKUP($A111,'Data shares'!$C:$FA,154)*100</f>
        <v>93.11</v>
      </c>
      <c r="F111" s="173">
        <f>C111/B111</f>
        <v>0.91608009722128037</v>
      </c>
    </row>
    <row r="112" spans="1:6" x14ac:dyDescent="0.25">
      <c r="A112" s="99" t="s">
        <v>678</v>
      </c>
      <c r="B112" s="49">
        <v>4667784</v>
      </c>
      <c r="C112" s="49">
        <v>3608600</v>
      </c>
      <c r="D112" s="49">
        <v>1351191.569076</v>
      </c>
      <c r="E112" s="50">
        <f>VLOOKUP($A112,'Data shares'!$C:$FA,154)*100</f>
        <v>79.94</v>
      </c>
      <c r="F112" s="173">
        <f>C112/B112</f>
        <v>0.77308632961593771</v>
      </c>
    </row>
    <row r="113" spans="1:6" x14ac:dyDescent="0.25">
      <c r="A113" s="99" t="s">
        <v>611</v>
      </c>
      <c r="B113" s="49">
        <v>9313740</v>
      </c>
      <c r="C113" s="49">
        <v>2091425</v>
      </c>
      <c r="D113" s="49">
        <v>1440858.6887835001</v>
      </c>
      <c r="E113" s="50">
        <f>VLOOKUP($A113,'Data shares'!$C:$FA,154)*100</f>
        <v>22.71</v>
      </c>
      <c r="F113" s="173">
        <f>C113/B113</f>
        <v>0.22455265017060816</v>
      </c>
    </row>
    <row r="114" spans="1:6" x14ac:dyDescent="0.25">
      <c r="A114" s="99" t="s">
        <v>685</v>
      </c>
      <c r="B114" s="49">
        <v>19911179</v>
      </c>
      <c r="C114" s="49">
        <v>4314150</v>
      </c>
      <c r="D114" s="49">
        <v>2341017.259236</v>
      </c>
      <c r="E114" s="50">
        <f>VLOOKUP($A114,'Data shares'!$C:$FA,154)*100</f>
        <v>21.94</v>
      </c>
      <c r="F114" s="173">
        <f>C114/B114</f>
        <v>0.21666974115395177</v>
      </c>
    </row>
    <row r="115" spans="1:6" x14ac:dyDescent="0.25">
      <c r="A115" s="99" t="s">
        <v>246</v>
      </c>
      <c r="B115" s="49">
        <v>215751979</v>
      </c>
      <c r="C115" s="49">
        <v>50499600</v>
      </c>
      <c r="D115" s="49">
        <v>33596742.706175998</v>
      </c>
      <c r="E115" s="50">
        <f>VLOOKUP($A115,'Data shares'!$C:$FA,154)*100</f>
        <v>23.7</v>
      </c>
      <c r="F115" s="173">
        <f>C115/B115</f>
        <v>0.23406320643761047</v>
      </c>
    </row>
    <row r="116" spans="1:6" x14ac:dyDescent="0.25">
      <c r="A116" s="99" t="s">
        <v>578</v>
      </c>
      <c r="B116" s="49">
        <v>24568295</v>
      </c>
      <c r="C116" s="49">
        <v>10364400</v>
      </c>
      <c r="D116" s="49">
        <v>4352380.194596</v>
      </c>
      <c r="E116" s="50">
        <f>VLOOKUP($A116,'Data shares'!$C:$FA,154)*100</f>
        <v>42.57</v>
      </c>
      <c r="F116" s="173">
        <f>C116/B116</f>
        <v>0.42186077625655344</v>
      </c>
    </row>
    <row r="117" spans="1:6" x14ac:dyDescent="0.25">
      <c r="A117" s="99" t="s">
        <v>535</v>
      </c>
      <c r="B117" s="49">
        <v>58629477</v>
      </c>
      <c r="C117" s="49">
        <v>41746900</v>
      </c>
      <c r="D117" s="49">
        <v>17258980.885393001</v>
      </c>
      <c r="E117" s="50">
        <f>VLOOKUP($A117,'Data shares'!$C:$FA,154)*100</f>
        <v>72.58</v>
      </c>
      <c r="F117" s="173">
        <f>C117/B117</f>
        <v>0.71204626300862273</v>
      </c>
    </row>
    <row r="118" spans="1:6" x14ac:dyDescent="0.25">
      <c r="A118" s="99" t="s">
        <v>248</v>
      </c>
      <c r="B118" s="49">
        <v>45183075</v>
      </c>
      <c r="C118" s="49">
        <v>47179000</v>
      </c>
      <c r="D118" s="49">
        <v>29949880.14308</v>
      </c>
      <c r="E118" s="50">
        <f>VLOOKUP($A118,'Data shares'!$C:$FA,154)*100</f>
        <v>106.32</v>
      </c>
      <c r="F118" s="173">
        <f>C118/B118</f>
        <v>1.0441741736258543</v>
      </c>
    </row>
    <row r="119" spans="1:6" x14ac:dyDescent="0.25">
      <c r="A119" s="99" t="s">
        <v>608</v>
      </c>
      <c r="B119" s="49">
        <v>32057152</v>
      </c>
      <c r="C119" s="49">
        <v>14293300</v>
      </c>
      <c r="D119" s="49">
        <v>6963148.5171710001</v>
      </c>
      <c r="E119" s="50">
        <f>VLOOKUP($A119,'Data shares'!$C:$FA,154)*100</f>
        <v>45.67</v>
      </c>
      <c r="F119" s="173">
        <f>C119/B119</f>
        <v>0.44586930242586742</v>
      </c>
    </row>
    <row r="120" spans="1:6" x14ac:dyDescent="0.25">
      <c r="A120" s="99" t="s">
        <v>589</v>
      </c>
      <c r="B120" s="49">
        <v>42060143</v>
      </c>
      <c r="C120" s="49">
        <v>17881650</v>
      </c>
      <c r="D120" s="49">
        <v>11563192.621917</v>
      </c>
      <c r="E120" s="50">
        <f>VLOOKUP($A120,'Data shares'!$C:$FA,154)*100</f>
        <v>43.01</v>
      </c>
      <c r="F120" s="173">
        <f>C120/B120</f>
        <v>0.42514477423436242</v>
      </c>
    </row>
    <row r="121" spans="1:6" x14ac:dyDescent="0.25">
      <c r="A121" s="99" t="s">
        <v>249</v>
      </c>
      <c r="B121" s="49">
        <v>136007303</v>
      </c>
      <c r="C121" s="49">
        <v>25084675</v>
      </c>
      <c r="D121" s="49">
        <v>17044221.810231</v>
      </c>
      <c r="E121" s="50">
        <f>VLOOKUP($A121,'Data shares'!$C:$FA,154)*100</f>
        <v>18.72</v>
      </c>
      <c r="F121" s="173">
        <f>C121/B121</f>
        <v>0.18443623575125226</v>
      </c>
    </row>
    <row r="122" spans="1:6" x14ac:dyDescent="0.25">
      <c r="A122" s="99" t="s">
        <v>565</v>
      </c>
      <c r="B122" s="49">
        <v>126777205</v>
      </c>
      <c r="C122" s="49">
        <v>97075272</v>
      </c>
      <c r="D122" s="49">
        <v>48682026.183953598</v>
      </c>
      <c r="E122" s="50">
        <f>VLOOKUP($A122,'Data shares'!$C:$FA,154)*100</f>
        <v>80.150000000000006</v>
      </c>
      <c r="F122" s="173">
        <f>C122/B122</f>
        <v>0.76571550855692083</v>
      </c>
    </row>
    <row r="123" spans="1:6" x14ac:dyDescent="0.25">
      <c r="A123" s="99" t="s">
        <v>561</v>
      </c>
      <c r="B123" s="49">
        <v>9315942</v>
      </c>
      <c r="C123" s="49">
        <v>4015950</v>
      </c>
      <c r="D123" s="49">
        <v>2448809.8724024999</v>
      </c>
      <c r="E123" s="50">
        <f>VLOOKUP($A123,'Data shares'!$C:$FA,154)*100</f>
        <v>44.879999999999995</v>
      </c>
      <c r="F123" s="173">
        <f>C123/B123</f>
        <v>0.43108361988513882</v>
      </c>
    </row>
    <row r="124" spans="1:6" x14ac:dyDescent="0.25">
      <c r="A124" s="99" t="s">
        <v>250</v>
      </c>
      <c r="B124" s="49">
        <v>35341043</v>
      </c>
      <c r="C124" s="49">
        <v>16696125</v>
      </c>
      <c r="D124" s="49">
        <v>11048106.1874837</v>
      </c>
      <c r="E124" s="50">
        <f>VLOOKUP($A124,'Data shares'!$C:$FA,154)*100</f>
        <v>47.79</v>
      </c>
      <c r="F124" s="173">
        <f>C124/B124</f>
        <v>0.47242875655933525</v>
      </c>
    </row>
    <row r="125" spans="1:6" x14ac:dyDescent="0.25">
      <c r="A125" s="99" t="s">
        <v>251</v>
      </c>
      <c r="B125" s="49">
        <v>100261459</v>
      </c>
      <c r="C125" s="49">
        <v>29121600</v>
      </c>
      <c r="D125" s="49">
        <v>20303602.644719999</v>
      </c>
      <c r="E125" s="50">
        <f>VLOOKUP($A125,'Data shares'!$C:$FA,154)*100</f>
        <v>29.459999999999997</v>
      </c>
      <c r="F125" s="173">
        <f>C125/B125</f>
        <v>0.29045657514319634</v>
      </c>
    </row>
    <row r="126" spans="1:6" x14ac:dyDescent="0.25">
      <c r="A126" s="99" t="s">
        <v>253</v>
      </c>
      <c r="B126" s="49">
        <v>82205057</v>
      </c>
      <c r="C126" s="49">
        <v>48864000</v>
      </c>
      <c r="D126" s="49">
        <v>25693554.94311</v>
      </c>
      <c r="E126" s="50">
        <f>VLOOKUP($A126,'Data shares'!$C:$FA,154)*100</f>
        <v>60.3</v>
      </c>
      <c r="F126" s="173">
        <f>C126/B126</f>
        <v>0.59441598586812006</v>
      </c>
    </row>
    <row r="127" spans="1:6" x14ac:dyDescent="0.25">
      <c r="A127" s="99" t="s">
        <v>674</v>
      </c>
      <c r="B127" s="49">
        <v>16915220</v>
      </c>
      <c r="C127" s="49">
        <v>2691675</v>
      </c>
      <c r="D127" s="49">
        <v>1653543.6200910001</v>
      </c>
      <c r="E127" s="50">
        <f>VLOOKUP($A127,'Data shares'!$C:$FA,154)*100</f>
        <v>16.13</v>
      </c>
      <c r="F127" s="173">
        <f>C127/B127</f>
        <v>0.15912740123983016</v>
      </c>
    </row>
    <row r="128" spans="1:6" x14ac:dyDescent="0.25">
      <c r="A128" s="99" t="s">
        <v>254</v>
      </c>
      <c r="B128" s="49">
        <v>79408529</v>
      </c>
      <c r="C128" s="49">
        <v>33542400</v>
      </c>
      <c r="D128" s="49">
        <v>28002439.005660001</v>
      </c>
      <c r="E128" s="50">
        <f>VLOOKUP($A128,'Data shares'!$C:$FA,154)*100</f>
        <v>42.6</v>
      </c>
      <c r="F128" s="173">
        <f>C128/B128</f>
        <v>0.42240298897867762</v>
      </c>
    </row>
    <row r="129" spans="1:6" x14ac:dyDescent="0.25">
      <c r="A129" s="99" t="s">
        <v>255</v>
      </c>
      <c r="B129" s="49">
        <v>16752897</v>
      </c>
      <c r="C129" s="49">
        <v>7103400</v>
      </c>
      <c r="D129" s="49">
        <v>3236033.7074394999</v>
      </c>
      <c r="E129" s="50">
        <f>VLOOKUP($A129,'Data shares'!$C:$FA,154)*100</f>
        <v>44.03</v>
      </c>
      <c r="F129" s="173">
        <f>C129/B129</f>
        <v>0.42401024730230241</v>
      </c>
    </row>
    <row r="130" spans="1:6" x14ac:dyDescent="0.25">
      <c r="A130" s="99" t="s">
        <v>604</v>
      </c>
      <c r="B130" s="49">
        <v>97211768</v>
      </c>
      <c r="C130" s="49">
        <v>22425900</v>
      </c>
      <c r="D130" s="49">
        <v>16601923.9331715</v>
      </c>
      <c r="E130" s="50">
        <f>VLOOKUP($A130,'Data shares'!$C:$FA,154)*100</f>
        <v>23.29</v>
      </c>
      <c r="F130" s="173">
        <f>C130/B130</f>
        <v>0.23069120602764884</v>
      </c>
    </row>
    <row r="131" spans="1:6" x14ac:dyDescent="0.25">
      <c r="A131" s="99" t="s">
        <v>675</v>
      </c>
      <c r="B131" s="49">
        <v>11364224</v>
      </c>
      <c r="C131" s="49">
        <v>7281225</v>
      </c>
      <c r="D131" s="49">
        <v>3613542.52557375</v>
      </c>
      <c r="E131" s="50">
        <f>VLOOKUP($A131,'Data shares'!$C:$FA,154)*100</f>
        <v>66.210000000000008</v>
      </c>
      <c r="F131" s="173">
        <f>C131/B131</f>
        <v>0.64071466736312133</v>
      </c>
    </row>
    <row r="132" spans="1:6" x14ac:dyDescent="0.25">
      <c r="A132" s="99" t="s">
        <v>517</v>
      </c>
      <c r="B132" s="49">
        <v>7635422</v>
      </c>
      <c r="C132" s="49">
        <v>6169000</v>
      </c>
      <c r="D132" s="49">
        <v>2504919.719335</v>
      </c>
      <c r="E132" s="50"/>
      <c r="F132" s="173">
        <f>C132/B132</f>
        <v>0.80794486539185395</v>
      </c>
    </row>
    <row r="133" spans="1:6" x14ac:dyDescent="0.25">
      <c r="A133" s="99" t="s">
        <v>257</v>
      </c>
      <c r="B133" s="49">
        <v>34712157</v>
      </c>
      <c r="C133" s="49">
        <v>7805600</v>
      </c>
      <c r="D133" s="49">
        <v>5839553.9152800003</v>
      </c>
      <c r="E133" s="50">
        <f>VLOOKUP($A133,'Data shares'!$C:$FA,154)*100</f>
        <v>22.770000000000003</v>
      </c>
      <c r="F133" s="173">
        <f>C133/B133</f>
        <v>0.22486646393077792</v>
      </c>
    </row>
    <row r="134" spans="1:6" x14ac:dyDescent="0.25">
      <c r="A134" s="99" t="s">
        <v>559</v>
      </c>
      <c r="B134" s="49">
        <v>542522848</v>
      </c>
      <c r="C134" s="49">
        <v>248964300</v>
      </c>
      <c r="D134" s="49">
        <v>158352521.32217401</v>
      </c>
      <c r="E134" s="50">
        <f>VLOOKUP($A134,'Data shares'!$C:$FA,154)*100</f>
        <v>46.79</v>
      </c>
      <c r="F134" s="173">
        <f>C134/B134</f>
        <v>0.45890104152811645</v>
      </c>
    </row>
    <row r="135" spans="1:6" x14ac:dyDescent="0.25">
      <c r="A135" s="99" t="s">
        <v>487</v>
      </c>
      <c r="B135" s="49">
        <v>14652855</v>
      </c>
      <c r="C135" s="49">
        <v>5887475</v>
      </c>
      <c r="D135" s="49">
        <v>4070542.0823842501</v>
      </c>
      <c r="E135" s="50">
        <f>VLOOKUP($A135,'Data shares'!$C:$FA,154)*100</f>
        <v>40.910000000000004</v>
      </c>
      <c r="F135" s="173">
        <f>C135/B135</f>
        <v>0.40179712417818919</v>
      </c>
    </row>
    <row r="136" spans="1:6" x14ac:dyDescent="0.25">
      <c r="A136" s="99" t="s">
        <v>262</v>
      </c>
      <c r="B136" s="49">
        <v>16050690</v>
      </c>
      <c r="C136" s="49">
        <v>6127550</v>
      </c>
      <c r="D136" s="49">
        <v>2972071.9563617501</v>
      </c>
      <c r="E136" s="50">
        <f>VLOOKUP($A136,'Data shares'!$C:$FA,154)*100</f>
        <v>39.290000000000006</v>
      </c>
      <c r="F136" s="173">
        <f>C136/B136</f>
        <v>0.38176240398387856</v>
      </c>
    </row>
    <row r="137" spans="1:6" x14ac:dyDescent="0.25">
      <c r="A137" s="99" t="s">
        <v>263</v>
      </c>
      <c r="B137" s="49">
        <v>134225816</v>
      </c>
      <c r="C137" s="49">
        <v>135870000</v>
      </c>
      <c r="D137" s="49">
        <v>74389122.510712504</v>
      </c>
      <c r="E137" s="50">
        <f>VLOOKUP($A137,'Data shares'!$C:$FA,154)*100</f>
        <v>102.66999999999999</v>
      </c>
      <c r="F137" s="173">
        <f>C137/B137</f>
        <v>1.0122493872564724</v>
      </c>
    </row>
    <row r="138" spans="1:6" x14ac:dyDescent="0.25">
      <c r="A138" s="99" t="s">
        <v>264</v>
      </c>
      <c r="B138" s="49">
        <v>60530911</v>
      </c>
      <c r="C138" s="49">
        <v>13429500</v>
      </c>
      <c r="D138" s="49">
        <v>10378510.570590001</v>
      </c>
      <c r="E138" s="50">
        <f>VLOOKUP($A138,'Data shares'!$C:$FA,154)*100</f>
        <v>22.41</v>
      </c>
      <c r="F138" s="173">
        <f>C138/B138</f>
        <v>0.22186185170746894</v>
      </c>
    </row>
    <row r="139" spans="1:6" x14ac:dyDescent="0.25">
      <c r="A139" s="99" t="s">
        <v>550</v>
      </c>
      <c r="B139" s="49">
        <v>154894704</v>
      </c>
      <c r="C139" s="49">
        <v>104136500</v>
      </c>
      <c r="D139" s="49">
        <v>58944200.434924997</v>
      </c>
      <c r="E139" s="50">
        <f>VLOOKUP($A139,'Data shares'!$C:$FA,154)*100</f>
        <v>68.31</v>
      </c>
      <c r="F139" s="173">
        <f>C139/B139</f>
        <v>0.67230510347209804</v>
      </c>
    </row>
    <row r="140" spans="1:6" x14ac:dyDescent="0.25">
      <c r="A140" s="99" t="s">
        <v>592</v>
      </c>
      <c r="B140" s="49">
        <v>72342848</v>
      </c>
      <c r="C140" s="49">
        <v>28055700</v>
      </c>
      <c r="D140" s="49">
        <v>17009343.492786001</v>
      </c>
      <c r="E140" s="50">
        <f>VLOOKUP($A140,'Data shares'!$C:$FA,154)*100</f>
        <v>39.050000000000004</v>
      </c>
      <c r="F140" s="173">
        <f>C140/B140</f>
        <v>0.38781580730689508</v>
      </c>
    </row>
    <row r="141" spans="1:6" x14ac:dyDescent="0.25">
      <c r="A141" s="99" t="s">
        <v>265</v>
      </c>
      <c r="B141" s="49">
        <v>71801274</v>
      </c>
      <c r="C141" s="49">
        <v>24194500</v>
      </c>
      <c r="D141" s="49">
        <v>18671039.261055</v>
      </c>
      <c r="E141" s="50">
        <f>VLOOKUP($A141,'Data shares'!$C:$FA,154)*100</f>
        <v>34.31</v>
      </c>
      <c r="F141" s="173">
        <f>C141/B141</f>
        <v>0.33696477307631062</v>
      </c>
    </row>
    <row r="142" spans="1:6" x14ac:dyDescent="0.25">
      <c r="A142" s="99" t="s">
        <v>586</v>
      </c>
      <c r="B142" s="49">
        <v>398201603</v>
      </c>
      <c r="C142" s="49">
        <v>72985600</v>
      </c>
      <c r="D142" s="49">
        <v>45127692.725951999</v>
      </c>
      <c r="E142" s="50">
        <f>VLOOKUP($A142,'Data shares'!$C:$FA,154)*100</f>
        <v>18.55</v>
      </c>
      <c r="F142" s="173">
        <f>C142/B142</f>
        <v>0.1832880617509719</v>
      </c>
    </row>
    <row r="143" spans="1:6" x14ac:dyDescent="0.25">
      <c r="A143" s="99" t="s">
        <v>267</v>
      </c>
      <c r="B143" s="49">
        <v>517037525</v>
      </c>
      <c r="C143" s="49">
        <v>486783000</v>
      </c>
      <c r="D143" s="49">
        <v>253098878.16771001</v>
      </c>
      <c r="E143" s="50">
        <f>VLOOKUP($A143,'Data shares'!$C:$FA,154)*100</f>
        <v>95.75</v>
      </c>
      <c r="F143" s="173">
        <f>C143/B143</f>
        <v>0.9414848564424797</v>
      </c>
    </row>
    <row r="144" spans="1:6" x14ac:dyDescent="0.25">
      <c r="A144" s="99" t="s">
        <v>268</v>
      </c>
      <c r="B144" s="49">
        <v>572782298</v>
      </c>
      <c r="C144" s="49">
        <v>151873500</v>
      </c>
      <c r="D144" s="49">
        <v>103682712.132195</v>
      </c>
      <c r="E144" s="50">
        <f>VLOOKUP($A144,'Data shares'!$C:$FA,154)*100</f>
        <v>26.86</v>
      </c>
      <c r="F144" s="173">
        <f>C144/B144</f>
        <v>0.26515047781731549</v>
      </c>
    </row>
    <row r="145" spans="1:6" x14ac:dyDescent="0.25">
      <c r="A145" s="99" t="s">
        <v>687</v>
      </c>
      <c r="B145" s="49">
        <v>2444664</v>
      </c>
      <c r="C145" s="49">
        <v>817425</v>
      </c>
      <c r="D145" s="49">
        <v>314875.33838849998</v>
      </c>
      <c r="E145" s="50">
        <f>VLOOKUP($A145,'Data shares'!$C:$FA,154)*100</f>
        <v>34.64</v>
      </c>
      <c r="F145" s="173">
        <f>C145/B145</f>
        <v>0.33437110375904416</v>
      </c>
    </row>
    <row r="146" spans="1:6" x14ac:dyDescent="0.25">
      <c r="A146" s="99" t="s">
        <v>614</v>
      </c>
      <c r="B146" s="49">
        <v>205324177</v>
      </c>
      <c r="C146" s="49">
        <v>89434375</v>
      </c>
      <c r="D146" s="49">
        <v>59658881.897875004</v>
      </c>
      <c r="E146" s="50">
        <f>VLOOKUP($A146,'Data shares'!$C:$FA,154)*100</f>
        <v>44.91</v>
      </c>
      <c r="F146" s="173">
        <f>C146/B146</f>
        <v>0.43557644456064226</v>
      </c>
    </row>
    <row r="147" spans="1:6" x14ac:dyDescent="0.25">
      <c r="A147" s="99" t="s">
        <v>528</v>
      </c>
      <c r="B147" s="49">
        <v>17614093</v>
      </c>
      <c r="C147" s="49">
        <v>6856850</v>
      </c>
      <c r="D147" s="49">
        <v>4626645.9595370004</v>
      </c>
      <c r="E147" s="50">
        <f>VLOOKUP($A147,'Data shares'!$C:$FA,154)*100</f>
        <v>39.36</v>
      </c>
      <c r="F147" s="173">
        <f>C147/B147</f>
        <v>0.38928203683266577</v>
      </c>
    </row>
    <row r="148" spans="1:6" x14ac:dyDescent="0.25">
      <c r="A148" s="99" t="s">
        <v>518</v>
      </c>
      <c r="B148" s="49">
        <v>3401732</v>
      </c>
      <c r="C148" s="49">
        <v>1908300</v>
      </c>
      <c r="D148" s="49">
        <v>1087604.1118590001</v>
      </c>
      <c r="E148" s="50">
        <f>VLOOKUP($A148,'Data shares'!$C:$FA,154)*100</f>
        <v>57.089999999999996</v>
      </c>
      <c r="F148" s="173">
        <f>C148/B148</f>
        <v>0.56097893661229048</v>
      </c>
    </row>
    <row r="149" spans="1:6" x14ac:dyDescent="0.25">
      <c r="A149" s="99" t="s">
        <v>588</v>
      </c>
      <c r="B149" s="49">
        <v>94123587</v>
      </c>
      <c r="C149" s="49">
        <v>19059600</v>
      </c>
      <c r="D149" s="49">
        <v>10151581.350204</v>
      </c>
      <c r="E149" s="50">
        <f>VLOOKUP($A149,'Data shares'!$C:$FA,154)*100</f>
        <v>20.440000000000001</v>
      </c>
      <c r="F149" s="173">
        <f>C149/B149</f>
        <v>0.20249547013120101</v>
      </c>
    </row>
    <row r="150" spans="1:6" x14ac:dyDescent="0.25">
      <c r="A150" s="99" t="s">
        <v>269</v>
      </c>
      <c r="B150" s="49">
        <v>517141211</v>
      </c>
      <c r="C150" s="49">
        <v>169850250</v>
      </c>
      <c r="D150" s="49">
        <v>107362514.584102</v>
      </c>
      <c r="E150" s="50">
        <f>VLOOKUP($A150,'Data shares'!$C:$FA,154)*100</f>
        <v>33.29</v>
      </c>
      <c r="F150" s="173">
        <f>C150/B150</f>
        <v>0.32844075542066981</v>
      </c>
    </row>
    <row r="151" spans="1:6" x14ac:dyDescent="0.25">
      <c r="A151" s="99" t="s">
        <v>270</v>
      </c>
      <c r="B151" s="49">
        <v>955549</v>
      </c>
      <c r="C151" s="49">
        <v>336525</v>
      </c>
      <c r="D151" s="49">
        <v>213170.40959625001</v>
      </c>
      <c r="E151" s="50">
        <f>VLOOKUP($A151,'Data shares'!$C:$FA,154)*100</f>
        <v>35.6</v>
      </c>
      <c r="F151" s="173">
        <f>C151/B151</f>
        <v>0.35217974169822791</v>
      </c>
    </row>
    <row r="152" spans="1:6" x14ac:dyDescent="0.25">
      <c r="A152" s="99" t="s">
        <v>667</v>
      </c>
      <c r="B152" s="49">
        <v>50840137</v>
      </c>
      <c r="C152" s="49">
        <v>40978800</v>
      </c>
      <c r="D152" s="49">
        <v>19531481.508855</v>
      </c>
      <c r="E152" s="50">
        <f>VLOOKUP($A152,'Data shares'!$C:$FA,154)*100</f>
        <v>81.239999999999995</v>
      </c>
      <c r="F152" s="173">
        <f>C152/B152</f>
        <v>0.80603244637204652</v>
      </c>
    </row>
    <row r="153" spans="1:6" x14ac:dyDescent="0.25">
      <c r="A153" s="99" t="s">
        <v>576</v>
      </c>
      <c r="B153" s="49">
        <v>95715382</v>
      </c>
      <c r="C153" s="49">
        <v>38821575</v>
      </c>
      <c r="D153" s="49">
        <v>23903873.2750687</v>
      </c>
      <c r="E153" s="50">
        <f>VLOOKUP($A153,'Data shares'!$C:$FA,154)*100</f>
        <v>41.010000000000005</v>
      </c>
      <c r="F153" s="173">
        <f>C153/B153</f>
        <v>0.40559389921256334</v>
      </c>
    </row>
    <row r="154" spans="1:6" x14ac:dyDescent="0.25">
      <c r="A154" s="99" t="s">
        <v>529</v>
      </c>
      <c r="B154" s="49">
        <v>16151851</v>
      </c>
      <c r="C154" s="49">
        <v>4556500</v>
      </c>
      <c r="D154" s="49">
        <v>3053143.2257460002</v>
      </c>
      <c r="E154" s="50">
        <f>VLOOKUP($A154,'Data shares'!$C:$FA,154)*100</f>
        <v>28.77</v>
      </c>
      <c r="F154" s="173">
        <f>C154/B154</f>
        <v>0.28210389013618314</v>
      </c>
    </row>
    <row r="155" spans="1:6" x14ac:dyDescent="0.25">
      <c r="A155" s="99" t="s">
        <v>272</v>
      </c>
      <c r="B155" s="49">
        <v>93668136</v>
      </c>
      <c r="C155" s="49">
        <v>72390600</v>
      </c>
      <c r="D155" s="49">
        <v>35187672.475331999</v>
      </c>
      <c r="E155" s="50">
        <f>VLOOKUP($A155,'Data shares'!$C:$FA,154)*100</f>
        <v>78.47</v>
      </c>
      <c r="F155" s="173">
        <f>C155/B155</f>
        <v>0.77284125735137932</v>
      </c>
    </row>
    <row r="156" spans="1:6" x14ac:dyDescent="0.25">
      <c r="A156" s="99" t="s">
        <v>273</v>
      </c>
      <c r="B156" s="49">
        <v>203602113</v>
      </c>
      <c r="C156" s="49">
        <v>93722200</v>
      </c>
      <c r="D156" s="49">
        <v>51034947.136641003</v>
      </c>
      <c r="E156" s="50">
        <f>VLOOKUP($A156,'Data shares'!$C:$FA,154)*100</f>
        <v>46.9</v>
      </c>
      <c r="F156" s="173">
        <f>C156/B156</f>
        <v>0.46032037005431276</v>
      </c>
    </row>
    <row r="157" spans="1:6" x14ac:dyDescent="0.25">
      <c r="A157" s="99" t="s">
        <v>682</v>
      </c>
      <c r="B157" s="49">
        <v>23897684</v>
      </c>
      <c r="C157" s="49">
        <v>23408700</v>
      </c>
      <c r="D157" s="49">
        <v>8943320.6146200001</v>
      </c>
      <c r="E157" s="50">
        <f>VLOOKUP($A157,'Data shares'!$C:$FA,154)*100</f>
        <v>101.27999999999999</v>
      </c>
      <c r="F157" s="173">
        <f>C157/B157</f>
        <v>0.97953843560740028</v>
      </c>
    </row>
    <row r="158" spans="1:6" x14ac:dyDescent="0.25">
      <c r="A158" s="99" t="s">
        <v>646</v>
      </c>
      <c r="B158" s="49">
        <v>28283155</v>
      </c>
      <c r="C158" s="49">
        <v>5423600</v>
      </c>
      <c r="D158" s="49">
        <v>3735801.9915510002</v>
      </c>
      <c r="E158" s="50">
        <f>VLOOKUP($A158,'Data shares'!$C:$FA,154)*100</f>
        <v>19.27</v>
      </c>
      <c r="F158" s="173">
        <f>C158/B158</f>
        <v>0.19176078482050535</v>
      </c>
    </row>
    <row r="159" spans="1:6" x14ac:dyDescent="0.25">
      <c r="A159" s="99" t="s">
        <v>274</v>
      </c>
      <c r="B159" s="49">
        <v>31170515</v>
      </c>
      <c r="C159" s="49">
        <v>11802000</v>
      </c>
      <c r="D159" s="49">
        <v>9264714.9983699992</v>
      </c>
      <c r="E159" s="50">
        <f>VLOOKUP($A159,'Data shares'!$C:$FA,154)*100</f>
        <v>38.18</v>
      </c>
      <c r="F159" s="173">
        <f>C159/B159</f>
        <v>0.37862704546267523</v>
      </c>
    </row>
    <row r="160" spans="1:6" x14ac:dyDescent="0.25">
      <c r="A160" s="99" t="s">
        <v>483</v>
      </c>
      <c r="B160" s="49">
        <v>8178275</v>
      </c>
      <c r="C160" s="49">
        <v>2431975</v>
      </c>
      <c r="D160" s="49">
        <v>1696976.40090475</v>
      </c>
      <c r="E160" s="50">
        <f>VLOOKUP($A160,'Data shares'!$C:$FA,154)*100</f>
        <v>29.959999999999997</v>
      </c>
      <c r="F160" s="173">
        <f>C160/B160</f>
        <v>0.29737016669163119</v>
      </c>
    </row>
    <row r="161" spans="1:6" x14ac:dyDescent="0.25">
      <c r="A161" s="99" t="s">
        <v>275</v>
      </c>
      <c r="B161" s="49">
        <v>447910372</v>
      </c>
      <c r="C161" s="49">
        <v>454776000</v>
      </c>
      <c r="D161" s="49">
        <v>251605181.26416001</v>
      </c>
      <c r="E161" s="50">
        <f>VLOOKUP($A161,'Data shares'!$C:$FA,154)*100</f>
        <v>103.38000000000001</v>
      </c>
      <c r="F161" s="173">
        <f>C161/B161</f>
        <v>1.0153281290838247</v>
      </c>
    </row>
    <row r="162" spans="1:6" x14ac:dyDescent="0.25">
      <c r="A162" s="99" t="s">
        <v>672</v>
      </c>
      <c r="B162" s="49">
        <v>28062406</v>
      </c>
      <c r="C162" s="49">
        <v>21983650</v>
      </c>
      <c r="D162" s="49">
        <v>14442374.6836915</v>
      </c>
      <c r="E162" s="50">
        <f>VLOOKUP($A162,'Data shares'!$C:$FA,154)*100</f>
        <v>79.259999999999991</v>
      </c>
      <c r="F162" s="173">
        <f>C162/B162</f>
        <v>0.78338436126966449</v>
      </c>
    </row>
    <row r="163" spans="1:6" x14ac:dyDescent="0.25">
      <c r="A163" s="99" t="s">
        <v>574</v>
      </c>
      <c r="B163" s="49">
        <v>51720057</v>
      </c>
      <c r="C163" s="49">
        <v>8892800</v>
      </c>
      <c r="D163" s="49">
        <v>6598986.1890049996</v>
      </c>
      <c r="E163" s="50">
        <f>VLOOKUP($A163,'Data shares'!$C:$FA,154)*100</f>
        <v>17.36</v>
      </c>
      <c r="F163" s="173">
        <f>C163/B163</f>
        <v>0.1719410324702465</v>
      </c>
    </row>
    <row r="164" spans="1:6" x14ac:dyDescent="0.25">
      <c r="A164" s="99" t="s">
        <v>519</v>
      </c>
      <c r="B164" s="49">
        <v>8350688</v>
      </c>
      <c r="C164" s="49">
        <v>2965250</v>
      </c>
      <c r="D164" s="49">
        <v>1854486.6202624999</v>
      </c>
      <c r="E164" s="50">
        <f>VLOOKUP($A164,'Data shares'!$C:$FA,154)*100</f>
        <v>36.51</v>
      </c>
      <c r="F164" s="173">
        <f>C164/B164</f>
        <v>0.35509050272264991</v>
      </c>
    </row>
    <row r="165" spans="1:6" x14ac:dyDescent="0.25">
      <c r="A165" s="99" t="s">
        <v>276</v>
      </c>
      <c r="B165" s="49">
        <v>488832949</v>
      </c>
      <c r="C165" s="49">
        <v>117534000</v>
      </c>
      <c r="D165" s="49">
        <v>74988092.189857006</v>
      </c>
      <c r="E165" s="50">
        <f>VLOOKUP($A165,'Data shares'!$C:$FA,154)*100</f>
        <v>24.6</v>
      </c>
      <c r="F165" s="173">
        <f>C165/B165</f>
        <v>0.24043796605862588</v>
      </c>
    </row>
    <row r="166" spans="1:6" x14ac:dyDescent="0.25">
      <c r="A166" s="99" t="s">
        <v>689</v>
      </c>
      <c r="B166" s="49">
        <v>1917916</v>
      </c>
      <c r="C166" s="49">
        <v>113350</v>
      </c>
      <c r="D166" s="49">
        <v>61366.1167365</v>
      </c>
      <c r="E166" s="50">
        <f>VLOOKUP($A166,'Data shares'!$C:$FA,154)*100</f>
        <v>6.03</v>
      </c>
      <c r="F166" s="173">
        <f>C166/B166</f>
        <v>5.9100607117308579E-2</v>
      </c>
    </row>
    <row r="167" spans="1:6" x14ac:dyDescent="0.25">
      <c r="A167" s="99" t="s">
        <v>680</v>
      </c>
      <c r="B167" s="49">
        <v>120138597</v>
      </c>
      <c r="C167" s="49">
        <v>38060000</v>
      </c>
      <c r="D167" s="49">
        <v>16998997.769200001</v>
      </c>
      <c r="E167" s="50">
        <f>VLOOKUP($A167,'Data shares'!$C:$FA,154)*100</f>
        <v>32.129999999999995</v>
      </c>
      <c r="F167" s="173">
        <f>C167/B167</f>
        <v>0.31680076969768506</v>
      </c>
    </row>
    <row r="168" spans="1:6" x14ac:dyDescent="0.25">
      <c r="A168" s="99" t="s">
        <v>606</v>
      </c>
      <c r="B168" s="49">
        <v>25234534</v>
      </c>
      <c r="C168" s="49">
        <v>7762050</v>
      </c>
      <c r="D168" s="49">
        <v>4352473.8790739998</v>
      </c>
      <c r="E168" s="50">
        <f>VLOOKUP($A168,'Data shares'!$C:$FA,154)*100</f>
        <v>31.1</v>
      </c>
      <c r="F168" s="173">
        <f>C168/B168</f>
        <v>0.30759632811130966</v>
      </c>
    </row>
    <row r="169" spans="1:6" x14ac:dyDescent="0.25">
      <c r="A169" s="99" t="s">
        <v>279</v>
      </c>
      <c r="B169" s="49">
        <v>91351468</v>
      </c>
      <c r="C169" s="49">
        <v>106445050</v>
      </c>
      <c r="D169" s="49">
        <v>62594725.818044998</v>
      </c>
      <c r="E169" s="50">
        <f>VLOOKUP($A169,'Data shares'!$C:$FA,154)*100</f>
        <v>120.73</v>
      </c>
      <c r="F169" s="173">
        <f>C169/B169</f>
        <v>1.1652253907950336</v>
      </c>
    </row>
    <row r="170" spans="1:6" x14ac:dyDescent="0.25">
      <c r="A170" s="99" t="s">
        <v>280</v>
      </c>
      <c r="B170" s="49">
        <v>187084550</v>
      </c>
      <c r="C170" s="49">
        <v>131332650</v>
      </c>
      <c r="D170" s="49">
        <v>75957791.816311494</v>
      </c>
      <c r="E170" s="50">
        <f>VLOOKUP($A170,'Data shares'!$C:$FA,154)*100</f>
        <v>71.75</v>
      </c>
      <c r="F170" s="173">
        <f>C170/B170</f>
        <v>0.70199623646100118</v>
      </c>
    </row>
    <row r="171" spans="1:6" x14ac:dyDescent="0.25">
      <c r="A171" s="99" t="s">
        <v>281</v>
      </c>
      <c r="B171" s="49">
        <v>662701060</v>
      </c>
      <c r="C171" s="49">
        <v>220458000</v>
      </c>
      <c r="D171" s="49">
        <v>133030845.185395</v>
      </c>
      <c r="E171" s="50">
        <f>VLOOKUP($A171,'Data shares'!$C:$FA,154)*100</f>
        <v>33.83</v>
      </c>
      <c r="F171" s="173">
        <f>C171/B171</f>
        <v>0.33266583276628531</v>
      </c>
    </row>
    <row r="172" spans="1:6" x14ac:dyDescent="0.25">
      <c r="A172" s="99" t="s">
        <v>677</v>
      </c>
      <c r="B172" s="49">
        <v>84941460</v>
      </c>
      <c r="C172" s="49">
        <v>65989000</v>
      </c>
      <c r="D172" s="49">
        <v>30324825.3856075</v>
      </c>
      <c r="E172" s="50">
        <f>VLOOKUP($A172,'Data shares'!$C:$FA,154)*100</f>
        <v>79.11</v>
      </c>
      <c r="F172" s="173">
        <f>C172/B172</f>
        <v>0.77687621569019416</v>
      </c>
    </row>
    <row r="173" spans="1:6" x14ac:dyDescent="0.25">
      <c r="A173" s="99" t="s">
        <v>282</v>
      </c>
      <c r="B173" s="49">
        <v>216861410</v>
      </c>
      <c r="C173" s="49">
        <v>281013000</v>
      </c>
      <c r="D173" s="49">
        <v>176161633.695326</v>
      </c>
      <c r="E173" s="50">
        <f>VLOOKUP($A173,'Data shares'!$C:$FA,154)*100</f>
        <v>131.86000000000001</v>
      </c>
      <c r="F173" s="173">
        <f>C173/B173</f>
        <v>1.2958183754315717</v>
      </c>
    </row>
    <row r="174" spans="1:6" x14ac:dyDescent="0.25">
      <c r="A174" s="99" t="s">
        <v>688</v>
      </c>
      <c r="B174" s="49">
        <v>122326971</v>
      </c>
      <c r="C174" s="49">
        <v>172872900</v>
      </c>
      <c r="D174" s="49">
        <v>94642719.878090993</v>
      </c>
      <c r="E174" s="50"/>
      <c r="F174" s="173">
        <f>C174/B174</f>
        <v>1.4132034708846015</v>
      </c>
    </row>
    <row r="175" spans="1:6" x14ac:dyDescent="0.25">
      <c r="A175" s="99" t="s">
        <v>536</v>
      </c>
      <c r="B175" s="49">
        <v>39583537</v>
      </c>
      <c r="C175" s="49">
        <v>29844000</v>
      </c>
      <c r="D175" s="49">
        <v>15964682.21796</v>
      </c>
      <c r="E175" s="50">
        <f>VLOOKUP($A175,'Data shares'!$C:$FA,154)*100</f>
        <v>76.680000000000007</v>
      </c>
      <c r="F175" s="173">
        <f>C175/B175</f>
        <v>0.753949804940372</v>
      </c>
    </row>
    <row r="176" spans="1:6" x14ac:dyDescent="0.25">
      <c r="A176" s="99" t="s">
        <v>462</v>
      </c>
      <c r="B176" s="49">
        <v>44735132</v>
      </c>
      <c r="C176" s="49">
        <v>10431375</v>
      </c>
      <c r="D176" s="49">
        <v>7024196.4574462501</v>
      </c>
      <c r="E176" s="50">
        <f>VLOOKUP($A176,'Data shares'!$C:$FA,154)*100</f>
        <v>23.549999999999997</v>
      </c>
      <c r="F176" s="173">
        <f>C176/B176</f>
        <v>0.23318082530750106</v>
      </c>
    </row>
    <row r="177" spans="1:6" x14ac:dyDescent="0.25">
      <c r="A177" s="99" t="s">
        <v>283</v>
      </c>
      <c r="B177" s="49">
        <v>407307212</v>
      </c>
      <c r="C177" s="49">
        <v>168648750</v>
      </c>
      <c r="D177" s="49">
        <v>99444516.113767505</v>
      </c>
      <c r="E177" s="50">
        <f>VLOOKUP($A177,'Data shares'!$C:$FA,154)*100</f>
        <v>42.29</v>
      </c>
      <c r="F177" s="173">
        <f>C177/B177</f>
        <v>0.41405785370674947</v>
      </c>
    </row>
    <row r="178" spans="1:6" x14ac:dyDescent="0.25">
      <c r="A178" s="99" t="s">
        <v>284</v>
      </c>
      <c r="B178" s="49">
        <v>1548028</v>
      </c>
      <c r="C178" s="49">
        <v>272050</v>
      </c>
      <c r="D178" s="49">
        <v>221065.76858850001</v>
      </c>
      <c r="E178" s="50">
        <f>VLOOKUP($A178,'Data shares'!$C:$FA,154)*100</f>
        <v>17.64</v>
      </c>
      <c r="F178" s="173">
        <f>C178/B178</f>
        <v>0.1757397153023072</v>
      </c>
    </row>
    <row r="179" spans="1:6" x14ac:dyDescent="0.25">
      <c r="A179" s="99" t="s">
        <v>562</v>
      </c>
      <c r="B179" s="49">
        <v>210459276</v>
      </c>
      <c r="C179" s="49">
        <v>62266050</v>
      </c>
      <c r="D179" s="49">
        <v>48458111.5787092</v>
      </c>
      <c r="E179" s="50">
        <f>VLOOKUP($A179,'Data shares'!$C:$FA,154)*100</f>
        <v>29.93</v>
      </c>
      <c r="F179" s="173">
        <f>C179/B179</f>
        <v>0.29585795020980687</v>
      </c>
    </row>
    <row r="180" spans="1:6" x14ac:dyDescent="0.25">
      <c r="A180" s="99" t="s">
        <v>285</v>
      </c>
      <c r="B180" s="49">
        <v>13354588</v>
      </c>
      <c r="C180" s="49">
        <v>3566625</v>
      </c>
      <c r="D180" s="49">
        <v>2125896.5747037502</v>
      </c>
      <c r="E180" s="50">
        <f>VLOOKUP($A180,'Data shares'!$C:$FA,154)*100</f>
        <v>27.169999999999998</v>
      </c>
      <c r="F180" s="173">
        <f>C180/B180</f>
        <v>0.26707113690066664</v>
      </c>
    </row>
    <row r="181" spans="1:6" x14ac:dyDescent="0.25">
      <c r="A181" s="99" t="s">
        <v>647</v>
      </c>
      <c r="B181" s="49">
        <v>3644817</v>
      </c>
      <c r="C181" s="49">
        <v>1413225</v>
      </c>
      <c r="D181" s="49">
        <v>781818.34010325</v>
      </c>
      <c r="E181" s="50">
        <f>VLOOKUP($A181,'Data shares'!$C:$FA,154)*100</f>
        <v>39.300000000000004</v>
      </c>
      <c r="F181" s="173">
        <f>C181/B181</f>
        <v>0.38773551593948336</v>
      </c>
    </row>
    <row r="182" spans="1:6" x14ac:dyDescent="0.25">
      <c r="A182" s="99" t="s">
        <v>615</v>
      </c>
      <c r="B182" s="49">
        <v>67126548</v>
      </c>
      <c r="C182" s="49">
        <v>31665900</v>
      </c>
      <c r="D182" s="49">
        <v>21677613.128093999</v>
      </c>
      <c r="E182" s="50">
        <f>VLOOKUP($A182,'Data shares'!$C:$FA,154)*100</f>
        <v>47.67</v>
      </c>
      <c r="F182" s="173">
        <f>C182/B182</f>
        <v>0.47173437251681705</v>
      </c>
    </row>
    <row r="183" spans="1:6" x14ac:dyDescent="0.25">
      <c r="A183" s="99" t="s">
        <v>286</v>
      </c>
      <c r="B183" s="49">
        <v>21205300</v>
      </c>
      <c r="C183" s="49">
        <v>4237800</v>
      </c>
      <c r="D183" s="49">
        <v>2704835.5233439999</v>
      </c>
      <c r="E183" s="50"/>
      <c r="F183" s="173">
        <f>C183/B183</f>
        <v>0.19984626484888213</v>
      </c>
    </row>
    <row r="184" spans="1:6" x14ac:dyDescent="0.25">
      <c r="A184" s="99" t="s">
        <v>288</v>
      </c>
      <c r="B184" s="49">
        <v>109220043</v>
      </c>
      <c r="C184" s="49">
        <v>24523800</v>
      </c>
      <c r="D184" s="49">
        <v>16263462.754489999</v>
      </c>
      <c r="E184" s="50">
        <f>VLOOKUP($A184,'Data shares'!$C:$FA,154)*100</f>
        <v>22.81</v>
      </c>
      <c r="F184" s="173">
        <f>C184/B184</f>
        <v>0.22453571090427057</v>
      </c>
    </row>
    <row r="185" spans="1:6" x14ac:dyDescent="0.25">
      <c r="A185" s="99" t="s">
        <v>575</v>
      </c>
      <c r="B185" s="49">
        <v>7242074</v>
      </c>
      <c r="C185" s="49">
        <v>1815800</v>
      </c>
      <c r="D185" s="49">
        <v>1200030.630806</v>
      </c>
      <c r="E185" s="50">
        <f>VLOOKUP($A185,'Data shares'!$C:$FA,154)*100</f>
        <v>25.3</v>
      </c>
      <c r="F185" s="173">
        <f>C185/B185</f>
        <v>0.25072928003773504</v>
      </c>
    </row>
    <row r="186" spans="1:6" x14ac:dyDescent="0.25">
      <c r="A186" s="99" t="s">
        <v>686</v>
      </c>
      <c r="B186" s="49">
        <v>1813533848</v>
      </c>
      <c r="C186" s="49">
        <v>402632000</v>
      </c>
      <c r="D186" s="49">
        <v>174048447.06663999</v>
      </c>
      <c r="E186" s="50">
        <f>VLOOKUP($A186,'Data shares'!$C:$FA,154)*100</f>
        <v>22.67</v>
      </c>
      <c r="F186" s="173">
        <f>C186/B186</f>
        <v>0.22201515590350315</v>
      </c>
    </row>
    <row r="187" spans="1:6" x14ac:dyDescent="0.25">
      <c r="A187" s="99" t="s">
        <v>520</v>
      </c>
      <c r="B187" s="49">
        <v>28408333</v>
      </c>
      <c r="C187" s="49">
        <v>14613000</v>
      </c>
      <c r="D187" s="49">
        <v>9555006.7397499997</v>
      </c>
      <c r="E187" s="50">
        <f>VLOOKUP($A187,'Data shares'!$C:$FA,154)*100</f>
        <v>52.23</v>
      </c>
      <c r="F187" s="173">
        <f>C187/B187</f>
        <v>0.51439132313747515</v>
      </c>
    </row>
    <row r="188" spans="1:6" x14ac:dyDescent="0.25">
      <c r="A188" s="99" t="s">
        <v>291</v>
      </c>
      <c r="B188" s="49">
        <v>65471528</v>
      </c>
      <c r="C188" s="49">
        <v>20801550</v>
      </c>
      <c r="D188" s="49">
        <v>16217190.11803</v>
      </c>
      <c r="E188" s="50">
        <f>VLOOKUP($A188,'Data shares'!$C:$FA,154)*100</f>
        <v>32.57</v>
      </c>
      <c r="F188" s="173">
        <f>C188/B188</f>
        <v>0.31771902436735555</v>
      </c>
    </row>
    <row r="189" spans="1:6" x14ac:dyDescent="0.25">
      <c r="A189" s="99" t="s">
        <v>605</v>
      </c>
      <c r="B189" s="49">
        <v>4309631</v>
      </c>
      <c r="C189" s="49">
        <v>6362800</v>
      </c>
      <c r="D189" s="49">
        <v>2843290.9667910002</v>
      </c>
      <c r="E189" s="50">
        <f>VLOOKUP($A189,'Data shares'!$C:$FA,154)*100</f>
        <v>151.18</v>
      </c>
      <c r="F189" s="173">
        <f>C189/B189</f>
        <v>1.4764141059872644</v>
      </c>
    </row>
    <row r="190" spans="1:6" x14ac:dyDescent="0.25">
      <c r="A190" s="99" t="s">
        <v>292</v>
      </c>
      <c r="B190" s="49">
        <v>284575867</v>
      </c>
      <c r="C190" s="49">
        <v>188841600</v>
      </c>
      <c r="D190" s="49">
        <v>43101215.001295999</v>
      </c>
      <c r="E190" s="50">
        <f>VLOOKUP($A190,'Data shares'!$C:$FA,154)*100</f>
        <v>70.679999999999993</v>
      </c>
      <c r="F190" s="173">
        <f>C190/B190</f>
        <v>0.66358965006684845</v>
      </c>
    </row>
    <row r="191" spans="1:6" x14ac:dyDescent="0.25">
      <c r="A191" s="99" t="s">
        <v>293</v>
      </c>
      <c r="B191" s="49">
        <v>169808198</v>
      </c>
      <c r="C191" s="49">
        <v>108096050</v>
      </c>
      <c r="D191" s="49">
        <v>58658850.86225</v>
      </c>
      <c r="E191" s="50">
        <f>VLOOKUP($A191,'Data shares'!$C:$FA,154)*100</f>
        <v>65.02</v>
      </c>
      <c r="F191" s="173">
        <f>C191/B191</f>
        <v>0.63657733415202955</v>
      </c>
    </row>
    <row r="192" spans="1:6" x14ac:dyDescent="0.25">
      <c r="A192" s="99" t="s">
        <v>294</v>
      </c>
      <c r="B192" s="49">
        <v>833987639</v>
      </c>
      <c r="C192" s="49">
        <v>393541500</v>
      </c>
      <c r="D192" s="49">
        <v>207542566.232375</v>
      </c>
      <c r="E192" s="50">
        <f>VLOOKUP($A192,'Data shares'!$C:$FA,154)*100</f>
        <v>48.38</v>
      </c>
      <c r="F192" s="173">
        <f>C192/B192</f>
        <v>0.47187929604313955</v>
      </c>
    </row>
    <row r="193" spans="1:6" x14ac:dyDescent="0.25">
      <c r="A193" s="99" t="s">
        <v>665</v>
      </c>
      <c r="B193" s="49">
        <v>27246569</v>
      </c>
      <c r="C193" s="49">
        <v>15520800</v>
      </c>
      <c r="D193" s="49">
        <v>7260250.3205119995</v>
      </c>
      <c r="E193" s="50">
        <f>VLOOKUP($A193,'Data shares'!$C:$FA,154)*100</f>
        <v>58.63</v>
      </c>
      <c r="F193" s="173">
        <f>C193/B193</f>
        <v>0.56964236487904218</v>
      </c>
    </row>
    <row r="194" spans="1:6" x14ac:dyDescent="0.25">
      <c r="A194" s="99" t="s">
        <v>295</v>
      </c>
      <c r="B194" s="49">
        <v>123298271</v>
      </c>
      <c r="C194" s="49">
        <v>68937925</v>
      </c>
      <c r="D194" s="49">
        <v>31902522.59866</v>
      </c>
      <c r="E194" s="50">
        <f>VLOOKUP($A194,'Data shares'!$C:$FA,154)*100</f>
        <v>57.599999999999994</v>
      </c>
      <c r="F194" s="173">
        <f>C194/B194</f>
        <v>0.55911509902681444</v>
      </c>
    </row>
    <row r="195" spans="1:6" x14ac:dyDescent="0.25">
      <c r="A195" s="99" t="s">
        <v>296</v>
      </c>
      <c r="B195" s="49">
        <v>76137451</v>
      </c>
      <c r="C195" s="49">
        <v>25330800</v>
      </c>
      <c r="D195" s="49">
        <v>15605816.205917999</v>
      </c>
      <c r="E195" s="50">
        <f>VLOOKUP($A195,'Data shares'!$C:$FA,154)*100</f>
        <v>33.770000000000003</v>
      </c>
      <c r="F195" s="173">
        <f>C195/B195</f>
        <v>0.33269829324861427</v>
      </c>
    </row>
    <row r="196" spans="1:6" x14ac:dyDescent="0.25">
      <c r="A196" s="99" t="s">
        <v>596</v>
      </c>
      <c r="B196" s="49">
        <v>14039249</v>
      </c>
      <c r="C196" s="49">
        <v>2667400</v>
      </c>
      <c r="D196" s="49">
        <v>1992610.2742639999</v>
      </c>
      <c r="E196" s="50">
        <f>VLOOKUP($A196,'Data shares'!$C:$FA,154)*100</f>
        <v>19.09</v>
      </c>
      <c r="F196" s="173">
        <f>C196/B196</f>
        <v>0.189995917872815</v>
      </c>
    </row>
    <row r="197" spans="1:6" x14ac:dyDescent="0.25">
      <c r="A197" s="99" t="s">
        <v>664</v>
      </c>
      <c r="B197" s="49">
        <v>12028036</v>
      </c>
      <c r="C197" s="49">
        <v>11926250</v>
      </c>
      <c r="D197" s="49">
        <v>6350158.0854197498</v>
      </c>
      <c r="E197" s="50">
        <f>VLOOKUP($A197,'Data shares'!$C:$FA,154)*100</f>
        <v>104.66</v>
      </c>
      <c r="F197" s="173">
        <f>C197/B197</f>
        <v>0.99153760431046267</v>
      </c>
    </row>
    <row r="198" spans="1:6" x14ac:dyDescent="0.25">
      <c r="A198" s="99" t="s">
        <v>297</v>
      </c>
      <c r="B198" s="49">
        <v>41744334</v>
      </c>
      <c r="C198" s="49">
        <v>18350500</v>
      </c>
      <c r="D198" s="49">
        <v>11264179.455975199</v>
      </c>
      <c r="E198" s="50">
        <f>VLOOKUP($A198,'Data shares'!$C:$FA,154)*100</f>
        <v>44.92</v>
      </c>
      <c r="F198" s="173">
        <f>C198/B198</f>
        <v>0.43959259237433279</v>
      </c>
    </row>
    <row r="199" spans="1:6" x14ac:dyDescent="0.25">
      <c r="A199" s="99" t="s">
        <v>298</v>
      </c>
      <c r="B199" s="49">
        <v>16072672</v>
      </c>
      <c r="C199" s="49">
        <v>3250500</v>
      </c>
      <c r="D199" s="49">
        <v>2311071.9836424999</v>
      </c>
      <c r="E199" s="50">
        <f>VLOOKUP($A199,'Data shares'!$C:$FA,154)*100</f>
        <v>20.5</v>
      </c>
      <c r="F199" s="173">
        <f>C199/B199</f>
        <v>0.20223768642824291</v>
      </c>
    </row>
    <row r="200" spans="1:6" x14ac:dyDescent="0.25">
      <c r="A200" s="99" t="s">
        <v>299</v>
      </c>
      <c r="B200" s="49">
        <v>24646022</v>
      </c>
      <c r="C200" s="49">
        <v>6493875</v>
      </c>
      <c r="D200" s="49">
        <v>4308950.6730037499</v>
      </c>
      <c r="E200" s="50">
        <f>VLOOKUP($A200,'Data shares'!$C:$FA,154)*100</f>
        <v>26.66</v>
      </c>
      <c r="F200" s="173">
        <f>C200/B200</f>
        <v>0.26348572601290382</v>
      </c>
    </row>
    <row r="201" spans="1:6" x14ac:dyDescent="0.25">
      <c r="A201" s="99" t="s">
        <v>482</v>
      </c>
      <c r="B201" s="49">
        <v>33590487</v>
      </c>
      <c r="C201" s="49">
        <v>18244500</v>
      </c>
      <c r="D201" s="49">
        <v>8849548.4173140004</v>
      </c>
      <c r="E201" s="50">
        <f>VLOOKUP($A201,'Data shares'!$C:$FA,154)*100</f>
        <v>56.879999999999995</v>
      </c>
      <c r="F201" s="173">
        <f>C201/B201</f>
        <v>0.54314484931403351</v>
      </c>
    </row>
    <row r="202" spans="1:6" x14ac:dyDescent="0.25">
      <c r="A202" s="99" t="s">
        <v>300</v>
      </c>
      <c r="B202" s="49">
        <v>35369445</v>
      </c>
      <c r="C202" s="49">
        <v>12866000</v>
      </c>
      <c r="D202" s="49">
        <v>9635420.0271349996</v>
      </c>
      <c r="E202" s="50">
        <f>VLOOKUP($A202,'Data shares'!$C:$FA,154)*100</f>
        <v>37.08</v>
      </c>
      <c r="F202" s="173">
        <f>C202/B202</f>
        <v>0.3637603021478002</v>
      </c>
    </row>
    <row r="203" spans="1:6" x14ac:dyDescent="0.25">
      <c r="A203" s="99" t="s">
        <v>302</v>
      </c>
      <c r="B203" s="49">
        <v>11962066</v>
      </c>
      <c r="C203" s="49">
        <v>3325250</v>
      </c>
      <c r="D203" s="49">
        <v>2324346.5261395001</v>
      </c>
      <c r="E203" s="50">
        <f>VLOOKUP($A203,'Data shares'!$C:$FA,154)*100</f>
        <v>28.18</v>
      </c>
      <c r="F203" s="173">
        <f>C203/B203</f>
        <v>0.27798291699778283</v>
      </c>
    </row>
    <row r="204" spans="1:6" x14ac:dyDescent="0.25">
      <c r="A204" s="99" t="s">
        <v>594</v>
      </c>
      <c r="B204" s="49">
        <v>289041713</v>
      </c>
      <c r="C204" s="49">
        <v>133342950</v>
      </c>
      <c r="D204" s="49">
        <v>85383602.594159201</v>
      </c>
      <c r="E204" s="50">
        <f>VLOOKUP($A204,'Data shares'!$C:$FA,154)*100</f>
        <v>47.23</v>
      </c>
      <c r="F204" s="173">
        <f>C204/B204</f>
        <v>0.46132770462787842</v>
      </c>
    </row>
    <row r="205" spans="1:6" x14ac:dyDescent="0.25">
      <c r="A205" s="99" t="s">
        <v>569</v>
      </c>
      <c r="B205" s="49">
        <v>47269416</v>
      </c>
      <c r="C205" s="49">
        <v>19838800</v>
      </c>
      <c r="D205" s="49">
        <v>12475639.187232001</v>
      </c>
      <c r="E205" s="50">
        <f>VLOOKUP($A205,'Data shares'!$C:$FA,154)*100</f>
        <v>42.75</v>
      </c>
      <c r="F205" s="173">
        <f>C205/B205</f>
        <v>0.41969632119000583</v>
      </c>
    </row>
    <row r="206" spans="1:6" x14ac:dyDescent="0.25">
      <c r="A206" s="99" t="s">
        <v>676</v>
      </c>
      <c r="B206" s="49">
        <v>22813802</v>
      </c>
      <c r="C206" s="49">
        <v>9098100</v>
      </c>
      <c r="D206" s="49">
        <v>3806346.4362275</v>
      </c>
      <c r="E206" s="50">
        <f>VLOOKUP($A206,'Data shares'!$C:$FA,154)*100</f>
        <v>41.089999999999996</v>
      </c>
      <c r="F206" s="173">
        <f>C206/B206</f>
        <v>0.3987980609282048</v>
      </c>
    </row>
    <row r="207" spans="1:6" x14ac:dyDescent="0.25">
      <c r="A207" s="99" t="s">
        <v>303</v>
      </c>
      <c r="B207" s="49">
        <v>82588393</v>
      </c>
      <c r="C207" s="49">
        <v>45319330</v>
      </c>
      <c r="D207" s="49">
        <v>26414074.948438302</v>
      </c>
      <c r="E207" s="50">
        <f>VLOOKUP($A207,'Data shares'!$C:$FA,154)*100</f>
        <v>55.769999999999996</v>
      </c>
      <c r="F207" s="173">
        <f>C207/B207</f>
        <v>0.54873727837276121</v>
      </c>
    </row>
    <row r="208" spans="1:6" x14ac:dyDescent="0.25">
      <c r="A208" s="99" t="s">
        <v>587</v>
      </c>
      <c r="B208" s="49">
        <v>203804339</v>
      </c>
      <c r="C208" s="49">
        <v>59776975</v>
      </c>
      <c r="D208" s="49">
        <v>40613889.603331998</v>
      </c>
      <c r="E208" s="50">
        <f>VLOOKUP($A208,'Data shares'!$C:$FA,154)*100</f>
        <v>29.65</v>
      </c>
      <c r="F208" s="173">
        <f>C208/B208</f>
        <v>0.293305703368759</v>
      </c>
    </row>
    <row r="209" spans="1:6" x14ac:dyDescent="0.25">
      <c r="A209" s="99" t="s">
        <v>304</v>
      </c>
      <c r="B209" s="49">
        <v>255091106</v>
      </c>
      <c r="C209" s="49">
        <v>149220550</v>
      </c>
      <c r="D209" s="49">
        <v>97172881.131612495</v>
      </c>
      <c r="E209" s="50">
        <f>VLOOKUP($A209,'Data shares'!$C:$FA,154)*100</f>
        <v>59.38</v>
      </c>
      <c r="F209" s="173">
        <f>C209/B209</f>
        <v>0.58496963041902372</v>
      </c>
    </row>
    <row r="210" spans="1:6" x14ac:dyDescent="0.25">
      <c r="A210" s="99" t="s">
        <v>305</v>
      </c>
      <c r="B210" s="49">
        <v>34594689</v>
      </c>
      <c r="C210" s="49">
        <v>17781750</v>
      </c>
      <c r="D210" s="49">
        <v>10769574.5378062</v>
      </c>
      <c r="E210" s="50">
        <f>VLOOKUP($A210,'Data shares'!$C:$FA,154)*100</f>
        <v>52.370000000000005</v>
      </c>
      <c r="F210" s="173">
        <f>C210/B210</f>
        <v>0.51400230827338844</v>
      </c>
    </row>
    <row r="211" spans="1:6" x14ac:dyDescent="0.25">
      <c r="A211" s="99" t="s">
        <v>306</v>
      </c>
      <c r="B211" s="49">
        <v>292948819</v>
      </c>
      <c r="C211" s="49">
        <v>202584000</v>
      </c>
      <c r="D211" s="49">
        <v>113155428.40389</v>
      </c>
      <c r="E211" s="50">
        <f>VLOOKUP($A211,'Data shares'!$C:$FA,154)*100</f>
        <v>71.17</v>
      </c>
      <c r="F211" s="173">
        <f>C211/B211</f>
        <v>0.69153376583504844</v>
      </c>
    </row>
    <row r="212" spans="1:6" x14ac:dyDescent="0.25">
      <c r="A212" s="99" t="s">
        <v>591</v>
      </c>
      <c r="B212" s="49">
        <v>3136562346</v>
      </c>
      <c r="C212" s="49">
        <v>1426712500</v>
      </c>
      <c r="D212" s="49">
        <v>984779503.11844897</v>
      </c>
      <c r="E212" s="50">
        <f>VLOOKUP($A212,'Data shares'!$C:$FA,154)*100</f>
        <v>46.129999999999995</v>
      </c>
      <c r="F212" s="173">
        <f>C212/B212</f>
        <v>0.45486502183495892</v>
      </c>
    </row>
    <row r="213" spans="1:6" x14ac:dyDescent="0.25">
      <c r="A213" s="99" t="s">
        <v>557</v>
      </c>
      <c r="B213" s="49">
        <v>32617803</v>
      </c>
      <c r="C213" s="49">
        <v>13826700</v>
      </c>
      <c r="D213" s="49">
        <v>7880429.4259500001</v>
      </c>
      <c r="E213" s="50">
        <f>VLOOKUP($A213,'Data shares'!$C:$FA,154)*100</f>
        <v>43.25</v>
      </c>
      <c r="F213" s="173">
        <f>C213/B213</f>
        <v>0.42390040800724682</v>
      </c>
    </row>
    <row r="214" spans="1:6" x14ac:dyDescent="0.25">
      <c r="A214" s="99"/>
      <c r="B214" s="49"/>
      <c r="C214" s="49"/>
      <c r="D214" s="49"/>
      <c r="E214" s="50"/>
      <c r="F214" s="173"/>
    </row>
    <row r="215" spans="1:6" x14ac:dyDescent="0.25">
      <c r="A215" s="99"/>
      <c r="B215" s="49"/>
      <c r="C215" s="49"/>
      <c r="D215" s="49"/>
      <c r="E215" s="50"/>
      <c r="F215" s="173"/>
    </row>
    <row r="216" spans="1:6" x14ac:dyDescent="0.25">
      <c r="A216" s="99"/>
      <c r="B216" s="49"/>
      <c r="C216" s="49"/>
      <c r="D216" s="49"/>
      <c r="E216" s="50"/>
      <c r="F216" s="173"/>
    </row>
    <row r="217" spans="1:6" x14ac:dyDescent="0.25">
      <c r="A217" s="99"/>
      <c r="B217" s="49"/>
      <c r="C217" s="49"/>
      <c r="D217" s="49"/>
      <c r="E217" s="50"/>
      <c r="F217" s="173"/>
    </row>
    <row r="218" spans="1:6" x14ac:dyDescent="0.25">
      <c r="A218" s="99"/>
      <c r="B218" s="49"/>
      <c r="C218" s="49"/>
      <c r="D218" s="49"/>
      <c r="E218" s="50"/>
      <c r="F218" s="173"/>
    </row>
    <row r="219" spans="1:6" x14ac:dyDescent="0.25">
      <c r="A219" s="99"/>
      <c r="B219" s="49"/>
      <c r="C219" s="49"/>
      <c r="D219" s="49"/>
      <c r="E219" s="50"/>
      <c r="F219" s="173"/>
    </row>
    <row r="220" spans="1:6" x14ac:dyDescent="0.25">
      <c r="A220" s="99"/>
      <c r="B220" s="49"/>
      <c r="C220" s="49"/>
      <c r="D220" s="49"/>
      <c r="E220" s="50"/>
      <c r="F220" s="173"/>
    </row>
    <row r="221" spans="1:6" x14ac:dyDescent="0.25">
      <c r="A221" s="99"/>
      <c r="B221" s="49"/>
      <c r="C221" s="49"/>
      <c r="D221" s="49"/>
      <c r="E221" s="50"/>
      <c r="F221" s="173"/>
    </row>
    <row r="222" spans="1:6" x14ac:dyDescent="0.25">
      <c r="A222" s="99"/>
      <c r="B222" s="49"/>
      <c r="C222" s="49"/>
      <c r="D222" s="49"/>
      <c r="E222" s="50"/>
      <c r="F222" s="173"/>
    </row>
    <row r="223" spans="1:6" x14ac:dyDescent="0.25">
      <c r="A223" s="99"/>
      <c r="B223" s="49"/>
      <c r="C223" s="49"/>
      <c r="D223" s="49"/>
      <c r="E223" s="50"/>
      <c r="F223" s="173"/>
    </row>
    <row r="224" spans="1:6" x14ac:dyDescent="0.25">
      <c r="A224" s="99"/>
      <c r="B224" s="49"/>
      <c r="C224" s="49"/>
      <c r="D224" s="49"/>
      <c r="E224" s="50"/>
      <c r="F224" s="173"/>
    </row>
    <row r="225" spans="1:6" x14ac:dyDescent="0.25">
      <c r="A225" s="99"/>
      <c r="B225" s="49"/>
      <c r="C225" s="49"/>
      <c r="D225" s="49"/>
      <c r="E225" s="50"/>
      <c r="F225" s="173"/>
    </row>
    <row r="226" spans="1:6" x14ac:dyDescent="0.25">
      <c r="A226" s="99"/>
      <c r="B226" s="49"/>
      <c r="C226" s="49"/>
      <c r="D226" s="49"/>
      <c r="E226" s="50"/>
      <c r="F226" s="173"/>
    </row>
    <row r="227" spans="1:6" x14ac:dyDescent="0.25">
      <c r="A227" s="99"/>
      <c r="B227" s="49"/>
      <c r="C227" s="49"/>
      <c r="D227" s="49"/>
      <c r="E227" s="50"/>
      <c r="F227" s="173"/>
    </row>
    <row r="228" spans="1:6" x14ac:dyDescent="0.25">
      <c r="A228" s="99"/>
      <c r="B228" s="49"/>
      <c r="C228" s="49"/>
      <c r="D228" s="49"/>
      <c r="E228" s="50"/>
      <c r="F228" s="173"/>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13">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zoomScaleNormal="100" workbookViewId="0">
      <selection activeCell="P41" sqref="P41"/>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4.5699999999999994</v>
      </c>
      <c r="F6" s="49">
        <f>VLOOKUP($A6,'Data shares'!$C:$FA,129)</f>
        <v>558000</v>
      </c>
      <c r="G6" s="17"/>
    </row>
    <row r="7" spans="1:7" x14ac:dyDescent="0.25">
      <c r="A7" s="101" t="s">
        <v>228</v>
      </c>
      <c r="B7" s="17">
        <v>292206563</v>
      </c>
      <c r="C7" s="17">
        <v>71903525</v>
      </c>
      <c r="D7" s="17">
        <f t="shared" ref="D7:D70" si="0">C7</f>
        <v>71903525</v>
      </c>
      <c r="E7" s="49">
        <f>VLOOKUP($A7,'Data shares'!$C:$FA,128)*100</f>
        <v>1.7399999999999998</v>
      </c>
      <c r="F7" s="49">
        <f>VLOOKUP($A7,'Data shares'!$C:$FA,129)</f>
        <v>1024800</v>
      </c>
      <c r="G7" s="17"/>
    </row>
    <row r="8" spans="1:7" x14ac:dyDescent="0.25">
      <c r="A8" s="101" t="s">
        <v>200</v>
      </c>
      <c r="B8" s="17">
        <v>417418754</v>
      </c>
      <c r="C8" s="17">
        <v>109662000</v>
      </c>
      <c r="D8" s="17">
        <f t="shared" si="0"/>
        <v>109662000</v>
      </c>
      <c r="E8" s="49">
        <f>VLOOKUP($A8,'Data shares'!$C:$FA,128)*100</f>
        <v>3.65</v>
      </c>
      <c r="F8" s="49">
        <f>VLOOKUP($A8,'Data shares'!$C:$FA,129)</f>
        <v>2157300</v>
      </c>
      <c r="G8" s="17"/>
    </row>
    <row r="9" spans="1:7" x14ac:dyDescent="0.25">
      <c r="A9" s="101" t="s">
        <v>214</v>
      </c>
      <c r="B9" s="17">
        <v>30110093</v>
      </c>
      <c r="C9" s="17">
        <v>10703050</v>
      </c>
      <c r="D9" s="17">
        <f t="shared" si="0"/>
        <v>10703050</v>
      </c>
      <c r="E9" s="49">
        <f>VLOOKUP($A9,'Data shares'!$C:$FA,128)*100</f>
        <v>1.38</v>
      </c>
      <c r="F9" s="49">
        <f>VLOOKUP($A9,'Data shares'!$C:$FA,129)</f>
        <v>92250</v>
      </c>
      <c r="G9" s="17"/>
    </row>
    <row r="10" spans="1:7" x14ac:dyDescent="0.25">
      <c r="A10" s="101" t="s">
        <v>243</v>
      </c>
      <c r="B10" s="17">
        <v>80699820</v>
      </c>
      <c r="C10" s="17">
        <v>65367500</v>
      </c>
      <c r="D10" s="17">
        <f t="shared" si="0"/>
        <v>65367500</v>
      </c>
      <c r="E10" s="49">
        <f>VLOOKUP($A10,'Data shares'!$C:$FA,128)*100</f>
        <v>1.43</v>
      </c>
      <c r="F10" s="49">
        <f>VLOOKUP($A10,'Data shares'!$C:$FA,129)</f>
        <v>168125</v>
      </c>
      <c r="G10" s="17"/>
    </row>
    <row r="11" spans="1:7" x14ac:dyDescent="0.25">
      <c r="A11" s="101" t="s">
        <v>231</v>
      </c>
      <c r="B11" s="17">
        <v>80556813</v>
      </c>
      <c r="C11" s="17">
        <v>62967200</v>
      </c>
      <c r="D11" s="17">
        <f t="shared" si="0"/>
        <v>62967200</v>
      </c>
      <c r="E11" s="49">
        <f>VLOOKUP($A11,'Data shares'!$C:$FA,128)*100</f>
        <v>3.95</v>
      </c>
      <c r="F11" s="49">
        <f>VLOOKUP($A11,'Data shares'!$C:$FA,129)</f>
        <v>1057275</v>
      </c>
      <c r="G11" s="17"/>
    </row>
    <row r="12" spans="1:7" x14ac:dyDescent="0.25">
      <c r="A12" s="101" t="s">
        <v>195</v>
      </c>
      <c r="B12" s="17">
        <v>23823080</v>
      </c>
      <c r="C12" s="17">
        <v>2862400</v>
      </c>
      <c r="D12" s="17">
        <f t="shared" si="0"/>
        <v>2862400</v>
      </c>
      <c r="E12" s="49">
        <f>VLOOKUP($A12,'Data shares'!$C:$FA,128)*100</f>
        <v>0.59</v>
      </c>
      <c r="F12" s="49">
        <f>VLOOKUP($A12,'Data shares'!$C:$FA,129)</f>
        <v>21250</v>
      </c>
      <c r="G12" s="17"/>
    </row>
    <row r="13" spans="1:7" x14ac:dyDescent="0.25">
      <c r="A13" s="101" t="s">
        <v>304</v>
      </c>
      <c r="B13" s="17">
        <v>223492679</v>
      </c>
      <c r="C13" s="17">
        <v>98465300</v>
      </c>
      <c r="D13" s="17">
        <f t="shared" si="0"/>
        <v>98465300</v>
      </c>
      <c r="E13" s="49">
        <f>VLOOKUP($A13,'Data shares'!$C:$FA,128)*100</f>
        <v>2.58</v>
      </c>
      <c r="F13" s="49">
        <f>VLOOKUP($A13,'Data shares'!$C:$FA,129)</f>
        <v>2090700</v>
      </c>
      <c r="G13" s="17"/>
    </row>
    <row r="14" spans="1:7" x14ac:dyDescent="0.25">
      <c r="A14" s="101" t="s">
        <v>167</v>
      </c>
      <c r="B14" s="17">
        <v>282181803</v>
      </c>
      <c r="C14" s="17">
        <v>95526000</v>
      </c>
      <c r="D14" s="17">
        <f t="shared" si="0"/>
        <v>95526000</v>
      </c>
      <c r="E14" s="49">
        <f>VLOOKUP($A14,'Data shares'!$C:$FA,128)*100</f>
        <v>4.22</v>
      </c>
      <c r="F14" s="49">
        <f>VLOOKUP($A14,'Data shares'!$C:$FA,129)</f>
        <v>5005000</v>
      </c>
      <c r="G14" s="17"/>
    </row>
    <row r="15" spans="1:7" x14ac:dyDescent="0.25">
      <c r="A15" s="101" t="s">
        <v>222</v>
      </c>
      <c r="B15" s="17">
        <v>214194964</v>
      </c>
      <c r="C15" s="17">
        <v>37437400</v>
      </c>
      <c r="D15" s="17">
        <f t="shared" si="0"/>
        <v>37437400</v>
      </c>
      <c r="E15" s="49">
        <f>VLOOKUP($A15,'Data shares'!$C:$FA,128)*100</f>
        <v>2.76</v>
      </c>
      <c r="F15" s="49">
        <f>VLOOKUP($A15,'Data shares'!$C:$FA,129)</f>
        <v>497000</v>
      </c>
      <c r="G15" s="17"/>
    </row>
    <row r="16" spans="1:7" x14ac:dyDescent="0.25">
      <c r="A16" s="101" t="s">
        <v>290</v>
      </c>
      <c r="B16" s="17">
        <v>31601465</v>
      </c>
      <c r="C16" s="17">
        <v>13192000</v>
      </c>
      <c r="D16" s="17">
        <f t="shared" si="0"/>
        <v>13192000</v>
      </c>
      <c r="E16" s="49">
        <f>VLOOKUP($A16,'Data shares'!$C:$FA,128)*100</f>
        <v>2.29</v>
      </c>
      <c r="F16" s="49">
        <f>VLOOKUP($A16,'Data shares'!$C:$FA,129)</f>
        <v>208000</v>
      </c>
      <c r="G16" s="17"/>
    </row>
    <row r="17" spans="1:7" x14ac:dyDescent="0.25">
      <c r="A17" s="101" t="s">
        <v>500</v>
      </c>
      <c r="B17" s="17">
        <v>24930381</v>
      </c>
      <c r="C17" s="17">
        <v>1925625</v>
      </c>
      <c r="D17" s="17">
        <f t="shared" si="0"/>
        <v>1925625</v>
      </c>
      <c r="E17" s="49">
        <f>VLOOKUP($A17,'Data shares'!$C:$FA,128)*100</f>
        <v>9.1399999999999988</v>
      </c>
      <c r="F17" s="49">
        <f>VLOOKUP($A17,'Data shares'!$C:$FA,129)</f>
        <v>2178750</v>
      </c>
      <c r="G17" s="17"/>
    </row>
    <row r="18" spans="1:7" x14ac:dyDescent="0.25">
      <c r="A18" s="101" t="s">
        <v>491</v>
      </c>
      <c r="B18" s="17">
        <v>53841317</v>
      </c>
      <c r="C18" s="17">
        <v>9268750</v>
      </c>
      <c r="D18" s="17">
        <f t="shared" si="0"/>
        <v>9268750</v>
      </c>
      <c r="E18" s="49">
        <f>VLOOKUP($A18,'Data shares'!$C:$FA,128)*100</f>
        <v>0.57000000000000006</v>
      </c>
      <c r="F18" s="49">
        <f>VLOOKUP($A18,'Data shares'!$C:$FA,129)</f>
        <v>54500</v>
      </c>
      <c r="G18" s="17"/>
    </row>
    <row r="19" spans="1:7" x14ac:dyDescent="0.25">
      <c r="A19" s="101" t="s">
        <v>257</v>
      </c>
      <c r="B19" s="17">
        <v>43771086</v>
      </c>
      <c r="C19" s="17">
        <v>2865850</v>
      </c>
      <c r="D19" s="17">
        <f t="shared" si="0"/>
        <v>2865850</v>
      </c>
      <c r="E19" s="49">
        <f>VLOOKUP($A19,'Data shares'!$C:$FA,128)*100</f>
        <v>1.0900000000000001</v>
      </c>
      <c r="F19" s="49">
        <f>VLOOKUP($A19,'Data shares'!$C:$FA,129)</f>
        <v>66400</v>
      </c>
      <c r="G19" s="17"/>
    </row>
    <row r="20" spans="1:7" x14ac:dyDescent="0.25">
      <c r="A20" s="101" t="s">
        <v>259</v>
      </c>
      <c r="B20" s="17">
        <v>12838406</v>
      </c>
      <c r="C20" s="17">
        <v>3561800</v>
      </c>
      <c r="D20" s="17">
        <f t="shared" si="0"/>
        <v>3561800</v>
      </c>
      <c r="E20" s="49">
        <f>VLOOKUP($A20,'Data shares'!$C:$FA,128)*100</f>
        <v>3.5000000000000004</v>
      </c>
      <c r="F20" s="49">
        <f>VLOOKUP($A20,'Data shares'!$C:$FA,129)</f>
        <v>95200</v>
      </c>
      <c r="G20" s="17"/>
    </row>
    <row r="21" spans="1:7" x14ac:dyDescent="0.25">
      <c r="A21" s="101" t="s">
        <v>212</v>
      </c>
      <c r="B21" s="17">
        <v>393764205</v>
      </c>
      <c r="C21" s="17">
        <v>124730000</v>
      </c>
      <c r="D21" s="17">
        <f t="shared" si="0"/>
        <v>124730000</v>
      </c>
      <c r="E21" s="49">
        <f>VLOOKUP($A21,'Data shares'!$C:$FA,128)*100</f>
        <v>3.9800000000000004</v>
      </c>
      <c r="F21" s="49">
        <f>VLOOKUP($A21,'Data shares'!$C:$FA,129)</f>
        <v>3060000</v>
      </c>
      <c r="G21" s="17"/>
    </row>
    <row r="22" spans="1:7" x14ac:dyDescent="0.25">
      <c r="A22" s="101" t="s">
        <v>209</v>
      </c>
      <c r="B22" s="17">
        <v>27768950</v>
      </c>
      <c r="C22" s="17">
        <v>5371100</v>
      </c>
      <c r="D22" s="17">
        <f t="shared" si="0"/>
        <v>5371100</v>
      </c>
      <c r="E22" s="49">
        <f>VLOOKUP($A22,'Data shares'!$C:$FA,128)*100</f>
        <v>2.44</v>
      </c>
      <c r="F22" s="49">
        <f>VLOOKUP($A22,'Data shares'!$C:$FA,129)</f>
        <v>73325</v>
      </c>
      <c r="G22" s="17"/>
    </row>
    <row r="23" spans="1:7" x14ac:dyDescent="0.25">
      <c r="A23" s="101" t="s">
        <v>501</v>
      </c>
      <c r="B23" s="17">
        <v>155792872</v>
      </c>
      <c r="C23" s="17">
        <v>50166406</v>
      </c>
      <c r="D23" s="17">
        <f t="shared" si="0"/>
        <v>50166406</v>
      </c>
      <c r="E23" s="49">
        <f>VLOOKUP($A23,'Data shares'!$C:$FA,128)*100</f>
        <v>4.4400000000000004</v>
      </c>
      <c r="F23" s="49">
        <f>VLOOKUP($A23,'Data shares'!$C:$FA,129)</f>
        <v>1110000</v>
      </c>
      <c r="G23" s="17"/>
    </row>
    <row r="24" spans="1:7" x14ac:dyDescent="0.25">
      <c r="A24" s="101" t="s">
        <v>276</v>
      </c>
      <c r="B24" s="17">
        <v>678857930</v>
      </c>
      <c r="C24" s="17">
        <v>84677374</v>
      </c>
      <c r="D24" s="17">
        <f t="shared" si="0"/>
        <v>84677374</v>
      </c>
      <c r="E24" s="49">
        <f>VLOOKUP($A24,'Data shares'!$C:$FA,128)*100</f>
        <v>3.55</v>
      </c>
      <c r="F24" s="49">
        <f>VLOOKUP($A24,'Data shares'!$C:$FA,129)</f>
        <v>2542200</v>
      </c>
      <c r="G24" s="17"/>
    </row>
    <row r="25" spans="1:7" x14ac:dyDescent="0.25">
      <c r="A25" s="101" t="s">
        <v>210</v>
      </c>
      <c r="B25" s="17">
        <v>14114257</v>
      </c>
      <c r="C25" s="17">
        <v>11000000</v>
      </c>
      <c r="D25" s="17">
        <f t="shared" si="0"/>
        <v>11000000</v>
      </c>
      <c r="E25" s="49">
        <f>VLOOKUP($A25,'Data shares'!$C:$FA,128)*100</f>
        <v>2.44</v>
      </c>
      <c r="F25" s="49">
        <f>VLOOKUP($A25,'Data shares'!$C:$FA,129)</f>
        <v>73325</v>
      </c>
      <c r="G25" s="17"/>
    </row>
    <row r="26" spans="1:7" x14ac:dyDescent="0.25">
      <c r="A26" s="101" t="s">
        <v>267</v>
      </c>
      <c r="B26" s="17">
        <v>229794455</v>
      </c>
      <c r="C26" s="17">
        <v>133289800</v>
      </c>
      <c r="D26" s="17">
        <f t="shared" si="0"/>
        <v>133289800</v>
      </c>
      <c r="E26" s="49">
        <f>VLOOKUP($A26,'Data shares'!$C:$FA,128)*100</f>
        <v>4.6899999999999995</v>
      </c>
      <c r="F26" s="49">
        <f>VLOOKUP($A26,'Data shares'!$C:$FA,129)</f>
        <v>8910000</v>
      </c>
      <c r="G26" s="17"/>
    </row>
    <row r="27" spans="1:7" x14ac:dyDescent="0.25">
      <c r="A27" s="101" t="s">
        <v>533</v>
      </c>
      <c r="B27" s="17">
        <v>61337685</v>
      </c>
      <c r="C27" s="17">
        <v>24741600</v>
      </c>
      <c r="D27" s="17">
        <f t="shared" si="0"/>
        <v>24741600</v>
      </c>
      <c r="E27" s="49">
        <f>VLOOKUP($A27,'Data shares'!$C:$FA,128)*100</f>
        <v>4.12</v>
      </c>
      <c r="F27" s="49">
        <f>VLOOKUP($A27,'Data shares'!$C:$FA,129)</f>
        <v>348750</v>
      </c>
      <c r="G27" s="17"/>
    </row>
    <row r="28" spans="1:7" x14ac:dyDescent="0.25">
      <c r="A28" s="101" t="s">
        <v>502</v>
      </c>
      <c r="B28" s="17">
        <v>5165920</v>
      </c>
      <c r="C28" s="17">
        <v>1179400</v>
      </c>
      <c r="D28" s="17">
        <f t="shared" si="0"/>
        <v>1179400</v>
      </c>
      <c r="E28" s="49">
        <f>VLOOKUP($A28,'Data shares'!$C:$FA,128)*100</f>
        <v>3.3000000000000003</v>
      </c>
      <c r="F28" s="49">
        <f>VLOOKUP($A28,'Data shares'!$C:$FA,129)</f>
        <v>74250</v>
      </c>
      <c r="G28" s="17"/>
    </row>
    <row r="29" spans="1:7" x14ac:dyDescent="0.25">
      <c r="A29" s="101" t="s">
        <v>474</v>
      </c>
      <c r="B29" s="17">
        <v>7339737</v>
      </c>
      <c r="C29" s="17">
        <v>979625</v>
      </c>
      <c r="D29" s="17">
        <f t="shared" si="0"/>
        <v>979625</v>
      </c>
      <c r="E29" s="49">
        <f>VLOOKUP($A29,'Data shares'!$C:$FA,128)*100</f>
        <v>6.97</v>
      </c>
      <c r="F29" s="49">
        <f>VLOOKUP($A29,'Data shares'!$C:$FA,129)</f>
        <v>301600</v>
      </c>
      <c r="G29" s="17"/>
    </row>
    <row r="30" spans="1:7" x14ac:dyDescent="0.25">
      <c r="A30" s="101" t="s">
        <v>158</v>
      </c>
      <c r="B30" s="17">
        <v>17078428</v>
      </c>
      <c r="C30" s="17">
        <v>3648750</v>
      </c>
      <c r="D30" s="17">
        <f t="shared" si="0"/>
        <v>3648750</v>
      </c>
      <c r="E30" s="49">
        <f>VLOOKUP($A30,'Data shares'!$C:$FA,128)*100</f>
        <v>2.69</v>
      </c>
      <c r="F30" s="49">
        <f>VLOOKUP($A30,'Data shares'!$C:$FA,129)</f>
        <v>1729800</v>
      </c>
      <c r="G30" s="17"/>
    </row>
    <row r="31" spans="1:7" x14ac:dyDescent="0.25">
      <c r="A31" s="101" t="s">
        <v>268</v>
      </c>
      <c r="B31" s="17">
        <v>948263976</v>
      </c>
      <c r="C31" s="17">
        <v>170042400</v>
      </c>
      <c r="D31" s="17">
        <f t="shared" si="0"/>
        <v>170042400</v>
      </c>
      <c r="E31" s="49">
        <f>VLOOKUP($A31,'Data shares'!$C:$FA,128)*100</f>
        <v>4.95</v>
      </c>
      <c r="F31" s="49">
        <f>VLOOKUP($A31,'Data shares'!$C:$FA,129)</f>
        <v>4836000</v>
      </c>
      <c r="G31" s="17"/>
    </row>
    <row r="32" spans="1:7" x14ac:dyDescent="0.25">
      <c r="A32" s="101" t="s">
        <v>557</v>
      </c>
      <c r="B32" s="17">
        <v>51441633</v>
      </c>
      <c r="C32" s="17">
        <v>26329600</v>
      </c>
      <c r="D32" s="17">
        <f t="shared" si="0"/>
        <v>26329600</v>
      </c>
      <c r="E32" s="49">
        <f>VLOOKUP($A32,'Data shares'!$C:$FA,128)*100</f>
        <v>9.06</v>
      </c>
      <c r="F32" s="49">
        <f>VLOOKUP($A32,'Data shares'!$C:$FA,129)</f>
        <v>180000</v>
      </c>
      <c r="G32" s="17"/>
    </row>
    <row r="33" spans="1:7" x14ac:dyDescent="0.25">
      <c r="A33" s="101" t="s">
        <v>549</v>
      </c>
      <c r="B33" s="17">
        <v>319287188</v>
      </c>
      <c r="C33" s="17">
        <v>149780000</v>
      </c>
      <c r="D33" s="17">
        <f t="shared" si="0"/>
        <v>149780000</v>
      </c>
      <c r="E33" s="49">
        <f>VLOOKUP($A33,'Data shares'!$C:$FA,128)*100</f>
        <v>7.76</v>
      </c>
      <c r="F33" s="49">
        <f>VLOOKUP($A33,'Data shares'!$C:$FA,129)</f>
        <v>441644025</v>
      </c>
      <c r="G33" s="17"/>
    </row>
    <row r="34" spans="1:7" x14ac:dyDescent="0.25">
      <c r="A34" s="101" t="s">
        <v>536</v>
      </c>
      <c r="B34" s="17">
        <v>57585215</v>
      </c>
      <c r="C34" s="17">
        <v>5314000</v>
      </c>
      <c r="D34" s="17">
        <f t="shared" si="0"/>
        <v>5314000</v>
      </c>
      <c r="E34" s="49">
        <f>VLOOKUP($A34,'Data shares'!$C:$FA,128)*100</f>
        <v>9.73</v>
      </c>
      <c r="F34" s="49">
        <f>VLOOKUP($A34,'Data shares'!$C:$FA,129)</f>
        <v>1743200</v>
      </c>
      <c r="G34" s="17"/>
    </row>
    <row r="35" spans="1:7" x14ac:dyDescent="0.25">
      <c r="A35" s="101" t="s">
        <v>270</v>
      </c>
      <c r="B35" s="17">
        <v>1178038</v>
      </c>
      <c r="C35" s="17">
        <v>100890</v>
      </c>
      <c r="D35" s="17">
        <f t="shared" si="0"/>
        <v>100890</v>
      </c>
      <c r="E35" s="49">
        <f>VLOOKUP($A35,'Data shares'!$C:$FA,128)*100</f>
        <v>5.01</v>
      </c>
      <c r="F35" s="49">
        <f>VLOOKUP($A35,'Data shares'!$C:$FA,129)</f>
        <v>9855</v>
      </c>
      <c r="G35" s="17"/>
    </row>
    <row r="36" spans="1:7" x14ac:dyDescent="0.25">
      <c r="A36" s="101" t="s">
        <v>258</v>
      </c>
      <c r="B36" s="17">
        <v>13335005</v>
      </c>
      <c r="C36" s="17">
        <v>5970600</v>
      </c>
      <c r="D36" s="17">
        <f t="shared" si="0"/>
        <v>5970600</v>
      </c>
      <c r="E36" s="49">
        <f>VLOOKUP($A36,'Data shares'!$C:$FA,128)*100</f>
        <v>1.0900000000000001</v>
      </c>
      <c r="F36" s="49">
        <f>VLOOKUP($A36,'Data shares'!$C:$FA,129)</f>
        <v>66400</v>
      </c>
      <c r="G36" s="17"/>
    </row>
    <row r="37" spans="1:7" x14ac:dyDescent="0.25">
      <c r="A37" s="101" t="s">
        <v>301</v>
      </c>
      <c r="B37" s="17">
        <v>14428803</v>
      </c>
      <c r="C37" s="17">
        <v>2171400</v>
      </c>
      <c r="D37" s="17">
        <f t="shared" si="0"/>
        <v>2171400</v>
      </c>
      <c r="E37" s="49">
        <f>VLOOKUP($A37,'Data shares'!$C:$FA,128)*100</f>
        <v>1.23</v>
      </c>
      <c r="F37" s="49">
        <f>VLOOKUP($A37,'Data shares'!$C:$FA,129)</f>
        <v>109200</v>
      </c>
      <c r="G37" s="17"/>
    </row>
    <row r="38" spans="1:7" x14ac:dyDescent="0.25">
      <c r="A38" s="101" t="s">
        <v>283</v>
      </c>
      <c r="B38" s="17">
        <v>747713393</v>
      </c>
      <c r="C38" s="17">
        <v>158166000</v>
      </c>
      <c r="D38" s="17">
        <f t="shared" si="0"/>
        <v>158166000</v>
      </c>
      <c r="E38" s="49">
        <f>VLOOKUP($A38,'Data shares'!$C:$FA,128)*100</f>
        <v>3.36</v>
      </c>
      <c r="F38" s="49">
        <f>VLOOKUP($A38,'Data shares'!$C:$FA,129)</f>
        <v>2916000</v>
      </c>
      <c r="G38" s="17"/>
    </row>
    <row r="39" spans="1:7" x14ac:dyDescent="0.25">
      <c r="A39" s="101" t="s">
        <v>281</v>
      </c>
      <c r="B39" s="17">
        <v>648405756</v>
      </c>
      <c r="C39" s="17">
        <v>61815500</v>
      </c>
      <c r="D39" s="17">
        <f t="shared" si="0"/>
        <v>61815500</v>
      </c>
      <c r="E39" s="49">
        <f>VLOOKUP($A39,'Data shares'!$C:$FA,128)*100</f>
        <v>6.84</v>
      </c>
      <c r="F39" s="49">
        <f>VLOOKUP($A39,'Data shares'!$C:$FA,129)</f>
        <v>8096500</v>
      </c>
      <c r="G39" s="17"/>
    </row>
    <row r="40" spans="1:7" x14ac:dyDescent="0.25">
      <c r="A40" s="101" t="s">
        <v>198</v>
      </c>
      <c r="B40" s="17">
        <v>79546680</v>
      </c>
      <c r="C40" s="17">
        <v>13283750</v>
      </c>
      <c r="D40" s="17">
        <f t="shared" si="0"/>
        <v>13283750</v>
      </c>
      <c r="E40" s="49">
        <f>VLOOKUP($A40,'Data shares'!$C:$FA,128)*100</f>
        <v>3.56</v>
      </c>
      <c r="F40" s="49">
        <f>VLOOKUP($A40,'Data shares'!$C:$FA,129)</f>
        <v>485000</v>
      </c>
      <c r="G40" s="17"/>
    </row>
    <row r="41" spans="1:7" x14ac:dyDescent="0.25">
      <c r="A41" s="101" t="s">
        <v>299</v>
      </c>
      <c r="B41" s="17">
        <v>44634693</v>
      </c>
      <c r="C41" s="17">
        <v>3805500</v>
      </c>
      <c r="D41" s="17">
        <f t="shared" si="0"/>
        <v>3805500</v>
      </c>
      <c r="E41" s="49">
        <f>VLOOKUP($A41,'Data shares'!$C:$FA,128)*100</f>
        <v>2.79</v>
      </c>
      <c r="F41" s="49">
        <f>VLOOKUP($A41,'Data shares'!$C:$FA,129)</f>
        <v>117375</v>
      </c>
      <c r="G41" s="17"/>
    </row>
    <row r="42" spans="1:7" x14ac:dyDescent="0.25">
      <c r="A42" s="101" t="s">
        <v>273</v>
      </c>
      <c r="B42" s="17">
        <v>232357926</v>
      </c>
      <c r="C42" s="17">
        <v>67053000</v>
      </c>
      <c r="D42" s="17">
        <f t="shared" si="0"/>
        <v>67053000</v>
      </c>
      <c r="E42" s="49">
        <f>VLOOKUP($A42,'Data shares'!$C:$FA,128)*100</f>
        <v>7.9</v>
      </c>
      <c r="F42" s="49">
        <f>VLOOKUP($A42,'Data shares'!$C:$FA,129)</f>
        <v>4365400</v>
      </c>
      <c r="G42" s="17"/>
    </row>
    <row r="43" spans="1:7" x14ac:dyDescent="0.25">
      <c r="A43" s="101" t="s">
        <v>207</v>
      </c>
      <c r="B43" s="17">
        <v>124016568</v>
      </c>
      <c r="C43" s="17">
        <v>57530550</v>
      </c>
      <c r="D43" s="17">
        <f t="shared" si="0"/>
        <v>57530550</v>
      </c>
      <c r="E43" s="49">
        <f>VLOOKUP($A43,'Data shares'!$C:$FA,128)*100</f>
        <v>3.29</v>
      </c>
      <c r="F43" s="49">
        <f>VLOOKUP($A43,'Data shares'!$C:$FA,129)</f>
        <v>1461900</v>
      </c>
      <c r="G43" s="17"/>
    </row>
    <row r="44" spans="1:7" x14ac:dyDescent="0.25">
      <c r="A44" s="101" t="s">
        <v>191</v>
      </c>
      <c r="B44" s="17">
        <v>92946457</v>
      </c>
      <c r="C44" s="17">
        <v>36478000</v>
      </c>
      <c r="D44" s="17">
        <f t="shared" si="0"/>
        <v>36478000</v>
      </c>
      <c r="E44" s="49">
        <f>VLOOKUP($A44,'Data shares'!$C:$FA,128)*100</f>
        <v>3.92</v>
      </c>
      <c r="F44" s="49">
        <f>VLOOKUP($A44,'Data shares'!$C:$FA,129)</f>
        <v>1185000</v>
      </c>
      <c r="G44" s="17"/>
    </row>
    <row r="45" spans="1:7" x14ac:dyDescent="0.25">
      <c r="A45" s="101" t="s">
        <v>288</v>
      </c>
      <c r="B45" s="17">
        <v>218440087</v>
      </c>
      <c r="C45" s="17">
        <v>44080400</v>
      </c>
      <c r="D45" s="17">
        <f t="shared" si="0"/>
        <v>44080400</v>
      </c>
      <c r="E45" s="49">
        <f>VLOOKUP($A45,'Data shares'!$C:$FA,128)*100</f>
        <v>1.8499999999999999</v>
      </c>
      <c r="F45" s="49">
        <f>VLOOKUP($A45,'Data shares'!$C:$FA,129)</f>
        <v>198800</v>
      </c>
      <c r="G45" s="17"/>
    </row>
    <row r="46" spans="1:7" x14ac:dyDescent="0.25">
      <c r="A46" s="101" t="s">
        <v>275</v>
      </c>
      <c r="B46" s="17">
        <v>591377974</v>
      </c>
      <c r="C46" s="17">
        <v>493488000</v>
      </c>
      <c r="D46" s="17">
        <f t="shared" si="0"/>
        <v>493488000</v>
      </c>
      <c r="E46" s="49">
        <f>VLOOKUP($A46,'Data shares'!$C:$FA,128)*100</f>
        <v>5.1499999999999995</v>
      </c>
      <c r="F46" s="49">
        <f>VLOOKUP($A46,'Data shares'!$C:$FA,129)</f>
        <v>12184000</v>
      </c>
      <c r="G46" s="17"/>
    </row>
    <row r="47" spans="1:7" x14ac:dyDescent="0.25">
      <c r="A47" s="101" t="s">
        <v>277</v>
      </c>
      <c r="B47" s="17">
        <v>10116165</v>
      </c>
      <c r="C47" s="17">
        <v>7378910</v>
      </c>
      <c r="D47" s="17">
        <f t="shared" si="0"/>
        <v>7378910</v>
      </c>
      <c r="E47" s="49">
        <f>VLOOKUP($A47,'Data shares'!$C:$FA,128)*100</f>
        <v>1.4200000000000002</v>
      </c>
      <c r="F47" s="49">
        <f>VLOOKUP($A47,'Data shares'!$C:$FA,129)</f>
        <v>65250</v>
      </c>
      <c r="G47" s="17"/>
    </row>
    <row r="48" spans="1:7" x14ac:dyDescent="0.25">
      <c r="A48" s="101" t="s">
        <v>196</v>
      </c>
      <c r="B48" s="17">
        <v>134484114</v>
      </c>
      <c r="C48" s="17">
        <v>73278000</v>
      </c>
      <c r="D48" s="17">
        <f t="shared" si="0"/>
        <v>73278000</v>
      </c>
      <c r="E48" s="49">
        <f>VLOOKUP($A48,'Data shares'!$C:$FA,128)*100</f>
        <v>3.0700000000000003</v>
      </c>
      <c r="F48" s="49">
        <f>VLOOKUP($A48,'Data shares'!$C:$FA,129)</f>
        <v>7998750</v>
      </c>
      <c r="G48" s="17"/>
    </row>
    <row r="49" spans="1:7" x14ac:dyDescent="0.25">
      <c r="A49" s="101" t="s">
        <v>287</v>
      </c>
      <c r="B49" s="17">
        <v>40005132</v>
      </c>
      <c r="C49" s="17">
        <v>6264400</v>
      </c>
      <c r="D49" s="17">
        <f t="shared" si="0"/>
        <v>6264400</v>
      </c>
      <c r="E49" s="49">
        <f>VLOOKUP($A49,'Data shares'!$C:$FA,128)*100</f>
        <v>1.53</v>
      </c>
      <c r="F49" s="49">
        <f>VLOOKUP($A49,'Data shares'!$C:$FA,129)</f>
        <v>39600</v>
      </c>
      <c r="G49" s="17"/>
    </row>
    <row r="50" spans="1:7" x14ac:dyDescent="0.25">
      <c r="A50" s="101" t="s">
        <v>553</v>
      </c>
      <c r="B50" s="17">
        <v>10595418</v>
      </c>
      <c r="C50" s="17">
        <v>250250</v>
      </c>
      <c r="D50" s="17">
        <f t="shared" si="0"/>
        <v>250250</v>
      </c>
      <c r="E50" s="49">
        <f>VLOOKUP($A50,'Data shares'!$C:$FA,128)*100</f>
        <v>4.3900000000000006</v>
      </c>
      <c r="F50" s="49">
        <f>VLOOKUP($A50,'Data shares'!$C:$FA,129)</f>
        <v>106000</v>
      </c>
      <c r="G50" s="17"/>
    </row>
    <row r="51" spans="1:7" x14ac:dyDescent="0.25">
      <c r="A51" s="101" t="s">
        <v>519</v>
      </c>
      <c r="B51" s="17">
        <v>9516271</v>
      </c>
      <c r="C51" s="17">
        <v>1000800</v>
      </c>
      <c r="D51" s="17">
        <f t="shared" si="0"/>
        <v>1000800</v>
      </c>
      <c r="E51" s="49">
        <f>VLOOKUP($A51,'Data shares'!$C:$FA,128)*100</f>
        <v>2.76</v>
      </c>
      <c r="F51" s="49">
        <f>VLOOKUP($A51,'Data shares'!$C:$FA,129)</f>
        <v>37375</v>
      </c>
      <c r="G51" s="17"/>
    </row>
    <row r="52" spans="1:7" x14ac:dyDescent="0.25">
      <c r="A52" s="101" t="s">
        <v>550</v>
      </c>
      <c r="B52" s="17">
        <v>137684181</v>
      </c>
      <c r="C52" s="17">
        <v>42696000</v>
      </c>
      <c r="D52" s="17">
        <f t="shared" si="0"/>
        <v>42696000</v>
      </c>
      <c r="E52" s="49">
        <f>VLOOKUP($A52,'Data shares'!$C:$FA,128)*100</f>
        <v>3.6700000000000004</v>
      </c>
      <c r="F52" s="49">
        <f>VLOOKUP($A52,'Data shares'!$C:$FA,129)</f>
        <v>1943500</v>
      </c>
      <c r="G52" s="17"/>
    </row>
    <row r="53" spans="1:7" x14ac:dyDescent="0.25">
      <c r="A53" s="101" t="s">
        <v>284</v>
      </c>
      <c r="B53" s="17">
        <v>2702190</v>
      </c>
      <c r="C53" s="17">
        <v>250575</v>
      </c>
      <c r="D53" s="17">
        <f t="shared" si="0"/>
        <v>250575</v>
      </c>
      <c r="E53" s="49">
        <f>VLOOKUP($A53,'Data shares'!$C:$FA,128)*100</f>
        <v>0.75</v>
      </c>
      <c r="F53" s="49">
        <f>VLOOKUP($A53,'Data shares'!$C:$FA,129)</f>
        <v>1650</v>
      </c>
      <c r="G53" s="17"/>
    </row>
    <row r="54" spans="1:7" x14ac:dyDescent="0.25">
      <c r="A54" s="101" t="s">
        <v>488</v>
      </c>
      <c r="B54" s="17">
        <v>5499709</v>
      </c>
      <c r="C54" s="17">
        <v>1097600</v>
      </c>
      <c r="D54" s="17">
        <f t="shared" si="0"/>
        <v>1097600</v>
      </c>
      <c r="E54" s="49">
        <f>VLOOKUP($A54,'Data shares'!$C:$FA,128)*100</f>
        <v>4.8500000000000005</v>
      </c>
      <c r="F54" s="49">
        <f>VLOOKUP($A54,'Data shares'!$C:$FA,129)</f>
        <v>117450</v>
      </c>
      <c r="G54" s="17"/>
    </row>
    <row r="55" spans="1:7" x14ac:dyDescent="0.25">
      <c r="A55" s="101" t="s">
        <v>523</v>
      </c>
      <c r="B55" s="17">
        <v>118085392</v>
      </c>
      <c r="C55" s="17">
        <v>6549400</v>
      </c>
      <c r="D55" s="17">
        <f t="shared" si="0"/>
        <v>6549400</v>
      </c>
      <c r="E55" s="49">
        <f>VLOOKUP($A55,'Data shares'!$C:$FA,128)*100</f>
        <v>5.66</v>
      </c>
      <c r="F55" s="49">
        <f>VLOOKUP($A55,'Data shares'!$C:$FA,129)</f>
        <v>2764800</v>
      </c>
      <c r="G55" s="17"/>
    </row>
    <row r="56" spans="1:7" x14ac:dyDescent="0.25">
      <c r="A56" s="101" t="s">
        <v>485</v>
      </c>
      <c r="B56" s="17">
        <v>6917069</v>
      </c>
      <c r="C56" s="17">
        <v>762075</v>
      </c>
      <c r="D56" s="17">
        <f t="shared" si="0"/>
        <v>762075</v>
      </c>
      <c r="E56" s="49">
        <f>VLOOKUP($A56,'Data shares'!$C:$FA,128)*100</f>
        <v>1.34</v>
      </c>
      <c r="F56" s="49">
        <f>VLOOKUP($A56,'Data shares'!$C:$FA,129)</f>
        <v>109125</v>
      </c>
      <c r="G56" s="17"/>
    </row>
    <row r="57" spans="1:7" x14ac:dyDescent="0.25">
      <c r="A57" s="101" t="s">
        <v>178</v>
      </c>
      <c r="B57" s="17">
        <v>16125398</v>
      </c>
      <c r="C57" s="17">
        <v>1552600</v>
      </c>
      <c r="D57" s="17">
        <f t="shared" si="0"/>
        <v>1552600</v>
      </c>
      <c r="E57" s="49">
        <f>VLOOKUP($A57,'Data shares'!$C:$FA,128)*100</f>
        <v>1.5599999999999998</v>
      </c>
      <c r="F57" s="49">
        <f>VLOOKUP($A57,'Data shares'!$C:$FA,129)</f>
        <v>1257750</v>
      </c>
      <c r="G57" s="17"/>
    </row>
    <row r="58" spans="1:7" x14ac:dyDescent="0.25">
      <c r="A58" s="101" t="s">
        <v>240</v>
      </c>
      <c r="B58" s="17">
        <v>727896180</v>
      </c>
      <c r="C58" s="17">
        <v>46526100</v>
      </c>
      <c r="D58" s="17">
        <f t="shared" si="0"/>
        <v>46526100</v>
      </c>
      <c r="E58" s="49">
        <f>VLOOKUP($A58,'Data shares'!$C:$FA,128)*100</f>
        <v>33.72</v>
      </c>
      <c r="F58" s="49">
        <f>VLOOKUP($A58,'Data shares'!$C:$FA,129)</f>
        <v>20136000</v>
      </c>
      <c r="G58" s="17"/>
    </row>
    <row r="59" spans="1:7" x14ac:dyDescent="0.25">
      <c r="A59" s="101" t="s">
        <v>202</v>
      </c>
      <c r="B59" s="17">
        <v>55081874</v>
      </c>
      <c r="C59" s="17">
        <v>10856000</v>
      </c>
      <c r="D59" s="17">
        <f t="shared" si="0"/>
        <v>10856000</v>
      </c>
      <c r="E59" s="49">
        <f>VLOOKUP($A59,'Data shares'!$C:$FA,128)*100</f>
        <v>9.1399999999999988</v>
      </c>
      <c r="F59" s="49">
        <f>VLOOKUP($A59,'Data shares'!$C:$FA,129)</f>
        <v>2178750</v>
      </c>
      <c r="G59" s="17"/>
    </row>
    <row r="60" spans="1:7" x14ac:dyDescent="0.25">
      <c r="A60" s="101" t="s">
        <v>245</v>
      </c>
      <c r="B60" s="17">
        <v>15273675</v>
      </c>
      <c r="C60" s="17">
        <v>5077125</v>
      </c>
      <c r="D60" s="17">
        <f t="shared" si="0"/>
        <v>5077125</v>
      </c>
      <c r="E60" s="49">
        <f>VLOOKUP($A60,'Data shares'!$C:$FA,128)*100</f>
        <v>3.01</v>
      </c>
      <c r="F60" s="49">
        <f>VLOOKUP($A60,'Data shares'!$C:$FA,129)</f>
        <v>571250</v>
      </c>
      <c r="G60" s="17"/>
    </row>
    <row r="61" spans="1:7" x14ac:dyDescent="0.25">
      <c r="A61" s="101" t="s">
        <v>173</v>
      </c>
      <c r="B61" s="17">
        <v>541823383</v>
      </c>
      <c r="C61" s="17">
        <v>95378400</v>
      </c>
      <c r="D61" s="17">
        <f t="shared" si="0"/>
        <v>95378400</v>
      </c>
      <c r="E61" s="49">
        <f>VLOOKUP($A61,'Data shares'!$C:$FA,128)*100</f>
        <v>1.7999999999999998</v>
      </c>
      <c r="F61" s="49">
        <f>VLOOKUP($A61,'Data shares'!$C:$FA,129)</f>
        <v>1386250</v>
      </c>
      <c r="G61" s="17"/>
    </row>
    <row r="62" spans="1:7" x14ac:dyDescent="0.25">
      <c r="A62" s="101" t="s">
        <v>234</v>
      </c>
      <c r="B62" s="17">
        <v>1606294231</v>
      </c>
      <c r="C62" s="17">
        <v>1302000000</v>
      </c>
      <c r="D62" s="17">
        <f t="shared" si="0"/>
        <v>1302000000</v>
      </c>
      <c r="E62" s="49">
        <f>VLOOKUP($A62,'Data shares'!$C:$FA,128)*100</f>
        <v>7.76</v>
      </c>
      <c r="F62" s="49">
        <f>VLOOKUP($A62,'Data shares'!$C:$FA,129)</f>
        <v>441644025</v>
      </c>
      <c r="G62" s="17"/>
    </row>
    <row r="63" spans="1:7" x14ac:dyDescent="0.25">
      <c r="A63" s="101" t="s">
        <v>235</v>
      </c>
      <c r="B63" s="17">
        <v>789260827</v>
      </c>
      <c r="C63" s="17">
        <v>462303900</v>
      </c>
      <c r="D63" s="17">
        <f t="shared" si="0"/>
        <v>462303900</v>
      </c>
      <c r="E63" s="49">
        <f>VLOOKUP($A63,'Data shares'!$C:$FA,128)*100</f>
        <v>6.29</v>
      </c>
      <c r="F63" s="49">
        <f>VLOOKUP($A63,'Data shares'!$C:$FA,129)</f>
        <v>23790375</v>
      </c>
      <c r="G63" s="17"/>
    </row>
    <row r="64" spans="1:7" x14ac:dyDescent="0.25">
      <c r="A64" s="101" t="s">
        <v>482</v>
      </c>
      <c r="B64" s="17">
        <v>44785930</v>
      </c>
      <c r="C64" s="17">
        <v>4025925</v>
      </c>
      <c r="D64" s="17">
        <f t="shared" si="0"/>
        <v>4025925</v>
      </c>
      <c r="E64" s="49">
        <f>VLOOKUP($A64,'Data shares'!$C:$FA,128)*100</f>
        <v>5.93</v>
      </c>
      <c r="F64" s="49">
        <f>VLOOKUP($A64,'Data shares'!$C:$FA,129)</f>
        <v>524200</v>
      </c>
      <c r="G64" s="17"/>
    </row>
    <row r="65" spans="1:7" x14ac:dyDescent="0.25">
      <c r="A65" s="101" t="s">
        <v>475</v>
      </c>
      <c r="B65" s="17">
        <v>13287700</v>
      </c>
      <c r="C65" s="17">
        <v>3968400</v>
      </c>
      <c r="D65" s="17">
        <f t="shared" si="0"/>
        <v>3968400</v>
      </c>
      <c r="E65" s="49">
        <f>VLOOKUP($A65,'Data shares'!$C:$FA,128)*100</f>
        <v>1.8900000000000001</v>
      </c>
      <c r="F65" s="49">
        <f>VLOOKUP($A65,'Data shares'!$C:$FA,129)</f>
        <v>44700</v>
      </c>
      <c r="G65" s="17"/>
    </row>
    <row r="66" spans="1:7" x14ac:dyDescent="0.25">
      <c r="A66" s="101" t="s">
        <v>306</v>
      </c>
      <c r="B66" s="17">
        <v>292716179</v>
      </c>
      <c r="C66" s="17">
        <v>57797600</v>
      </c>
      <c r="D66" s="17">
        <f t="shared" si="0"/>
        <v>57797600</v>
      </c>
      <c r="E66" s="49">
        <f>VLOOKUP($A66,'Data shares'!$C:$FA,128)*100</f>
        <v>7.95</v>
      </c>
      <c r="F66" s="49">
        <f>VLOOKUP($A66,'Data shares'!$C:$FA,129)</f>
        <v>9354000</v>
      </c>
      <c r="G66" s="17"/>
    </row>
    <row r="67" spans="1:7" x14ac:dyDescent="0.25">
      <c r="A67" s="101" t="s">
        <v>262</v>
      </c>
      <c r="B67" s="17">
        <v>21376133</v>
      </c>
      <c r="C67" s="17">
        <v>5958375</v>
      </c>
      <c r="D67" s="17">
        <f t="shared" si="0"/>
        <v>5958375</v>
      </c>
      <c r="E67" s="49">
        <f>VLOOKUP($A67,'Data shares'!$C:$FA,128)*100</f>
        <v>4.45</v>
      </c>
      <c r="F67" s="49">
        <f>VLOOKUP($A67,'Data shares'!$C:$FA,129)</f>
        <v>130350</v>
      </c>
      <c r="G67" s="17"/>
    </row>
    <row r="68" spans="1:7" x14ac:dyDescent="0.25">
      <c r="A68" s="101" t="s">
        <v>174</v>
      </c>
      <c r="B68" s="17">
        <v>26775498</v>
      </c>
      <c r="C68" s="17">
        <v>3494750</v>
      </c>
      <c r="D68" s="17">
        <f t="shared" si="0"/>
        <v>3494750</v>
      </c>
      <c r="E68" s="49">
        <f>VLOOKUP($A68,'Data shares'!$C:$FA,128)*100</f>
        <v>3.19</v>
      </c>
      <c r="F68" s="49">
        <f>VLOOKUP($A68,'Data shares'!$C:$FA,129)</f>
        <v>90000</v>
      </c>
      <c r="G68" s="17"/>
    </row>
    <row r="69" spans="1:7" x14ac:dyDescent="0.25">
      <c r="A69" s="101" t="s">
        <v>286</v>
      </c>
      <c r="B69" s="17">
        <v>29168705</v>
      </c>
      <c r="C69" s="17">
        <v>6373125</v>
      </c>
      <c r="D69" s="17">
        <f t="shared" si="0"/>
        <v>6373125</v>
      </c>
      <c r="E69" s="49">
        <f>VLOOKUP($A69,'Data shares'!$C:$FA,128)*100</f>
        <v>1.53</v>
      </c>
      <c r="F69" s="49">
        <f>VLOOKUP($A69,'Data shares'!$C:$FA,129)</f>
        <v>39600</v>
      </c>
      <c r="G69" s="17"/>
    </row>
    <row r="70" spans="1:7" x14ac:dyDescent="0.25">
      <c r="A70" s="101" t="s">
        <v>297</v>
      </c>
      <c r="B70" s="17">
        <v>83636848</v>
      </c>
      <c r="C70" s="17">
        <v>13455750</v>
      </c>
      <c r="D70" s="17">
        <f t="shared" si="0"/>
        <v>13455750</v>
      </c>
      <c r="E70" s="49">
        <f>VLOOKUP($A70,'Data shares'!$C:$FA,128)*100</f>
        <v>1.82</v>
      </c>
      <c r="F70" s="49">
        <f>VLOOKUP($A70,'Data shares'!$C:$FA,129)</f>
        <v>184100</v>
      </c>
      <c r="G70" s="17"/>
    </row>
    <row r="71" spans="1:7" x14ac:dyDescent="0.25">
      <c r="A71" s="101" t="s">
        <v>302</v>
      </c>
      <c r="B71" s="17">
        <v>23058222</v>
      </c>
      <c r="C71" s="17">
        <v>3980500</v>
      </c>
      <c r="D71" s="17">
        <f t="shared" ref="D71:D134" si="1">C71</f>
        <v>3980500</v>
      </c>
      <c r="E71" s="49">
        <f>VLOOKUP($A71,'Data shares'!$C:$FA,128)*100</f>
        <v>1.52</v>
      </c>
      <c r="F71" s="49">
        <f>VLOOKUP($A71,'Data shares'!$C:$FA,129)</f>
        <v>28700</v>
      </c>
      <c r="G71" s="17"/>
    </row>
    <row r="72" spans="1:7" x14ac:dyDescent="0.25">
      <c r="A72" s="101" t="s">
        <v>307</v>
      </c>
      <c r="B72" s="17">
        <v>184439886</v>
      </c>
      <c r="C72" s="17">
        <v>122460000</v>
      </c>
      <c r="D72" s="17">
        <f t="shared" si="1"/>
        <v>122460000</v>
      </c>
      <c r="E72" s="49">
        <f>VLOOKUP($A72,'Data shares'!$C:$FA,128)*100</f>
        <v>8.49</v>
      </c>
      <c r="F72" s="49">
        <f>VLOOKUP($A72,'Data shares'!$C:$FA,129)</f>
        <v>72400800</v>
      </c>
      <c r="G72" s="17"/>
    </row>
    <row r="73" spans="1:7" x14ac:dyDescent="0.25">
      <c r="A73" s="101" t="s">
        <v>177</v>
      </c>
      <c r="B73" s="17">
        <v>52956314</v>
      </c>
      <c r="C73" s="17">
        <v>7784625</v>
      </c>
      <c r="D73" s="17">
        <f t="shared" si="1"/>
        <v>7784625</v>
      </c>
      <c r="E73" s="49">
        <f>VLOOKUP($A73,'Data shares'!$C:$FA,128)*100</f>
        <v>1.5599999999999998</v>
      </c>
      <c r="F73" s="49">
        <f>VLOOKUP($A73,'Data shares'!$C:$FA,129)</f>
        <v>1257750</v>
      </c>
      <c r="G73" s="17"/>
    </row>
    <row r="74" spans="1:7" x14ac:dyDescent="0.25">
      <c r="A74" s="101" t="s">
        <v>545</v>
      </c>
      <c r="B74" s="17">
        <v>23498849</v>
      </c>
      <c r="C74" s="17">
        <v>15745600</v>
      </c>
      <c r="D74" s="17">
        <f t="shared" si="1"/>
        <v>15745600</v>
      </c>
      <c r="E74" s="49">
        <f>VLOOKUP($A74,'Data shares'!$C:$FA,128)*100</f>
        <v>1.5599999999999998</v>
      </c>
      <c r="F74" s="49">
        <f>VLOOKUP($A74,'Data shares'!$C:$FA,129)</f>
        <v>1257750</v>
      </c>
      <c r="G74" s="17"/>
    </row>
    <row r="75" spans="1:7" x14ac:dyDescent="0.25">
      <c r="A75" s="101" t="s">
        <v>185</v>
      </c>
      <c r="B75" s="17">
        <v>238123793</v>
      </c>
      <c r="C75" s="17">
        <v>59926000</v>
      </c>
      <c r="D75" s="17">
        <f t="shared" si="1"/>
        <v>59926000</v>
      </c>
      <c r="E75" s="49">
        <f>VLOOKUP($A75,'Data shares'!$C:$FA,128)*100</f>
        <v>6.6000000000000005</v>
      </c>
      <c r="F75" s="49">
        <f>VLOOKUP($A75,'Data shares'!$C:$FA,129)</f>
        <v>6837150</v>
      </c>
      <c r="G75" s="17"/>
    </row>
    <row r="76" spans="1:7" x14ac:dyDescent="0.25">
      <c r="A76" s="101" t="s">
        <v>219</v>
      </c>
      <c r="B76" s="17">
        <v>75317259</v>
      </c>
      <c r="C76" s="17">
        <v>12188500</v>
      </c>
      <c r="D76" s="17">
        <f t="shared" si="1"/>
        <v>12188500</v>
      </c>
      <c r="E76" s="49">
        <f>VLOOKUP($A76,'Data shares'!$C:$FA,128)*100</f>
        <v>0.57000000000000006</v>
      </c>
      <c r="F76" s="49">
        <f>VLOOKUP($A76,'Data shares'!$C:$FA,129)</f>
        <v>54500</v>
      </c>
      <c r="G76" s="17"/>
    </row>
    <row r="77" spans="1:7" x14ac:dyDescent="0.25">
      <c r="A77" s="101" t="s">
        <v>534</v>
      </c>
      <c r="B77" s="17">
        <v>70381221</v>
      </c>
      <c r="C77" s="17">
        <v>3354100</v>
      </c>
      <c r="D77" s="17">
        <f t="shared" si="1"/>
        <v>3354100</v>
      </c>
      <c r="E77" s="49">
        <f>VLOOKUP($A77,'Data shares'!$C:$FA,128)*100</f>
        <v>0.57000000000000006</v>
      </c>
      <c r="F77" s="49">
        <f>VLOOKUP($A77,'Data shares'!$C:$FA,129)</f>
        <v>54500</v>
      </c>
      <c r="G77" s="17"/>
    </row>
    <row r="78" spans="1:7" x14ac:dyDescent="0.25">
      <c r="A78" s="101" t="s">
        <v>516</v>
      </c>
      <c r="B78" s="17">
        <v>27254349</v>
      </c>
      <c r="C78" s="17">
        <v>1133550</v>
      </c>
      <c r="D78" s="17">
        <f t="shared" si="1"/>
        <v>1133550</v>
      </c>
      <c r="E78" s="49">
        <f>VLOOKUP($A78,'Data shares'!$C:$FA,128)*100</f>
        <v>4.2299999999999995</v>
      </c>
      <c r="F78" s="49">
        <f>VLOOKUP($A78,'Data shares'!$C:$FA,129)</f>
        <v>3573375</v>
      </c>
      <c r="G78" s="17"/>
    </row>
    <row r="79" spans="1:7" x14ac:dyDescent="0.25">
      <c r="A79" s="101" t="s">
        <v>271</v>
      </c>
      <c r="B79" s="17">
        <v>26746179</v>
      </c>
      <c r="C79" s="17">
        <v>5445825</v>
      </c>
      <c r="D79" s="17">
        <f t="shared" si="1"/>
        <v>5445825</v>
      </c>
      <c r="E79" s="49">
        <f>VLOOKUP($A79,'Data shares'!$C:$FA,128)*100</f>
        <v>1.29</v>
      </c>
      <c r="F79" s="49">
        <f>VLOOKUP($A79,'Data shares'!$C:$FA,129)</f>
        <v>343650</v>
      </c>
      <c r="G79" s="17"/>
    </row>
    <row r="80" spans="1:7" x14ac:dyDescent="0.25">
      <c r="A80" s="101" t="s">
        <v>264</v>
      </c>
      <c r="B80" s="17">
        <v>15844192</v>
      </c>
      <c r="C80" s="17">
        <v>2354125</v>
      </c>
      <c r="D80" s="17">
        <f t="shared" si="1"/>
        <v>2354125</v>
      </c>
      <c r="E80" s="49">
        <f>VLOOKUP($A80,'Data shares'!$C:$FA,128)*100</f>
        <v>1.34</v>
      </c>
      <c r="F80" s="49">
        <f>VLOOKUP($A80,'Data shares'!$C:$FA,129)</f>
        <v>109125</v>
      </c>
      <c r="G80" s="17"/>
    </row>
    <row r="81" spans="1:7" x14ac:dyDescent="0.25">
      <c r="A81" s="101" t="s">
        <v>208</v>
      </c>
      <c r="B81" s="17">
        <v>24296838</v>
      </c>
      <c r="C81" s="17">
        <v>5125750</v>
      </c>
      <c r="D81" s="17">
        <f t="shared" si="1"/>
        <v>5125750</v>
      </c>
      <c r="E81" s="49">
        <f>VLOOKUP($A81,'Data shares'!$C:$FA,128)*100</f>
        <v>1.81</v>
      </c>
      <c r="F81" s="49">
        <f>VLOOKUP($A81,'Data shares'!$C:$FA,129)</f>
        <v>195000</v>
      </c>
      <c r="G81" s="17"/>
    </row>
    <row r="82" spans="1:7" x14ac:dyDescent="0.25">
      <c r="A82" s="101" t="s">
        <v>552</v>
      </c>
      <c r="B82" s="17">
        <v>23447901</v>
      </c>
      <c r="C82" s="17">
        <v>3785600</v>
      </c>
      <c r="D82" s="17">
        <f t="shared" si="1"/>
        <v>3785600</v>
      </c>
      <c r="E82" s="49">
        <f>VLOOKUP($A82,'Data shares'!$C:$FA,128)*100</f>
        <v>2.29</v>
      </c>
      <c r="F82" s="49">
        <f>VLOOKUP($A82,'Data shares'!$C:$FA,129)</f>
        <v>208000</v>
      </c>
      <c r="G82" s="17"/>
    </row>
    <row r="83" spans="1:7" x14ac:dyDescent="0.25">
      <c r="A83" s="101" t="s">
        <v>204</v>
      </c>
      <c r="B83" s="17">
        <v>115362060</v>
      </c>
      <c r="C83" s="17">
        <v>19043750</v>
      </c>
      <c r="D83" s="17">
        <f t="shared" si="1"/>
        <v>19043750</v>
      </c>
      <c r="E83" s="49">
        <f>VLOOKUP($A83,'Data shares'!$C:$FA,128)*100</f>
        <v>6.4600000000000009</v>
      </c>
      <c r="F83" s="49">
        <f>VLOOKUP($A83,'Data shares'!$C:$FA,129)</f>
        <v>1820000</v>
      </c>
      <c r="G83" s="17"/>
    </row>
    <row r="84" spans="1:7" x14ac:dyDescent="0.25">
      <c r="A84" s="101" t="s">
        <v>528</v>
      </c>
      <c r="B84" s="17">
        <v>23485458</v>
      </c>
      <c r="C84" s="17">
        <v>4272800</v>
      </c>
      <c r="D84" s="17">
        <f t="shared" si="1"/>
        <v>4272800</v>
      </c>
      <c r="E84" s="49">
        <f>VLOOKUP($A84,'Data shares'!$C:$FA,128)*100</f>
        <v>2.35</v>
      </c>
      <c r="F84" s="49">
        <f>VLOOKUP($A84,'Data shares'!$C:$FA,129)</f>
        <v>112000</v>
      </c>
      <c r="G84" s="17"/>
    </row>
    <row r="85" spans="1:7" x14ac:dyDescent="0.25">
      <c r="A85" s="101" t="s">
        <v>551</v>
      </c>
      <c r="B85" s="17">
        <v>39593365</v>
      </c>
      <c r="C85" s="17">
        <v>12215000</v>
      </c>
      <c r="D85" s="17">
        <f t="shared" si="1"/>
        <v>12215000</v>
      </c>
      <c r="E85" s="49">
        <f>VLOOKUP($A85,'Data shares'!$C:$FA,128)*100</f>
        <v>1.4200000000000002</v>
      </c>
      <c r="F85" s="49">
        <f>VLOOKUP($A85,'Data shares'!$C:$FA,129)</f>
        <v>65250</v>
      </c>
      <c r="G85" s="17"/>
    </row>
    <row r="86" spans="1:7" x14ac:dyDescent="0.25">
      <c r="A86" s="101" t="s">
        <v>292</v>
      </c>
      <c r="B86" s="17">
        <v>355933451</v>
      </c>
      <c r="C86" s="17">
        <v>204117000</v>
      </c>
      <c r="D86" s="17">
        <f t="shared" si="1"/>
        <v>204117000</v>
      </c>
      <c r="E86" s="49">
        <f>VLOOKUP($A86,'Data shares'!$C:$FA,128)*100</f>
        <v>12.479999999999999</v>
      </c>
      <c r="F86" s="49">
        <f>VLOOKUP($A86,'Data shares'!$C:$FA,129)</f>
        <v>6028000</v>
      </c>
      <c r="G86" s="17"/>
    </row>
    <row r="87" spans="1:7" x14ac:dyDescent="0.25">
      <c r="A87" s="101" t="s">
        <v>239</v>
      </c>
      <c r="B87" s="17">
        <v>117569462</v>
      </c>
      <c r="C87" s="17">
        <v>39785400</v>
      </c>
      <c r="D87" s="17">
        <f t="shared" si="1"/>
        <v>39785400</v>
      </c>
      <c r="E87" s="49">
        <f>VLOOKUP($A87,'Data shares'!$C:$FA,128)*100</f>
        <v>3.64</v>
      </c>
      <c r="F87" s="49">
        <f>VLOOKUP($A87,'Data shares'!$C:$FA,129)</f>
        <v>1881600</v>
      </c>
      <c r="G87" s="17"/>
    </row>
    <row r="88" spans="1:7" x14ac:dyDescent="0.25">
      <c r="A88" s="101" t="s">
        <v>513</v>
      </c>
      <c r="B88" s="17">
        <v>16619018</v>
      </c>
      <c r="C88" s="17">
        <v>3155425</v>
      </c>
      <c r="D88" s="17">
        <f t="shared" si="1"/>
        <v>3155425</v>
      </c>
      <c r="E88" s="49">
        <f>VLOOKUP($A88,'Data shares'!$C:$FA,128)*100</f>
        <v>5.7</v>
      </c>
      <c r="F88" s="49">
        <f>VLOOKUP($A88,'Data shares'!$C:$FA,129)</f>
        <v>512700</v>
      </c>
      <c r="G88" s="17"/>
    </row>
    <row r="89" spans="1:7" x14ac:dyDescent="0.25">
      <c r="A89" s="101" t="s">
        <v>224</v>
      </c>
      <c r="B89" s="17">
        <v>669931623</v>
      </c>
      <c r="C89" s="17">
        <v>82663350</v>
      </c>
      <c r="D89" s="17">
        <f t="shared" si="1"/>
        <v>82663350</v>
      </c>
      <c r="E89" s="49">
        <f>VLOOKUP($A89,'Data shares'!$C:$FA,128)*100</f>
        <v>2.9899999999999998</v>
      </c>
      <c r="F89" s="49">
        <f>VLOOKUP($A89,'Data shares'!$C:$FA,129)</f>
        <v>5342700</v>
      </c>
      <c r="G89" s="17"/>
    </row>
    <row r="90" spans="1:7" x14ac:dyDescent="0.25">
      <c r="A90" s="101" t="s">
        <v>232</v>
      </c>
      <c r="B90" s="17">
        <v>1110506052</v>
      </c>
      <c r="C90" s="17">
        <v>174065375</v>
      </c>
      <c r="D90" s="17">
        <f t="shared" si="1"/>
        <v>174065375</v>
      </c>
      <c r="E90" s="49">
        <f>VLOOKUP($A90,'Data shares'!$C:$FA,128)*100</f>
        <v>4.21</v>
      </c>
      <c r="F90" s="49">
        <f>VLOOKUP($A90,'Data shares'!$C:$FA,129)</f>
        <v>4187400</v>
      </c>
      <c r="G90" s="17"/>
    </row>
    <row r="91" spans="1:7" x14ac:dyDescent="0.25">
      <c r="A91" s="101" t="s">
        <v>223</v>
      </c>
      <c r="B91" s="17">
        <v>362202362</v>
      </c>
      <c r="C91" s="17">
        <v>34249800</v>
      </c>
      <c r="D91" s="17">
        <f t="shared" si="1"/>
        <v>34249800</v>
      </c>
      <c r="E91" s="49">
        <f>VLOOKUP($A91,'Data shares'!$C:$FA,128)*100</f>
        <v>2.76</v>
      </c>
      <c r="F91" s="49">
        <f>VLOOKUP($A91,'Data shares'!$C:$FA,129)</f>
        <v>497000</v>
      </c>
      <c r="G91" s="17"/>
    </row>
    <row r="92" spans="1:7" x14ac:dyDescent="0.25">
      <c r="A92" s="101" t="s">
        <v>218</v>
      </c>
      <c r="B92" s="17">
        <v>23110810</v>
      </c>
      <c r="C92" s="17">
        <v>6940375</v>
      </c>
      <c r="D92" s="17">
        <f t="shared" si="1"/>
        <v>6940375</v>
      </c>
      <c r="E92" s="49">
        <f>VLOOKUP($A92,'Data shares'!$C:$FA,128)*100</f>
        <v>2.42</v>
      </c>
      <c r="F92" s="49">
        <f>VLOOKUP($A92,'Data shares'!$C:$FA,129)</f>
        <v>248600</v>
      </c>
      <c r="G92" s="17"/>
    </row>
    <row r="93" spans="1:7" x14ac:dyDescent="0.25">
      <c r="A93" s="101" t="s">
        <v>236</v>
      </c>
      <c r="B93" s="17">
        <v>77000080</v>
      </c>
      <c r="C93" s="17">
        <v>25785375</v>
      </c>
      <c r="D93" s="17">
        <f t="shared" si="1"/>
        <v>25785375</v>
      </c>
      <c r="E93" s="49">
        <f>VLOOKUP($A93,'Data shares'!$C:$FA,128)*100</f>
        <v>6.43</v>
      </c>
      <c r="F93" s="49">
        <f>VLOOKUP($A93,'Data shares'!$C:$FA,129)</f>
        <v>1259500</v>
      </c>
      <c r="G93" s="17"/>
    </row>
    <row r="94" spans="1:7" x14ac:dyDescent="0.25">
      <c r="A94" s="101" t="s">
        <v>246</v>
      </c>
      <c r="B94" s="17">
        <v>293666614</v>
      </c>
      <c r="C94" s="17">
        <v>30730800</v>
      </c>
      <c r="D94" s="17">
        <f t="shared" si="1"/>
        <v>30730800</v>
      </c>
      <c r="E94" s="49">
        <f>VLOOKUP($A94,'Data shares'!$C:$FA,128)*100</f>
        <v>4.1399999999999997</v>
      </c>
      <c r="F94" s="49">
        <f>VLOOKUP($A94,'Data shares'!$C:$FA,129)</f>
        <v>1317600</v>
      </c>
      <c r="G94" s="17"/>
    </row>
    <row r="95" spans="1:7" x14ac:dyDescent="0.25">
      <c r="A95" s="101" t="s">
        <v>532</v>
      </c>
      <c r="B95" s="17">
        <v>32892110</v>
      </c>
      <c r="C95" s="17">
        <v>6216000</v>
      </c>
      <c r="D95" s="17">
        <f t="shared" si="1"/>
        <v>6216000</v>
      </c>
      <c r="E95" s="49">
        <f>VLOOKUP($A95,'Data shares'!$C:$FA,128)*100</f>
        <v>2.46</v>
      </c>
      <c r="F95" s="49">
        <f>VLOOKUP($A95,'Data shares'!$C:$FA,129)</f>
        <v>409700</v>
      </c>
      <c r="G95" s="17"/>
    </row>
    <row r="96" spans="1:7" x14ac:dyDescent="0.25">
      <c r="A96" s="101" t="s">
        <v>242</v>
      </c>
      <c r="B96" s="17">
        <v>2461627231</v>
      </c>
      <c r="C96" s="17">
        <v>322832000</v>
      </c>
      <c r="D96" s="17">
        <f t="shared" si="1"/>
        <v>322832000</v>
      </c>
      <c r="E96" s="49">
        <f>VLOOKUP($A96,'Data shares'!$C:$FA,128)*100</f>
        <v>4.83</v>
      </c>
      <c r="F96" s="49">
        <f>VLOOKUP($A96,'Data shares'!$C:$FA,129)</f>
        <v>5723200</v>
      </c>
      <c r="G96" s="17"/>
    </row>
    <row r="97" spans="1:7" x14ac:dyDescent="0.25">
      <c r="A97" s="101" t="s">
        <v>165</v>
      </c>
      <c r="B97" s="17">
        <v>20321931</v>
      </c>
      <c r="C97" s="17">
        <v>3675125</v>
      </c>
      <c r="D97" s="17">
        <f t="shared" si="1"/>
        <v>3675125</v>
      </c>
      <c r="E97" s="49">
        <f>VLOOKUP($A97,'Data shares'!$C:$FA,128)*100</f>
        <v>1.4500000000000002</v>
      </c>
      <c r="F97" s="49">
        <f>VLOOKUP($A97,'Data shares'!$C:$FA,129)</f>
        <v>34000</v>
      </c>
      <c r="G97" s="17"/>
    </row>
    <row r="98" spans="1:7" x14ac:dyDescent="0.25">
      <c r="A98" s="101" t="s">
        <v>503</v>
      </c>
      <c r="B98" s="17">
        <v>17788750</v>
      </c>
      <c r="C98" s="17">
        <v>925925</v>
      </c>
      <c r="D98" s="17">
        <f t="shared" si="1"/>
        <v>925925</v>
      </c>
      <c r="E98" s="49">
        <f>VLOOKUP($A98,'Data shares'!$C:$FA,128)*100</f>
        <v>3.11</v>
      </c>
      <c r="F98" s="49">
        <f>VLOOKUP($A98,'Data shares'!$C:$FA,129)</f>
        <v>276250</v>
      </c>
      <c r="G98" s="17"/>
    </row>
    <row r="99" spans="1:7" x14ac:dyDescent="0.25">
      <c r="A99" s="101" t="s">
        <v>192</v>
      </c>
      <c r="B99" s="17">
        <v>1737683</v>
      </c>
      <c r="C99" s="17">
        <v>235900</v>
      </c>
      <c r="D99" s="17">
        <f t="shared" si="1"/>
        <v>235900</v>
      </c>
      <c r="E99" s="49">
        <f>VLOOKUP($A99,'Data shares'!$C:$FA,128)*100</f>
        <v>2.16</v>
      </c>
      <c r="F99" s="49">
        <f>VLOOKUP($A99,'Data shares'!$C:$FA,129)</f>
        <v>5175</v>
      </c>
      <c r="G99" s="17"/>
    </row>
    <row r="100" spans="1:7" x14ac:dyDescent="0.25">
      <c r="A100" s="101" t="s">
        <v>531</v>
      </c>
      <c r="B100" s="17">
        <v>33015657</v>
      </c>
      <c r="C100" s="17">
        <v>9033700</v>
      </c>
      <c r="D100" s="17">
        <f t="shared" si="1"/>
        <v>9033700</v>
      </c>
      <c r="E100" s="49">
        <f>VLOOKUP($A100,'Data shares'!$C:$FA,128)*100</f>
        <v>7.02</v>
      </c>
      <c r="F100" s="49">
        <f>VLOOKUP($A100,'Data shares'!$C:$FA,129)</f>
        <v>888750</v>
      </c>
      <c r="G100" s="17"/>
    </row>
    <row r="101" spans="1:7" x14ac:dyDescent="0.25">
      <c r="A101" s="101" t="s">
        <v>494</v>
      </c>
      <c r="B101" s="17">
        <v>147873568</v>
      </c>
      <c r="C101" s="17">
        <v>20386400</v>
      </c>
      <c r="D101" s="17">
        <f t="shared" si="1"/>
        <v>20386400</v>
      </c>
      <c r="E101" s="49">
        <f>VLOOKUP($A101,'Data shares'!$C:$FA,128)*100</f>
        <v>5.66</v>
      </c>
      <c r="F101" s="49">
        <f>VLOOKUP($A101,'Data shares'!$C:$FA,129)</f>
        <v>2764800</v>
      </c>
      <c r="G101" s="17"/>
    </row>
    <row r="102" spans="1:7" x14ac:dyDescent="0.25">
      <c r="A102" s="101" t="s">
        <v>473</v>
      </c>
      <c r="B102" s="17">
        <v>162372116</v>
      </c>
      <c r="C102" s="17">
        <v>43206800</v>
      </c>
      <c r="D102" s="17">
        <f t="shared" si="1"/>
        <v>43206800</v>
      </c>
      <c r="E102" s="49">
        <f>VLOOKUP($A102,'Data shares'!$C:$FA,128)*100</f>
        <v>2.17</v>
      </c>
      <c r="F102" s="49">
        <f>VLOOKUP($A102,'Data shares'!$C:$FA,129)</f>
        <v>1825800</v>
      </c>
      <c r="G102" s="17"/>
    </row>
    <row r="103" spans="1:7" x14ac:dyDescent="0.25">
      <c r="A103" s="101" t="s">
        <v>225</v>
      </c>
      <c r="B103" s="17">
        <v>187118353</v>
      </c>
      <c r="C103" s="17">
        <v>49800300</v>
      </c>
      <c r="D103" s="17">
        <f t="shared" si="1"/>
        <v>49800300</v>
      </c>
      <c r="E103" s="49">
        <f>VLOOKUP($A103,'Data shares'!$C:$FA,128)*100</f>
        <v>1.48</v>
      </c>
      <c r="F103" s="49">
        <f>VLOOKUP($A103,'Data shares'!$C:$FA,129)</f>
        <v>366300</v>
      </c>
      <c r="G103" s="17"/>
    </row>
    <row r="104" spans="1:7" x14ac:dyDescent="0.25">
      <c r="A104" s="101" t="s">
        <v>504</v>
      </c>
      <c r="B104" s="17">
        <v>12641694</v>
      </c>
      <c r="C104" s="17">
        <v>6728400</v>
      </c>
      <c r="D104" s="17">
        <f t="shared" si="1"/>
        <v>6728400</v>
      </c>
      <c r="E104" s="49">
        <f>VLOOKUP($A104,'Data shares'!$C:$FA,128)*100</f>
        <v>1.53</v>
      </c>
      <c r="F104" s="49">
        <f>VLOOKUP($A104,'Data shares'!$C:$FA,129)</f>
        <v>39600</v>
      </c>
      <c r="G104" s="17"/>
    </row>
    <row r="105" spans="1:7" x14ac:dyDescent="0.25">
      <c r="A105" s="101" t="s">
        <v>537</v>
      </c>
      <c r="B105" s="17">
        <v>6343591</v>
      </c>
      <c r="C105" s="17">
        <v>1262250</v>
      </c>
      <c r="D105" s="17">
        <f t="shared" si="1"/>
        <v>1262250</v>
      </c>
      <c r="E105" s="49">
        <f>VLOOKUP($A105,'Data shares'!$C:$FA,128)*100</f>
        <v>6.65</v>
      </c>
      <c r="F105" s="49">
        <f>VLOOKUP($A105,'Data shares'!$C:$FA,129)</f>
        <v>731625</v>
      </c>
      <c r="G105" s="17"/>
    </row>
    <row r="106" spans="1:7" x14ac:dyDescent="0.25">
      <c r="A106" s="101" t="s">
        <v>256</v>
      </c>
      <c r="B106" s="17">
        <v>62880735</v>
      </c>
      <c r="C106" s="17">
        <v>20391250</v>
      </c>
      <c r="D106" s="17">
        <f t="shared" si="1"/>
        <v>20391250</v>
      </c>
      <c r="E106" s="49">
        <f>VLOOKUP($A106,'Data shares'!$C:$FA,128)*100</f>
        <v>5.7299999999999995</v>
      </c>
      <c r="F106" s="49">
        <f>VLOOKUP($A106,'Data shares'!$C:$FA,129)</f>
        <v>162400</v>
      </c>
      <c r="G106" s="17"/>
    </row>
    <row r="107" spans="1:7" x14ac:dyDescent="0.25">
      <c r="A107" s="101" t="s">
        <v>514</v>
      </c>
      <c r="B107" s="17">
        <v>179174844</v>
      </c>
      <c r="C107" s="17">
        <v>67477500</v>
      </c>
      <c r="D107" s="17">
        <f t="shared" si="1"/>
        <v>67477500</v>
      </c>
      <c r="E107" s="49">
        <f>VLOOKUP($A107,'Data shares'!$C:$FA,128)*100</f>
        <v>6.58</v>
      </c>
      <c r="F107" s="49">
        <f>VLOOKUP($A107,'Data shares'!$C:$FA,129)</f>
        <v>3378750</v>
      </c>
      <c r="G107" s="17"/>
    </row>
    <row r="108" spans="1:7" x14ac:dyDescent="0.25">
      <c r="A108" s="101" t="s">
        <v>272</v>
      </c>
      <c r="B108" s="17">
        <v>150000017</v>
      </c>
      <c r="C108" s="17">
        <v>35217000</v>
      </c>
      <c r="D108" s="17">
        <f t="shared" si="1"/>
        <v>35217000</v>
      </c>
      <c r="E108" s="49">
        <f>VLOOKUP($A108,'Data shares'!$C:$FA,128)*100</f>
        <v>2.0099999999999998</v>
      </c>
      <c r="F108" s="49">
        <f>VLOOKUP($A108,'Data shares'!$C:$FA,129)</f>
        <v>754200</v>
      </c>
      <c r="G108" s="17"/>
    </row>
    <row r="109" spans="1:7" x14ac:dyDescent="0.25">
      <c r="A109" s="101" t="s">
        <v>470</v>
      </c>
      <c r="B109" s="17">
        <v>6091932</v>
      </c>
      <c r="C109" s="17">
        <v>1893300</v>
      </c>
      <c r="D109" s="17">
        <f t="shared" si="1"/>
        <v>1893300</v>
      </c>
      <c r="E109" s="49">
        <f>VLOOKUP($A109,'Data shares'!$C:$FA,128)*100</f>
        <v>2.12</v>
      </c>
      <c r="F109" s="49">
        <f>VLOOKUP($A109,'Data shares'!$C:$FA,129)</f>
        <v>263625</v>
      </c>
      <c r="G109" s="17"/>
    </row>
    <row r="110" spans="1:7" x14ac:dyDescent="0.25">
      <c r="A110" s="101" t="s">
        <v>176</v>
      </c>
      <c r="B110" s="17">
        <v>12437219</v>
      </c>
      <c r="C110" s="17">
        <v>1155950</v>
      </c>
      <c r="D110" s="17">
        <f t="shared" si="1"/>
        <v>1155950</v>
      </c>
      <c r="E110" s="49">
        <f>VLOOKUP($A110,'Data shares'!$C:$FA,128)*100</f>
        <v>1.43</v>
      </c>
      <c r="F110" s="49">
        <f>VLOOKUP($A110,'Data shares'!$C:$FA,129)</f>
        <v>208000</v>
      </c>
      <c r="G110" s="17"/>
    </row>
    <row r="111" spans="1:7" x14ac:dyDescent="0.25">
      <c r="A111" s="101" t="s">
        <v>524</v>
      </c>
      <c r="B111" s="17">
        <v>16479425</v>
      </c>
      <c r="C111" s="17">
        <v>1670750</v>
      </c>
      <c r="D111" s="17">
        <f t="shared" si="1"/>
        <v>1670750</v>
      </c>
      <c r="E111" s="49">
        <f>VLOOKUP($A111,'Data shares'!$C:$FA,128)*100</f>
        <v>1.43</v>
      </c>
      <c r="F111" s="49">
        <f>VLOOKUP($A111,'Data shares'!$C:$FA,129)</f>
        <v>33150</v>
      </c>
      <c r="G111" s="17"/>
    </row>
    <row r="112" spans="1:7" x14ac:dyDescent="0.25">
      <c r="A112" s="101" t="s">
        <v>487</v>
      </c>
      <c r="B112" s="17">
        <v>16533935</v>
      </c>
      <c r="C112" s="17">
        <v>1807050</v>
      </c>
      <c r="D112" s="17">
        <f t="shared" si="1"/>
        <v>1807050</v>
      </c>
      <c r="E112" s="49">
        <f>VLOOKUP($A112,'Data shares'!$C:$FA,128)*100</f>
        <v>1.46</v>
      </c>
      <c r="F112" s="49">
        <f>VLOOKUP($A112,'Data shares'!$C:$FA,129)</f>
        <v>56925</v>
      </c>
      <c r="G112" s="17"/>
    </row>
    <row r="113" spans="1:7" x14ac:dyDescent="0.25">
      <c r="A113" s="101" t="s">
        <v>305</v>
      </c>
      <c r="B113" s="17">
        <v>46126252</v>
      </c>
      <c r="C113" s="17">
        <v>7513500</v>
      </c>
      <c r="D113" s="17">
        <f t="shared" si="1"/>
        <v>7513500</v>
      </c>
      <c r="E113" s="49">
        <f>VLOOKUP($A113,'Data shares'!$C:$FA,128)*100</f>
        <v>6.65</v>
      </c>
      <c r="F113" s="49">
        <f>VLOOKUP($A113,'Data shares'!$C:$FA,129)</f>
        <v>731625</v>
      </c>
      <c r="G113" s="17"/>
    </row>
    <row r="114" spans="1:7" x14ac:dyDescent="0.25">
      <c r="A114" s="101" t="s">
        <v>238</v>
      </c>
      <c r="B114" s="17">
        <v>19428657</v>
      </c>
      <c r="C114" s="17">
        <v>5637750</v>
      </c>
      <c r="D114" s="17">
        <f t="shared" si="1"/>
        <v>5637750</v>
      </c>
      <c r="E114" s="49">
        <f>VLOOKUP($A114,'Data shares'!$C:$FA,128)*100</f>
        <v>3.04</v>
      </c>
      <c r="F114" s="49">
        <f>VLOOKUP($A114,'Data shares'!$C:$FA,129)</f>
        <v>231900</v>
      </c>
      <c r="G114" s="17"/>
    </row>
    <row r="115" spans="1:7" x14ac:dyDescent="0.25">
      <c r="A115" s="101" t="s">
        <v>527</v>
      </c>
      <c r="B115" s="17">
        <v>7494363</v>
      </c>
      <c r="C115" s="17">
        <v>739375</v>
      </c>
      <c r="D115" s="17">
        <f t="shared" si="1"/>
        <v>739375</v>
      </c>
      <c r="E115" s="49">
        <f>VLOOKUP($A115,'Data shares'!$C:$FA,128)*100</f>
        <v>6.63</v>
      </c>
      <c r="F115" s="49">
        <f>VLOOKUP($A115,'Data shares'!$C:$FA,129)</f>
        <v>8615100</v>
      </c>
      <c r="G115" s="17"/>
    </row>
    <row r="116" spans="1:7" x14ac:dyDescent="0.25">
      <c r="A116" s="101" t="s">
        <v>489</v>
      </c>
      <c r="B116" s="17">
        <v>9087752</v>
      </c>
      <c r="C116" s="17">
        <v>1575750</v>
      </c>
      <c r="D116" s="17">
        <f t="shared" si="1"/>
        <v>1575750</v>
      </c>
      <c r="E116" s="49">
        <f>VLOOKUP($A116,'Data shares'!$C:$FA,128)*100</f>
        <v>4.3999999999999995</v>
      </c>
      <c r="F116" s="49">
        <f>VLOOKUP($A116,'Data shares'!$C:$FA,129)</f>
        <v>1923122</v>
      </c>
      <c r="G116" s="17"/>
    </row>
    <row r="117" spans="1:7" x14ac:dyDescent="0.25">
      <c r="A117" s="101" t="s">
        <v>484</v>
      </c>
      <c r="B117" s="17">
        <v>3300938</v>
      </c>
      <c r="C117" s="17">
        <v>190125</v>
      </c>
      <c r="D117" s="17">
        <f t="shared" si="1"/>
        <v>190125</v>
      </c>
      <c r="E117" s="49">
        <f>VLOOKUP($A117,'Data shares'!$C:$FA,128)*100</f>
        <v>7.9</v>
      </c>
      <c r="F117" s="49">
        <f>VLOOKUP($A117,'Data shares'!$C:$FA,129)</f>
        <v>4365400</v>
      </c>
      <c r="G117" s="17"/>
    </row>
    <row r="118" spans="1:7" x14ac:dyDescent="0.25">
      <c r="A118" s="101" t="s">
        <v>285</v>
      </c>
      <c r="B118" s="17">
        <v>17806068</v>
      </c>
      <c r="C118" s="17">
        <v>1857900</v>
      </c>
      <c r="D118" s="17">
        <f t="shared" si="1"/>
        <v>1857900</v>
      </c>
      <c r="E118" s="49">
        <f>VLOOKUP($A118,'Data shares'!$C:$FA,128)*100</f>
        <v>3.38</v>
      </c>
      <c r="F118" s="49">
        <f>VLOOKUP($A118,'Data shares'!$C:$FA,129)</f>
        <v>53500</v>
      </c>
      <c r="G118" s="17"/>
    </row>
    <row r="119" spans="1:7" x14ac:dyDescent="0.25">
      <c r="A119" s="101" t="s">
        <v>554</v>
      </c>
      <c r="B119" s="17">
        <v>18562709</v>
      </c>
      <c r="C119" s="17">
        <v>2173500</v>
      </c>
      <c r="D119" s="17">
        <f t="shared" si="1"/>
        <v>2173500</v>
      </c>
      <c r="E119" s="49">
        <f>VLOOKUP($A119,'Data shares'!$C:$FA,128)*100</f>
        <v>3.8699999999999997</v>
      </c>
      <c r="F119" s="49">
        <f>VLOOKUP($A119,'Data shares'!$C:$FA,129)</f>
        <v>1632728</v>
      </c>
      <c r="G119" s="17"/>
    </row>
    <row r="120" spans="1:7" x14ac:dyDescent="0.25">
      <c r="A120" s="101" t="s">
        <v>293</v>
      </c>
      <c r="B120" s="17">
        <v>339616396</v>
      </c>
      <c r="C120" s="17">
        <v>214528500</v>
      </c>
      <c r="D120" s="17">
        <f t="shared" si="1"/>
        <v>214528500</v>
      </c>
      <c r="E120" s="49">
        <f>VLOOKUP($A120,'Data shares'!$C:$FA,128)*100</f>
        <v>2.86</v>
      </c>
      <c r="F120" s="49">
        <f>VLOOKUP($A120,'Data shares'!$C:$FA,129)</f>
        <v>1634150</v>
      </c>
      <c r="G120" s="17"/>
    </row>
    <row r="121" spans="1:7" x14ac:dyDescent="0.25">
      <c r="A121" s="101" t="s">
        <v>282</v>
      </c>
      <c r="B121" s="17">
        <v>289139949</v>
      </c>
      <c r="C121" s="17">
        <v>230878500</v>
      </c>
      <c r="D121" s="17">
        <f t="shared" si="1"/>
        <v>230878500</v>
      </c>
      <c r="E121" s="49">
        <f>VLOOKUP($A121,'Data shares'!$C:$FA,128)*100</f>
        <v>4.75</v>
      </c>
      <c r="F121" s="49">
        <f>VLOOKUP($A121,'Data shares'!$C:$FA,129)</f>
        <v>7604600</v>
      </c>
      <c r="G121" s="17"/>
    </row>
    <row r="122" spans="1:7" x14ac:dyDescent="0.25">
      <c r="A122" s="101" t="s">
        <v>248</v>
      </c>
      <c r="B122" s="17">
        <v>60244101</v>
      </c>
      <c r="C122" s="17">
        <v>36578000</v>
      </c>
      <c r="D122" s="17">
        <f t="shared" si="1"/>
        <v>36578000</v>
      </c>
      <c r="E122" s="49">
        <f>VLOOKUP($A122,'Data shares'!$C:$FA,128)*100</f>
        <v>3.85</v>
      </c>
      <c r="F122" s="49">
        <f>VLOOKUP($A122,'Data shares'!$C:$FA,129)</f>
        <v>1186000</v>
      </c>
      <c r="G122" s="17"/>
    </row>
    <row r="123" spans="1:7" x14ac:dyDescent="0.25">
      <c r="A123" s="101" t="s">
        <v>189</v>
      </c>
      <c r="B123" s="17">
        <v>510707358</v>
      </c>
      <c r="C123" s="17">
        <v>94385350</v>
      </c>
      <c r="D123" s="17">
        <f t="shared" si="1"/>
        <v>94385350</v>
      </c>
      <c r="E123" s="49">
        <f>VLOOKUP($A123,'Data shares'!$C:$FA,128)*100</f>
        <v>6.2700000000000005</v>
      </c>
      <c r="F123" s="49">
        <f>VLOOKUP($A123,'Data shares'!$C:$FA,129)</f>
        <v>2182150</v>
      </c>
      <c r="G123" s="17"/>
    </row>
    <row r="124" spans="1:7" x14ac:dyDescent="0.25">
      <c r="A124" s="101" t="s">
        <v>213</v>
      </c>
      <c r="B124" s="17">
        <v>425164259</v>
      </c>
      <c r="C124" s="17">
        <v>85375600</v>
      </c>
      <c r="D124" s="17">
        <f t="shared" si="1"/>
        <v>85375600</v>
      </c>
      <c r="E124" s="49">
        <f>VLOOKUP($A124,'Data shares'!$C:$FA,128)*100</f>
        <v>4.3600000000000003</v>
      </c>
      <c r="F124" s="49">
        <f>VLOOKUP($A124,'Data shares'!$C:$FA,129)</f>
        <v>3603600</v>
      </c>
      <c r="G124" s="17"/>
    </row>
    <row r="125" spans="1:7" x14ac:dyDescent="0.25">
      <c r="A125" s="101" t="s">
        <v>295</v>
      </c>
      <c r="B125" s="17">
        <v>205769415</v>
      </c>
      <c r="C125" s="17">
        <v>21452100</v>
      </c>
      <c r="D125" s="17">
        <f t="shared" si="1"/>
        <v>21452100</v>
      </c>
      <c r="E125" s="49">
        <f>VLOOKUP($A125,'Data shares'!$C:$FA,128)*100</f>
        <v>6.54</v>
      </c>
      <c r="F125" s="49">
        <f>VLOOKUP($A125,'Data shares'!$C:$FA,129)</f>
        <v>1505700</v>
      </c>
      <c r="G125" s="17"/>
    </row>
    <row r="126" spans="1:7" x14ac:dyDescent="0.25">
      <c r="A126" s="101" t="s">
        <v>490</v>
      </c>
      <c r="B126" s="17">
        <v>52165566</v>
      </c>
      <c r="C126" s="17">
        <v>22212750</v>
      </c>
      <c r="D126" s="17">
        <f t="shared" si="1"/>
        <v>22212750</v>
      </c>
      <c r="E126" s="49">
        <f>VLOOKUP($A126,'Data shares'!$C:$FA,128)*100</f>
        <v>11.68</v>
      </c>
      <c r="F126" s="49">
        <f>VLOOKUP($A126,'Data shares'!$C:$FA,129)</f>
        <v>1812125</v>
      </c>
      <c r="G126" s="17"/>
    </row>
    <row r="127" spans="1:7" x14ac:dyDescent="0.25">
      <c r="A127" s="101" t="s">
        <v>260</v>
      </c>
      <c r="B127" s="17">
        <v>241729538</v>
      </c>
      <c r="C127" s="17">
        <v>65383500</v>
      </c>
      <c r="D127" s="17">
        <f t="shared" si="1"/>
        <v>65383500</v>
      </c>
      <c r="E127" s="49">
        <f>VLOOKUP($A127,'Data shares'!$C:$FA,128)*100</f>
        <v>4.12</v>
      </c>
      <c r="F127" s="49">
        <f>VLOOKUP($A127,'Data shares'!$C:$FA,129)</f>
        <v>6721950</v>
      </c>
      <c r="G127" s="17"/>
    </row>
    <row r="128" spans="1:7" x14ac:dyDescent="0.25">
      <c r="A128" s="101" t="s">
        <v>171</v>
      </c>
      <c r="B128" s="17">
        <v>56444627</v>
      </c>
      <c r="C128" s="17">
        <v>23336250</v>
      </c>
      <c r="D128" s="17">
        <f t="shared" si="1"/>
        <v>23336250</v>
      </c>
      <c r="E128" s="49">
        <f>VLOOKUP($A128,'Data shares'!$C:$FA,128)*100</f>
        <v>1.92</v>
      </c>
      <c r="F128" s="49">
        <f>VLOOKUP($A128,'Data shares'!$C:$FA,129)</f>
        <v>371800</v>
      </c>
      <c r="G128" s="17"/>
    </row>
    <row r="129" spans="1:7" x14ac:dyDescent="0.25">
      <c r="A129" s="101" t="s">
        <v>462</v>
      </c>
      <c r="B129" s="17">
        <v>88648462</v>
      </c>
      <c r="C129" s="17">
        <v>11150250</v>
      </c>
      <c r="D129" s="17">
        <f t="shared" si="1"/>
        <v>11150250</v>
      </c>
      <c r="E129" s="49">
        <f>VLOOKUP($A129,'Data shares'!$C:$FA,128)*100</f>
        <v>2.1399999999999997</v>
      </c>
      <c r="F129" s="49">
        <f>VLOOKUP($A129,'Data shares'!$C:$FA,129)</f>
        <v>108375</v>
      </c>
      <c r="G129" s="17"/>
    </row>
    <row r="130" spans="1:7" x14ac:dyDescent="0.25">
      <c r="A130" s="101" t="s">
        <v>274</v>
      </c>
      <c r="B130" s="17">
        <v>30511703</v>
      </c>
      <c r="C130" s="17">
        <v>3556000</v>
      </c>
      <c r="D130" s="17">
        <f t="shared" si="1"/>
        <v>3556000</v>
      </c>
      <c r="E130" s="49">
        <f>VLOOKUP($A130,'Data shares'!$C:$FA,128)*100</f>
        <v>0.89999999999999991</v>
      </c>
      <c r="F130" s="49">
        <f>VLOOKUP($A130,'Data shares'!$C:$FA,129)</f>
        <v>82000</v>
      </c>
      <c r="G130" s="17"/>
    </row>
    <row r="131" spans="1:7" x14ac:dyDescent="0.25">
      <c r="A131" s="101" t="s">
        <v>279</v>
      </c>
      <c r="B131" s="17">
        <v>119890099</v>
      </c>
      <c r="C131" s="17">
        <v>77232800</v>
      </c>
      <c r="D131" s="17">
        <f t="shared" si="1"/>
        <v>77232800</v>
      </c>
      <c r="E131" s="49">
        <f>VLOOKUP($A131,'Data shares'!$C:$FA,128)*100</f>
        <v>4.3900000000000006</v>
      </c>
      <c r="F131" s="49">
        <f>VLOOKUP($A131,'Data shares'!$C:$FA,129)</f>
        <v>3530600</v>
      </c>
      <c r="G131" s="17"/>
    </row>
    <row r="132" spans="1:7" x14ac:dyDescent="0.25">
      <c r="A132" s="101" t="s">
        <v>247</v>
      </c>
      <c r="B132" s="17">
        <v>180580821</v>
      </c>
      <c r="C132" s="17">
        <v>128041552</v>
      </c>
      <c r="D132" s="17">
        <f t="shared" si="1"/>
        <v>128041552</v>
      </c>
      <c r="E132" s="49">
        <f>VLOOKUP($A132,'Data shares'!$C:$FA,128)*100</f>
        <v>6.97</v>
      </c>
      <c r="F132" s="49">
        <f>VLOOKUP($A132,'Data shares'!$C:$FA,129)</f>
        <v>301600</v>
      </c>
      <c r="G132" s="17"/>
    </row>
    <row r="133" spans="1:7" x14ac:dyDescent="0.25">
      <c r="A133" s="101" t="s">
        <v>291</v>
      </c>
      <c r="B133" s="17">
        <v>120211514</v>
      </c>
      <c r="C133" s="17">
        <v>18359325</v>
      </c>
      <c r="D133" s="17">
        <f t="shared" si="1"/>
        <v>18359325</v>
      </c>
      <c r="E133" s="49">
        <f>VLOOKUP($A133,'Data shares'!$C:$FA,128)*100</f>
        <v>1.1299999999999999</v>
      </c>
      <c r="F133" s="49">
        <f>VLOOKUP($A133,'Data shares'!$C:$FA,129)</f>
        <v>140800</v>
      </c>
      <c r="G133" s="17"/>
    </row>
    <row r="134" spans="1:7" x14ac:dyDescent="0.25">
      <c r="A134" s="101" t="s">
        <v>269</v>
      </c>
      <c r="B134" s="17">
        <v>996134149</v>
      </c>
      <c r="C134" s="17">
        <v>204565900</v>
      </c>
      <c r="D134" s="17">
        <f t="shared" si="1"/>
        <v>204565900</v>
      </c>
      <c r="E134" s="49">
        <f>VLOOKUP($A134,'Data shares'!$C:$FA,128)*100</f>
        <v>2.1800000000000002</v>
      </c>
      <c r="F134" s="49">
        <f>VLOOKUP($A134,'Data shares'!$C:$FA,129)</f>
        <v>2016000</v>
      </c>
      <c r="G134" s="17"/>
    </row>
    <row r="135" spans="1:7" x14ac:dyDescent="0.25">
      <c r="A135" s="101" t="s">
        <v>217</v>
      </c>
      <c r="B135" s="17">
        <v>75218562</v>
      </c>
      <c r="C135" s="17">
        <v>11613000</v>
      </c>
      <c r="D135" s="17">
        <f t="shared" ref="D135:D161" si="2">C135</f>
        <v>11613000</v>
      </c>
      <c r="E135" s="49">
        <f>VLOOKUP($A135,'Data shares'!$C:$FA,128)*100</f>
        <v>3.91</v>
      </c>
      <c r="F135" s="49">
        <f>VLOOKUP($A135,'Data shares'!$C:$FA,129)</f>
        <v>362000</v>
      </c>
      <c r="G135" s="17"/>
    </row>
    <row r="136" spans="1:7" x14ac:dyDescent="0.25">
      <c r="A136" s="101" t="s">
        <v>495</v>
      </c>
      <c r="B136" s="17">
        <v>44974045</v>
      </c>
      <c r="C136" s="17">
        <v>4232500</v>
      </c>
      <c r="D136" s="17">
        <f t="shared" si="2"/>
        <v>4232500</v>
      </c>
      <c r="E136" s="49">
        <f>VLOOKUP($A136,'Data shares'!$C:$FA,128)*100</f>
        <v>1.95</v>
      </c>
      <c r="F136" s="49">
        <f>VLOOKUP($A136,'Data shares'!$C:$FA,129)</f>
        <v>378000</v>
      </c>
      <c r="G136" s="17"/>
    </row>
    <row r="137" spans="1:7" x14ac:dyDescent="0.25">
      <c r="A137" s="101" t="s">
        <v>250</v>
      </c>
      <c r="B137" s="17">
        <v>48318354</v>
      </c>
      <c r="C137" s="17">
        <v>18007250</v>
      </c>
      <c r="D137" s="17">
        <f t="shared" si="2"/>
        <v>18007250</v>
      </c>
      <c r="E137" s="49">
        <f>VLOOKUP($A137,'Data shares'!$C:$FA,128)*100</f>
        <v>1.53</v>
      </c>
      <c r="F137" s="49">
        <f>VLOOKUP($A137,'Data shares'!$C:$FA,129)</f>
        <v>167025</v>
      </c>
      <c r="G137" s="17"/>
    </row>
    <row r="138" spans="1:7" x14ac:dyDescent="0.25">
      <c r="A138" s="101" t="s">
        <v>278</v>
      </c>
      <c r="B138" s="17">
        <v>27187764</v>
      </c>
      <c r="C138" s="17">
        <v>3521550</v>
      </c>
      <c r="D138" s="17">
        <f t="shared" si="2"/>
        <v>3521550</v>
      </c>
      <c r="E138" s="49">
        <f>VLOOKUP($A138,'Data shares'!$C:$FA,128)*100</f>
        <v>1.4200000000000002</v>
      </c>
      <c r="F138" s="49">
        <f>VLOOKUP($A138,'Data shares'!$C:$FA,129)</f>
        <v>65250</v>
      </c>
      <c r="G138" s="17"/>
    </row>
    <row r="139" spans="1:7" x14ac:dyDescent="0.25">
      <c r="A139" s="101" t="s">
        <v>163</v>
      </c>
      <c r="B139" s="17">
        <v>24576009</v>
      </c>
      <c r="C139" s="17">
        <v>11979000</v>
      </c>
      <c r="D139" s="17">
        <f t="shared" si="2"/>
        <v>11979000</v>
      </c>
      <c r="E139" s="49">
        <f>VLOOKUP($A139,'Data shares'!$C:$FA,128)*100</f>
        <v>0.89999999999999991</v>
      </c>
      <c r="F139" s="49">
        <f>VLOOKUP($A139,'Data shares'!$C:$FA,129)</f>
        <v>12000</v>
      </c>
      <c r="G139" s="17"/>
    </row>
    <row r="140" spans="1:7" x14ac:dyDescent="0.25">
      <c r="A140" s="101" t="s">
        <v>289</v>
      </c>
      <c r="B140" s="17">
        <v>19704232</v>
      </c>
      <c r="C140" s="17">
        <v>15520500</v>
      </c>
      <c r="D140" s="17">
        <f t="shared" si="2"/>
        <v>15520500</v>
      </c>
      <c r="E140" s="49">
        <f>VLOOKUP($A140,'Data shares'!$C:$FA,128)*100</f>
        <v>1.8499999999999999</v>
      </c>
      <c r="F140" s="49">
        <f>VLOOKUP($A140,'Data shares'!$C:$FA,129)</f>
        <v>198800</v>
      </c>
      <c r="G140" s="17"/>
    </row>
    <row r="141" spans="1:7" x14ac:dyDescent="0.25">
      <c r="A141" s="101" t="s">
        <v>529</v>
      </c>
      <c r="B141" s="17">
        <v>10012679</v>
      </c>
      <c r="C141" s="17">
        <v>530550</v>
      </c>
      <c r="D141" s="17">
        <f t="shared" si="2"/>
        <v>530550</v>
      </c>
      <c r="E141" s="49">
        <f>VLOOKUP($A141,'Data shares'!$C:$FA,128)*100</f>
        <v>1.8399999999999999</v>
      </c>
      <c r="F141" s="49">
        <f>VLOOKUP($A141,'Data shares'!$C:$FA,129)</f>
        <v>58400</v>
      </c>
      <c r="G141" s="17"/>
    </row>
    <row r="142" spans="1:7" x14ac:dyDescent="0.25">
      <c r="A142" s="101" t="s">
        <v>265</v>
      </c>
      <c r="B142" s="17">
        <v>7180127</v>
      </c>
      <c r="C142" s="17">
        <v>429550</v>
      </c>
      <c r="D142" s="17">
        <f t="shared" si="2"/>
        <v>429550</v>
      </c>
      <c r="E142" s="49">
        <f>VLOOKUP($A142,'Data shares'!$C:$FA,128)*100</f>
        <v>2.0699999999999998</v>
      </c>
      <c r="F142" s="49">
        <f>VLOOKUP($A142,'Data shares'!$C:$FA,129)</f>
        <v>344000</v>
      </c>
      <c r="G142" s="17"/>
    </row>
    <row r="143" spans="1:7" x14ac:dyDescent="0.25">
      <c r="A143" s="101" t="s">
        <v>486</v>
      </c>
      <c r="B143" s="17">
        <v>32559242</v>
      </c>
      <c r="C143" s="17">
        <v>4156800</v>
      </c>
      <c r="D143" s="17">
        <f t="shared" si="2"/>
        <v>4156800</v>
      </c>
      <c r="E143" s="49">
        <f>VLOOKUP($A143,'Data shares'!$C:$FA,128)*100</f>
        <v>4.45</v>
      </c>
      <c r="F143" s="49">
        <f>VLOOKUP($A143,'Data shares'!$C:$FA,129)</f>
        <v>130350</v>
      </c>
      <c r="G143" s="17"/>
    </row>
    <row r="144" spans="1:7" x14ac:dyDescent="0.25">
      <c r="A144" s="101" t="s">
        <v>190</v>
      </c>
      <c r="B144" s="17">
        <v>256482590</v>
      </c>
      <c r="C144" s="17">
        <v>208761000</v>
      </c>
      <c r="D144" s="17">
        <f t="shared" si="2"/>
        <v>208761000</v>
      </c>
      <c r="E144" s="49">
        <f>VLOOKUP($A144,'Data shares'!$C:$FA,128)*100</f>
        <v>3.37</v>
      </c>
      <c r="F144" s="49">
        <f>VLOOKUP($A144,'Data shares'!$C:$FA,129)</f>
        <v>1811250</v>
      </c>
      <c r="G144" s="17"/>
    </row>
    <row r="145" spans="1:7" x14ac:dyDescent="0.25">
      <c r="A145" s="101" t="s">
        <v>303</v>
      </c>
      <c r="B145" s="17">
        <v>109653438</v>
      </c>
      <c r="C145" s="17">
        <v>37709100</v>
      </c>
      <c r="D145" s="17">
        <f t="shared" si="2"/>
        <v>37709100</v>
      </c>
      <c r="E145" s="49">
        <f>VLOOKUP($A145,'Data shares'!$C:$FA,128)*100</f>
        <v>2.27</v>
      </c>
      <c r="F145" s="49">
        <f>VLOOKUP($A145,'Data shares'!$C:$FA,129)</f>
        <v>772350</v>
      </c>
      <c r="G145" s="17"/>
    </row>
    <row r="146" spans="1:7" x14ac:dyDescent="0.25">
      <c r="A146" s="101" t="s">
        <v>255</v>
      </c>
      <c r="B146" s="17">
        <v>26359259</v>
      </c>
      <c r="C146" s="17">
        <v>6916100</v>
      </c>
      <c r="D146" s="17">
        <f t="shared" si="2"/>
        <v>6916100</v>
      </c>
      <c r="E146" s="49">
        <f>VLOOKUP($A146,'Data shares'!$C:$FA,128)*100</f>
        <v>3.6799999999999997</v>
      </c>
      <c r="F146" s="49">
        <f>VLOOKUP($A146,'Data shares'!$C:$FA,129)</f>
        <v>80550</v>
      </c>
      <c r="G146" s="17"/>
    </row>
    <row r="147" spans="1:7" x14ac:dyDescent="0.25">
      <c r="A147" s="101" t="s">
        <v>180</v>
      </c>
      <c r="B147" s="17">
        <v>372635498</v>
      </c>
      <c r="C147" s="17">
        <v>233426700</v>
      </c>
      <c r="D147" s="17">
        <f t="shared" si="2"/>
        <v>233426700</v>
      </c>
      <c r="E147" s="49">
        <f>VLOOKUP($A147,'Data shares'!$C:$FA,128)*100</f>
        <v>1.94</v>
      </c>
      <c r="F147" s="49">
        <f>VLOOKUP($A147,'Data shares'!$C:$FA,129)</f>
        <v>2445300</v>
      </c>
      <c r="G147" s="17"/>
    </row>
    <row r="148" spans="1:7" x14ac:dyDescent="0.25">
      <c r="A148" s="101" t="s">
        <v>179</v>
      </c>
      <c r="B148" s="17">
        <v>193321473</v>
      </c>
      <c r="C148" s="17">
        <v>47098800</v>
      </c>
      <c r="D148" s="17">
        <f t="shared" si="2"/>
        <v>47098800</v>
      </c>
      <c r="E148" s="49">
        <f>VLOOKUP($A148,'Data shares'!$C:$FA,128)*100</f>
        <v>6.3299999999999992</v>
      </c>
      <c r="F148" s="49">
        <f>VLOOKUP($A148,'Data shares'!$C:$FA,129)</f>
        <v>6253200</v>
      </c>
    </row>
    <row r="149" spans="1:7" x14ac:dyDescent="0.25">
      <c r="A149" s="101" t="s">
        <v>253</v>
      </c>
      <c r="B149" s="17">
        <v>109926618</v>
      </c>
      <c r="C149" s="17">
        <v>54285000</v>
      </c>
      <c r="D149" s="17">
        <f t="shared" si="2"/>
        <v>54285000</v>
      </c>
      <c r="E149" s="49">
        <f>VLOOKUP($A149,'Data shares'!$C:$FA,128)*100</f>
        <v>3.9699999999999998</v>
      </c>
      <c r="F149" s="49">
        <f>VLOOKUP($A149,'Data shares'!$C:$FA,129)</f>
        <v>732000</v>
      </c>
    </row>
    <row r="150" spans="1:7" x14ac:dyDescent="0.25">
      <c r="A150" s="101" t="s">
        <v>261</v>
      </c>
      <c r="B150" s="17">
        <v>611563</v>
      </c>
      <c r="C150" s="17">
        <v>120180</v>
      </c>
      <c r="D150" s="17">
        <f t="shared" si="2"/>
        <v>120180</v>
      </c>
      <c r="E150" s="49">
        <f>VLOOKUP($A150,'Data shares'!$C:$FA,128)*100</f>
        <v>1.46</v>
      </c>
      <c r="F150" s="49">
        <f>VLOOKUP($A150,'Data shares'!$C:$FA,129)</f>
        <v>56925</v>
      </c>
    </row>
    <row r="151" spans="1:7" x14ac:dyDescent="0.25">
      <c r="A151" s="101" t="s">
        <v>164</v>
      </c>
      <c r="B151" s="17">
        <v>145854205</v>
      </c>
      <c r="C151" s="17">
        <v>46824000</v>
      </c>
      <c r="D151" s="17">
        <f t="shared" si="2"/>
        <v>46824000</v>
      </c>
      <c r="E151" s="49">
        <f>VLOOKUP($A151,'Data shares'!$C:$FA,128)*100</f>
        <v>2.41</v>
      </c>
      <c r="F151" s="49">
        <f>VLOOKUP($A151,'Data shares'!$C:$FA,129)</f>
        <v>942900</v>
      </c>
    </row>
    <row r="152" spans="1:7" x14ac:dyDescent="0.25">
      <c r="A152" s="101" t="s">
        <v>526</v>
      </c>
      <c r="B152" s="17">
        <v>44365911</v>
      </c>
      <c r="C152" s="17">
        <v>20668300</v>
      </c>
      <c r="D152" s="17">
        <f t="shared" si="2"/>
        <v>20668300</v>
      </c>
      <c r="E152" s="49">
        <f>VLOOKUP($A152,'Data shares'!$C:$FA,128)*100</f>
        <v>4.4400000000000004</v>
      </c>
      <c r="F152" s="49">
        <f>VLOOKUP($A152,'Data shares'!$C:$FA,129)</f>
        <v>1110000</v>
      </c>
    </row>
    <row r="153" spans="1:7" x14ac:dyDescent="0.25">
      <c r="A153" s="101" t="s">
        <v>515</v>
      </c>
      <c r="B153" s="17">
        <v>3083179</v>
      </c>
      <c r="C153" s="17">
        <v>492075</v>
      </c>
      <c r="D153" s="17">
        <f t="shared" si="2"/>
        <v>492075</v>
      </c>
      <c r="E153" s="49">
        <f>VLOOKUP($A153,'Data shares'!$C:$FA,128)*100</f>
        <v>4.4400000000000004</v>
      </c>
      <c r="F153" s="49">
        <f>VLOOKUP($A153,'Data shares'!$C:$FA,129)</f>
        <v>1110000</v>
      </c>
    </row>
    <row r="154" spans="1:7" x14ac:dyDescent="0.25">
      <c r="A154" s="101" t="s">
        <v>226</v>
      </c>
      <c r="B154" s="17">
        <v>26072630</v>
      </c>
      <c r="C154" s="17">
        <v>9897900</v>
      </c>
      <c r="D154" s="17">
        <f t="shared" si="2"/>
        <v>9897900</v>
      </c>
      <c r="E154" s="49">
        <f>VLOOKUP($A154,'Data shares'!$C:$FA,128)*100</f>
        <v>6.54</v>
      </c>
      <c r="F154" s="49">
        <f>VLOOKUP($A154,'Data shares'!$C:$FA,129)</f>
        <v>295200</v>
      </c>
    </row>
    <row r="155" spans="1:7" x14ac:dyDescent="0.25">
      <c r="A155" s="101" t="s">
        <v>544</v>
      </c>
      <c r="B155" s="17">
        <v>139989683</v>
      </c>
      <c r="C155" s="17">
        <v>28415200</v>
      </c>
      <c r="D155" s="17">
        <f t="shared" si="2"/>
        <v>28415200</v>
      </c>
      <c r="E155" s="49">
        <f>VLOOKUP($A155,'Data shares'!$C:$FA,128)*100</f>
        <v>2.69</v>
      </c>
      <c r="F155" s="49">
        <f>VLOOKUP($A155,'Data shares'!$C:$FA,129)</f>
        <v>1729800</v>
      </c>
    </row>
    <row r="156" spans="1:7" x14ac:dyDescent="0.25">
      <c r="A156" s="101" t="s">
        <v>547</v>
      </c>
      <c r="B156" s="17">
        <v>65482129</v>
      </c>
      <c r="C156" s="17">
        <v>33944200</v>
      </c>
      <c r="D156" s="17">
        <f t="shared" si="2"/>
        <v>33944200</v>
      </c>
      <c r="E156" s="49">
        <f>VLOOKUP($A156,'Data shares'!$C:$FA,128)*100</f>
        <v>1.7399999999999998</v>
      </c>
      <c r="F156" s="49">
        <f>VLOOKUP($A156,'Data shares'!$C:$FA,129)</f>
        <v>1024800</v>
      </c>
    </row>
    <row r="157" spans="1:7" x14ac:dyDescent="0.25">
      <c r="A157" s="101" t="s">
        <v>499</v>
      </c>
      <c r="B157" s="17">
        <v>66687240</v>
      </c>
      <c r="C157" s="17">
        <v>16125200</v>
      </c>
      <c r="D157" s="17">
        <f t="shared" si="2"/>
        <v>16125200</v>
      </c>
      <c r="E157" s="49">
        <f>VLOOKUP($A157,'Data shares'!$C:$FA,128)*100</f>
        <v>2.69</v>
      </c>
      <c r="F157" s="49">
        <f>VLOOKUP($A157,'Data shares'!$C:$FA,129)</f>
        <v>1729800</v>
      </c>
    </row>
    <row r="158" spans="1:7" x14ac:dyDescent="0.25">
      <c r="A158" s="101" t="s">
        <v>483</v>
      </c>
      <c r="B158" s="17">
        <v>16146181</v>
      </c>
      <c r="C158" s="17">
        <v>1914250</v>
      </c>
      <c r="D158" s="17">
        <f t="shared" si="2"/>
        <v>1914250</v>
      </c>
      <c r="E158" s="49">
        <f>VLOOKUP($A158,'Data shares'!$C:$FA,128)*100</f>
        <v>2.58</v>
      </c>
      <c r="F158" s="49">
        <f>VLOOKUP($A158,'Data shares'!$C:$FA,129)</f>
        <v>45850</v>
      </c>
    </row>
    <row r="159" spans="1:7" x14ac:dyDescent="0.25">
      <c r="A159" s="101" t="s">
        <v>546</v>
      </c>
      <c r="B159" s="17">
        <v>18282414</v>
      </c>
      <c r="C159" s="17">
        <v>13742300</v>
      </c>
      <c r="D159" s="17">
        <f t="shared" si="2"/>
        <v>13742300</v>
      </c>
      <c r="E159" s="49">
        <f>VLOOKUP($A159,'Data shares'!$C:$FA,128)*100</f>
        <v>6.49</v>
      </c>
      <c r="F159" s="49">
        <f>VLOOKUP($A159,'Data shares'!$C:$FA,129)</f>
        <v>12157425</v>
      </c>
    </row>
    <row r="160" spans="1:7" x14ac:dyDescent="0.25">
      <c r="A160" s="101" t="s">
        <v>220</v>
      </c>
      <c r="B160" s="17">
        <v>50687734</v>
      </c>
      <c r="C160" s="17">
        <v>6783500</v>
      </c>
      <c r="D160" s="17">
        <f t="shared" si="2"/>
        <v>6783500</v>
      </c>
      <c r="E160" s="49">
        <f>VLOOKUP($A160,'Data shares'!$C:$FA,128)*100</f>
        <v>2.41</v>
      </c>
      <c r="F160" s="49">
        <f>VLOOKUP($A160,'Data shares'!$C:$FA,129)</f>
        <v>239000</v>
      </c>
    </row>
    <row r="161" spans="1:6" x14ac:dyDescent="0.25">
      <c r="A161" s="101" t="s">
        <v>472</v>
      </c>
      <c r="B161" s="17">
        <v>50993734</v>
      </c>
      <c r="C161" s="17">
        <v>3803750</v>
      </c>
      <c r="D161" s="17">
        <f t="shared" si="2"/>
        <v>3803750</v>
      </c>
      <c r="E161" s="49">
        <f>VLOOKUP($A161,'Data shares'!$C:$FA,128)*100</f>
        <v>0.91999999999999993</v>
      </c>
      <c r="F161" s="49">
        <f>VLOOKUP($A161,'Data shares'!$C:$FA,129)</f>
        <v>39000</v>
      </c>
    </row>
    <row r="162" spans="1:6" x14ac:dyDescent="0.25">
      <c r="A162" t="s">
        <v>535</v>
      </c>
      <c r="B162">
        <v>78168147</v>
      </c>
      <c r="C162">
        <v>9571500</v>
      </c>
      <c r="D162" s="17">
        <f t="shared" ref="D162:D204" si="3">C162</f>
        <v>9571500</v>
      </c>
      <c r="E162" s="49">
        <f>VLOOKUP($A162,'Data shares'!$C:$FA,128)*100</f>
        <v>5.19</v>
      </c>
      <c r="F162" s="49">
        <f>VLOOKUP($A162,'Data shares'!$C:$FA,129)</f>
        <v>744600</v>
      </c>
    </row>
    <row r="163" spans="1:6" x14ac:dyDescent="0.25">
      <c r="A163" t="s">
        <v>492</v>
      </c>
      <c r="B163">
        <v>28779078</v>
      </c>
      <c r="C163">
        <v>14404150</v>
      </c>
      <c r="D163" s="17">
        <f t="shared" si="3"/>
        <v>14404150</v>
      </c>
      <c r="E163" s="49">
        <f>VLOOKUP($A163,'Data shares'!$C:$FA,128)*100</f>
        <v>2.42</v>
      </c>
      <c r="F163" s="49">
        <f>VLOOKUP($A163,'Data shares'!$C:$FA,129)</f>
        <v>248600</v>
      </c>
    </row>
    <row r="164" spans="1:6" x14ac:dyDescent="0.25">
      <c r="A164" t="s">
        <v>298</v>
      </c>
      <c r="B164">
        <v>9731600</v>
      </c>
      <c r="C164">
        <v>863500</v>
      </c>
      <c r="D164" s="17">
        <f t="shared" si="3"/>
        <v>863500</v>
      </c>
      <c r="E164" s="49">
        <f>VLOOKUP($A164,'Data shares'!$C:$FA,128)*100</f>
        <v>0.57000000000000006</v>
      </c>
      <c r="F164" s="49">
        <f>VLOOKUP($A164,'Data shares'!$C:$FA,129)</f>
        <v>12250</v>
      </c>
    </row>
    <row r="165" spans="1:6" x14ac:dyDescent="0.25">
      <c r="A165" t="s">
        <v>548</v>
      </c>
      <c r="B165">
        <v>442076</v>
      </c>
      <c r="C165">
        <v>9615</v>
      </c>
      <c r="D165" s="17">
        <f t="shared" si="3"/>
        <v>9615</v>
      </c>
      <c r="E165" s="49">
        <f>VLOOKUP($A165,'Data shares'!$C:$FA,128)*100</f>
        <v>7.53</v>
      </c>
      <c r="F165" s="49">
        <f>VLOOKUP($A165,'Data shares'!$C:$FA,129)</f>
        <v>1849750</v>
      </c>
    </row>
    <row r="166" spans="1:6" x14ac:dyDescent="0.25">
      <c r="A166" t="s">
        <v>530</v>
      </c>
      <c r="B166">
        <v>3258166</v>
      </c>
      <c r="C166">
        <v>219750</v>
      </c>
      <c r="D166" s="17">
        <f t="shared" si="3"/>
        <v>219750</v>
      </c>
      <c r="E166" s="49">
        <f>VLOOKUP($A166,'Data shares'!$C:$FA,128)*100</f>
        <v>3.11</v>
      </c>
      <c r="F166" s="49">
        <f>VLOOKUP($A166,'Data shares'!$C:$FA,129)</f>
        <v>276250</v>
      </c>
    </row>
    <row r="167" spans="1:6" x14ac:dyDescent="0.25">
      <c r="A167" t="s">
        <v>249</v>
      </c>
      <c r="B167">
        <v>277168216</v>
      </c>
      <c r="C167">
        <v>21795375</v>
      </c>
      <c r="D167" s="17">
        <f t="shared" si="3"/>
        <v>21795375</v>
      </c>
      <c r="E167" s="49">
        <f>VLOOKUP($A167,'Data shares'!$C:$FA,128)*100</f>
        <v>3.08</v>
      </c>
      <c r="F167" s="49">
        <f>VLOOKUP($A167,'Data shares'!$C:$FA,129)</f>
        <v>409675</v>
      </c>
    </row>
    <row r="168" spans="1:6" x14ac:dyDescent="0.25">
      <c r="A168" t="s">
        <v>216</v>
      </c>
      <c r="B168">
        <v>484955219</v>
      </c>
      <c r="C168">
        <v>230400000</v>
      </c>
      <c r="D168" s="17">
        <f t="shared" si="3"/>
        <v>230400000</v>
      </c>
      <c r="E168" s="49">
        <f>VLOOKUP($A168,'Data shares'!$C:$FA,128)*100</f>
        <v>6.49</v>
      </c>
      <c r="F168" s="49">
        <f>VLOOKUP($A168,'Data shares'!$C:$FA,129)</f>
        <v>12157425</v>
      </c>
    </row>
    <row r="169" spans="1:6" x14ac:dyDescent="0.25">
      <c r="A169" t="s">
        <v>252</v>
      </c>
      <c r="B169">
        <v>117640832</v>
      </c>
      <c r="C169">
        <v>52456000</v>
      </c>
      <c r="D169" s="17">
        <f t="shared" si="3"/>
        <v>52456000</v>
      </c>
      <c r="E169" s="49">
        <f>VLOOKUP($A169,'Data shares'!$C:$FA,128)*100</f>
        <v>2.33</v>
      </c>
      <c r="F169" s="49">
        <f>VLOOKUP($A169,'Data shares'!$C:$FA,129)</f>
        <v>418200</v>
      </c>
    </row>
    <row r="170" spans="1:6" x14ac:dyDescent="0.25">
      <c r="A170" t="s">
        <v>205</v>
      </c>
      <c r="B170">
        <v>25513876</v>
      </c>
      <c r="C170">
        <v>3302300</v>
      </c>
      <c r="D170" s="17">
        <f t="shared" si="3"/>
        <v>3302300</v>
      </c>
      <c r="E170" s="49">
        <f>VLOOKUP($A170,'Data shares'!$C:$FA,128)*100</f>
        <v>2.5100000000000002</v>
      </c>
      <c r="F170" s="49">
        <f>VLOOKUP($A170,'Data shares'!$C:$FA,129)</f>
        <v>63300</v>
      </c>
    </row>
    <row r="171" spans="1:6" x14ac:dyDescent="0.25">
      <c r="A171" t="s">
        <v>194</v>
      </c>
      <c r="B171">
        <v>202646440</v>
      </c>
      <c r="C171">
        <v>52470000</v>
      </c>
      <c r="D171" s="17">
        <f t="shared" si="3"/>
        <v>52470000</v>
      </c>
      <c r="E171" s="49">
        <f>VLOOKUP($A171,'Data shares'!$C:$FA,128)*100</f>
        <v>1.9300000000000002</v>
      </c>
      <c r="F171" s="49">
        <f>VLOOKUP($A171,'Data shares'!$C:$FA,129)</f>
        <v>614225</v>
      </c>
    </row>
    <row r="172" spans="1:6" x14ac:dyDescent="0.25">
      <c r="A172" t="s">
        <v>263</v>
      </c>
      <c r="B172">
        <v>178967755</v>
      </c>
      <c r="C172">
        <v>142910500</v>
      </c>
      <c r="D172" s="17">
        <f t="shared" si="3"/>
        <v>142910500</v>
      </c>
      <c r="E172" s="49">
        <f>VLOOKUP($A172,'Data shares'!$C:$FA,128)*100</f>
        <v>4.12</v>
      </c>
      <c r="F172" s="49">
        <f>VLOOKUP($A172,'Data shares'!$C:$FA,129)</f>
        <v>2820000</v>
      </c>
    </row>
    <row r="173" spans="1:6" x14ac:dyDescent="0.25">
      <c r="A173" t="s">
        <v>476</v>
      </c>
      <c r="B173">
        <v>40446155</v>
      </c>
      <c r="C173">
        <v>4358800</v>
      </c>
      <c r="D173" s="17">
        <f t="shared" si="3"/>
        <v>4358800</v>
      </c>
      <c r="E173" s="49">
        <f>VLOOKUP($A173,'Data shares'!$C:$FA,128)*100</f>
        <v>1.9900000000000002</v>
      </c>
      <c r="F173" s="49">
        <f>VLOOKUP($A173,'Data shares'!$C:$FA,129)</f>
        <v>46500</v>
      </c>
    </row>
    <row r="174" spans="1:6" x14ac:dyDescent="0.25">
      <c r="A174" t="s">
        <v>187</v>
      </c>
      <c r="B174">
        <v>51436398</v>
      </c>
      <c r="C174">
        <v>7413750</v>
      </c>
      <c r="D174" s="17">
        <f t="shared" si="3"/>
        <v>7413750</v>
      </c>
      <c r="E174" s="49">
        <f>VLOOKUP($A174,'Data shares'!$C:$FA,128)*100</f>
        <v>4.2799999999999994</v>
      </c>
      <c r="F174" s="49">
        <f>VLOOKUP($A174,'Data shares'!$C:$FA,129)</f>
        <v>402000</v>
      </c>
    </row>
    <row r="175" spans="1:6" x14ac:dyDescent="0.25">
      <c r="A175" t="s">
        <v>493</v>
      </c>
      <c r="B175">
        <v>14814614</v>
      </c>
      <c r="C175">
        <v>3344250</v>
      </c>
      <c r="D175" s="17">
        <f t="shared" si="3"/>
        <v>3344250</v>
      </c>
      <c r="E175" s="49">
        <f>VLOOKUP($A175,'Data shares'!$C:$FA,128)*100</f>
        <v>1.43</v>
      </c>
      <c r="F175" s="49">
        <f>VLOOKUP($A175,'Data shares'!$C:$FA,129)</f>
        <v>33150</v>
      </c>
    </row>
    <row r="176" spans="1:6" x14ac:dyDescent="0.25">
      <c r="A176" t="s">
        <v>525</v>
      </c>
      <c r="B176">
        <v>35635456</v>
      </c>
      <c r="C176">
        <v>28959300</v>
      </c>
      <c r="D176" s="17">
        <f t="shared" si="3"/>
        <v>28959300</v>
      </c>
      <c r="E176" s="49">
        <f>VLOOKUP($A176,'Data shares'!$C:$FA,128)*100</f>
        <v>3.5900000000000003</v>
      </c>
      <c r="F176" s="49">
        <f>VLOOKUP($A176,'Data shares'!$C:$FA,129)</f>
        <v>498000</v>
      </c>
    </row>
    <row r="177" spans="1:6" x14ac:dyDescent="0.25">
      <c r="A177" t="s">
        <v>512</v>
      </c>
      <c r="B177">
        <v>7771646</v>
      </c>
      <c r="C177">
        <v>1119375</v>
      </c>
      <c r="D177" s="17">
        <f t="shared" si="3"/>
        <v>1119375</v>
      </c>
      <c r="E177" s="49">
        <f>VLOOKUP($A177,'Data shares'!$C:$FA,128)*100</f>
        <v>4.66</v>
      </c>
      <c r="F177" s="49">
        <f>VLOOKUP($A177,'Data shares'!$C:$FA,129)</f>
        <v>69300</v>
      </c>
    </row>
    <row r="178" spans="1:6" x14ac:dyDescent="0.25">
      <c r="A178" t="s">
        <v>233</v>
      </c>
      <c r="B178">
        <v>76432837</v>
      </c>
      <c r="C178">
        <v>9804000</v>
      </c>
      <c r="D178" s="17">
        <f t="shared" si="3"/>
        <v>9804000</v>
      </c>
      <c r="E178" s="49">
        <f>VLOOKUP($A178,'Data shares'!$C:$FA,128)*100</f>
        <v>2.16</v>
      </c>
      <c r="F178" s="49">
        <f>VLOOKUP($A178,'Data shares'!$C:$FA,129)</f>
        <v>252525</v>
      </c>
    </row>
    <row r="179" spans="1:6" x14ac:dyDescent="0.25">
      <c r="A179" t="s">
        <v>183</v>
      </c>
      <c r="B179">
        <v>12092405</v>
      </c>
      <c r="C179">
        <v>2606450</v>
      </c>
      <c r="D179" s="17">
        <f t="shared" si="3"/>
        <v>2606450</v>
      </c>
      <c r="E179" s="49">
        <f>VLOOKUP($A179,'Data shares'!$C:$FA,128)*100</f>
        <v>11.700000000000001</v>
      </c>
      <c r="F179" s="49">
        <f>VLOOKUP($A179,'Data shares'!$C:$FA,129)</f>
        <v>214970</v>
      </c>
    </row>
    <row r="180" spans="1:6" x14ac:dyDescent="0.25">
      <c r="A180" t="s">
        <v>280</v>
      </c>
      <c r="B180">
        <v>187084550</v>
      </c>
      <c r="C180">
        <v>50568000</v>
      </c>
      <c r="D180" s="17">
        <f t="shared" si="3"/>
        <v>50568000</v>
      </c>
      <c r="E180" s="49">
        <f>VLOOKUP($A180,'Data shares'!$C:$FA,128)*100</f>
        <v>16.88</v>
      </c>
      <c r="F180" s="49">
        <f>VLOOKUP($A180,'Data shares'!$C:$FA,129)</f>
        <v>11883000</v>
      </c>
    </row>
    <row r="181" spans="1:6" x14ac:dyDescent="0.25">
      <c r="A181" t="s">
        <v>166</v>
      </c>
      <c r="B181">
        <v>79597108</v>
      </c>
      <c r="C181">
        <v>26630000</v>
      </c>
      <c r="D181" s="17">
        <f t="shared" si="3"/>
        <v>26630000</v>
      </c>
      <c r="E181" s="49">
        <f>VLOOKUP($A181,'Data shares'!$C:$FA,128)*100</f>
        <v>1.4500000000000002</v>
      </c>
      <c r="F181" s="49">
        <f>VLOOKUP($A181,'Data shares'!$C:$FA,129)</f>
        <v>34000</v>
      </c>
    </row>
    <row r="182" spans="1:6" x14ac:dyDescent="0.25">
      <c r="A182" t="s">
        <v>241</v>
      </c>
      <c r="B182">
        <v>913205148</v>
      </c>
      <c r="C182">
        <v>118527500</v>
      </c>
      <c r="D182" s="17">
        <f t="shared" si="3"/>
        <v>118527500</v>
      </c>
      <c r="E182" s="49">
        <f>VLOOKUP($A182,'Data shares'!$C:$FA,128)*100</f>
        <v>4.2299999999999995</v>
      </c>
      <c r="F182" s="49">
        <f>VLOOKUP($A182,'Data shares'!$C:$FA,129)</f>
        <v>3573375</v>
      </c>
    </row>
    <row r="183" spans="1:6" x14ac:dyDescent="0.25">
      <c r="A183" t="s">
        <v>517</v>
      </c>
      <c r="B183">
        <v>10180563</v>
      </c>
      <c r="C183">
        <v>3926650</v>
      </c>
      <c r="D183" s="17">
        <f t="shared" si="3"/>
        <v>3926650</v>
      </c>
      <c r="E183" s="49">
        <f>VLOOKUP($A183,'Data shares'!$C:$FA,128)*100</f>
        <v>3.3000000000000003</v>
      </c>
      <c r="F183" s="49">
        <f>VLOOKUP($A183,'Data shares'!$C:$FA,129)</f>
        <v>74250</v>
      </c>
    </row>
    <row r="184" spans="1:6" x14ac:dyDescent="0.25">
      <c r="A184" t="s">
        <v>211</v>
      </c>
      <c r="B184">
        <v>91809066</v>
      </c>
      <c r="C184">
        <v>33516000</v>
      </c>
      <c r="D184" s="17">
        <f t="shared" si="3"/>
        <v>33516000</v>
      </c>
      <c r="E184" s="49">
        <f>VLOOKUP($A184,'Data shares'!$C:$FA,128)*100</f>
        <v>4.37</v>
      </c>
      <c r="F184" s="49">
        <f>VLOOKUP($A184,'Data shares'!$C:$FA,129)</f>
        <v>1276200</v>
      </c>
    </row>
    <row r="185" spans="1:6" x14ac:dyDescent="0.25">
      <c r="A185" t="s">
        <v>518</v>
      </c>
      <c r="B185">
        <v>4636018</v>
      </c>
      <c r="C185">
        <v>608375</v>
      </c>
      <c r="D185" s="17">
        <f t="shared" si="3"/>
        <v>608375</v>
      </c>
      <c r="E185" s="49">
        <f>VLOOKUP($A185,'Data shares'!$C:$FA,128)*100</f>
        <v>3.05</v>
      </c>
      <c r="F185" s="49">
        <f>VLOOKUP($A185,'Data shares'!$C:$FA,129)</f>
        <v>28800</v>
      </c>
    </row>
    <row r="186" spans="1:6" x14ac:dyDescent="0.25">
      <c r="A186" t="s">
        <v>511</v>
      </c>
      <c r="B186">
        <v>18644752</v>
      </c>
      <c r="C186">
        <v>4227600</v>
      </c>
      <c r="D186" s="17">
        <f t="shared" si="3"/>
        <v>4227600</v>
      </c>
      <c r="E186" s="49">
        <f>VLOOKUP($A186,'Data shares'!$C:$FA,128)*100</f>
        <v>3.0700000000000003</v>
      </c>
      <c r="F186" s="49">
        <f>VLOOKUP($A186,'Data shares'!$C:$FA,129)</f>
        <v>7998750</v>
      </c>
    </row>
    <row r="187" spans="1:6" x14ac:dyDescent="0.25">
      <c r="A187" t="s">
        <v>186</v>
      </c>
      <c r="B187">
        <v>48589957</v>
      </c>
      <c r="C187">
        <v>5942200</v>
      </c>
      <c r="D187" s="17">
        <f t="shared" si="3"/>
        <v>5942200</v>
      </c>
      <c r="E187" s="49">
        <f>VLOOKUP($A187,'Data shares'!$C:$FA,128)*100</f>
        <v>6.6000000000000005</v>
      </c>
      <c r="F187" s="49">
        <f>VLOOKUP($A187,'Data shares'!$C:$FA,129)</f>
        <v>6837150</v>
      </c>
    </row>
    <row r="188" spans="1:6" x14ac:dyDescent="0.25">
      <c r="A188" t="s">
        <v>522</v>
      </c>
      <c r="B188">
        <v>1063050</v>
      </c>
      <c r="C188">
        <v>54050</v>
      </c>
      <c r="D188" s="17">
        <f t="shared" si="3"/>
        <v>54050</v>
      </c>
      <c r="E188" s="49">
        <f>VLOOKUP($A188,'Data shares'!$C:$FA,128)*100</f>
        <v>4.3900000000000006</v>
      </c>
      <c r="F188" s="49">
        <f>VLOOKUP($A188,'Data shares'!$C:$FA,129)</f>
        <v>106000</v>
      </c>
    </row>
    <row r="189" spans="1:6" x14ac:dyDescent="0.25">
      <c r="A189" t="s">
        <v>300</v>
      </c>
      <c r="B189">
        <v>45360865</v>
      </c>
      <c r="C189">
        <v>14277200</v>
      </c>
      <c r="D189" s="17">
        <f t="shared" si="3"/>
        <v>14277200</v>
      </c>
      <c r="E189" s="49">
        <f>VLOOKUP($A189,'Data shares'!$C:$FA,128)*100</f>
        <v>1.23</v>
      </c>
      <c r="F189" s="49">
        <f>VLOOKUP($A189,'Data shares'!$C:$FA,129)</f>
        <v>109200</v>
      </c>
    </row>
    <row r="190" spans="1:6" x14ac:dyDescent="0.25">
      <c r="A190" t="s">
        <v>520</v>
      </c>
      <c r="B190">
        <v>23139622</v>
      </c>
      <c r="C190">
        <v>1555500</v>
      </c>
      <c r="D190" s="17">
        <f t="shared" si="3"/>
        <v>1555500</v>
      </c>
      <c r="E190" s="49">
        <f>VLOOKUP($A190,'Data shares'!$C:$FA,128)*100</f>
        <v>2.29</v>
      </c>
      <c r="F190" s="49">
        <f>VLOOKUP($A190,'Data shares'!$C:$FA,129)</f>
        <v>208000</v>
      </c>
    </row>
    <row r="191" spans="1:6" x14ac:dyDescent="0.25">
      <c r="A191" t="s">
        <v>294</v>
      </c>
      <c r="B191">
        <v>161436977</v>
      </c>
      <c r="C191">
        <v>59382700</v>
      </c>
      <c r="D191" s="17">
        <f t="shared" si="3"/>
        <v>59382700</v>
      </c>
      <c r="E191" s="49">
        <f>VLOOKUP($A191,'Data shares'!$C:$FA,128)*100</f>
        <v>3.5900000000000003</v>
      </c>
      <c r="F191" s="49">
        <f>VLOOKUP($A191,'Data shares'!$C:$FA,129)</f>
        <v>6424000</v>
      </c>
    </row>
    <row r="192" spans="1:6" x14ac:dyDescent="0.25">
      <c r="A192" t="s">
        <v>244</v>
      </c>
      <c r="B192">
        <v>265685393</v>
      </c>
      <c r="C192">
        <v>44023500</v>
      </c>
      <c r="D192" s="17">
        <f t="shared" si="3"/>
        <v>44023500</v>
      </c>
      <c r="E192" s="49">
        <f>VLOOKUP($A192,'Data shares'!$C:$FA,128)*100</f>
        <v>0.80999999999999994</v>
      </c>
      <c r="F192" s="49">
        <f>VLOOKUP($A192,'Data shares'!$C:$FA,129)</f>
        <v>293625</v>
      </c>
    </row>
    <row r="193" spans="1:6" x14ac:dyDescent="0.25">
      <c r="A193" t="s">
        <v>160</v>
      </c>
      <c r="B193">
        <v>145684825</v>
      </c>
      <c r="C193">
        <v>110820000</v>
      </c>
      <c r="D193" s="17">
        <f t="shared" si="3"/>
        <v>110820000</v>
      </c>
      <c r="E193" s="49">
        <f>VLOOKUP($A193,'Data shares'!$C:$FA,128)*100</f>
        <v>3.47</v>
      </c>
      <c r="F193" s="49">
        <f>VLOOKUP($A193,'Data shares'!$C:$FA,129)</f>
        <v>711075</v>
      </c>
    </row>
    <row r="194" spans="1:6" x14ac:dyDescent="0.25">
      <c r="A194" t="s">
        <v>496</v>
      </c>
      <c r="B194">
        <v>11999202</v>
      </c>
      <c r="C194">
        <v>2345700</v>
      </c>
      <c r="D194" s="17">
        <f t="shared" si="3"/>
        <v>2345700</v>
      </c>
      <c r="E194" s="49">
        <f>VLOOKUP($A194,'Data shares'!$C:$FA,128)*100</f>
        <v>0.79</v>
      </c>
      <c r="F194" s="49">
        <f>VLOOKUP($A194,'Data shares'!$C:$FA,129)</f>
        <v>74550</v>
      </c>
    </row>
    <row r="195" spans="1:6" x14ac:dyDescent="0.25">
      <c r="A195" t="s">
        <v>230</v>
      </c>
      <c r="B195">
        <v>179034270</v>
      </c>
      <c r="C195">
        <v>24257400</v>
      </c>
      <c r="D195" s="17">
        <f t="shared" si="3"/>
        <v>24257400</v>
      </c>
      <c r="E195" s="49">
        <f>VLOOKUP($A195,'Data shares'!$C:$FA,128)*100</f>
        <v>3.83</v>
      </c>
      <c r="F195" s="49">
        <f>VLOOKUP($A195,'Data shares'!$C:$FA,129)</f>
        <v>453900</v>
      </c>
    </row>
    <row r="196" spans="1:6" x14ac:dyDescent="0.25">
      <c r="A196" t="s">
        <v>203</v>
      </c>
      <c r="B196">
        <v>27165463</v>
      </c>
      <c r="C196">
        <v>3318000</v>
      </c>
      <c r="D196" s="17">
        <f t="shared" si="3"/>
        <v>3318000</v>
      </c>
      <c r="E196" s="49">
        <f>VLOOKUP($A196,'Data shares'!$C:$FA,128)*100</f>
        <v>1.3599999999999999</v>
      </c>
      <c r="F196" s="49">
        <f>VLOOKUP($A196,'Data shares'!$C:$FA,129)</f>
        <v>38000</v>
      </c>
    </row>
    <row r="197" spans="1:6" x14ac:dyDescent="0.25">
      <c r="A197" t="s">
        <v>251</v>
      </c>
      <c r="B197">
        <v>184464522</v>
      </c>
      <c r="C197">
        <v>32566800</v>
      </c>
      <c r="D197" s="17">
        <f t="shared" si="3"/>
        <v>32566800</v>
      </c>
      <c r="E197" s="49">
        <f>VLOOKUP($A197,'Data shares'!$C:$FA,128)*100</f>
        <v>2.33</v>
      </c>
      <c r="F197" s="49">
        <f>VLOOKUP($A197,'Data shares'!$C:$FA,129)</f>
        <v>418200</v>
      </c>
    </row>
    <row r="198" spans="1:6" x14ac:dyDescent="0.25">
      <c r="A198" t="s">
        <v>254</v>
      </c>
      <c r="B198">
        <v>104419539</v>
      </c>
      <c r="C198">
        <v>12741000</v>
      </c>
      <c r="D198" s="17">
        <f t="shared" si="3"/>
        <v>12741000</v>
      </c>
      <c r="E198" s="49">
        <f>VLOOKUP($A198,'Data shares'!$C:$FA,128)*100</f>
        <v>0.44999999999999996</v>
      </c>
      <c r="F198" s="49">
        <f>VLOOKUP($A198,'Data shares'!$C:$FA,129)</f>
        <v>121200</v>
      </c>
    </row>
    <row r="199" spans="1:6" x14ac:dyDescent="0.25">
      <c r="A199" t="s">
        <v>159</v>
      </c>
      <c r="B199">
        <v>55169320</v>
      </c>
      <c r="C199">
        <v>29565500</v>
      </c>
      <c r="D199" s="17">
        <f t="shared" si="3"/>
        <v>29565500</v>
      </c>
      <c r="E199" s="49">
        <f>VLOOKUP($A199,'Data shares'!$C:$FA,128)*100</f>
        <v>2.36</v>
      </c>
      <c r="F199" s="49">
        <f>VLOOKUP($A199,'Data shares'!$C:$FA,129)</f>
        <v>303600</v>
      </c>
    </row>
    <row r="200" spans="1:6" x14ac:dyDescent="0.25">
      <c r="A200" t="s">
        <v>201</v>
      </c>
      <c r="B200">
        <v>26654592</v>
      </c>
      <c r="C200">
        <v>3469200</v>
      </c>
      <c r="D200" s="17">
        <f t="shared" si="3"/>
        <v>3469200</v>
      </c>
      <c r="E200" s="49">
        <f>VLOOKUP($A200,'Data shares'!$C:$FA,128)*100</f>
        <v>10.81</v>
      </c>
      <c r="F200" s="49">
        <f>VLOOKUP($A200,'Data shares'!$C:$FA,129)</f>
        <v>554850</v>
      </c>
    </row>
    <row r="201" spans="1:6" x14ac:dyDescent="0.25">
      <c r="A201" t="s">
        <v>199</v>
      </c>
      <c r="B201">
        <v>102562642</v>
      </c>
      <c r="C201">
        <v>20641400</v>
      </c>
      <c r="D201" s="17">
        <f t="shared" si="3"/>
        <v>20641400</v>
      </c>
      <c r="E201" s="49">
        <f>VLOOKUP($A201,'Data shares'!$C:$FA,128)*100</f>
        <v>1.34</v>
      </c>
      <c r="F201" s="49">
        <f>VLOOKUP($A201,'Data shares'!$C:$FA,129)</f>
        <v>113625</v>
      </c>
    </row>
    <row r="202" spans="1:6" x14ac:dyDescent="0.25">
      <c r="A202" t="s">
        <v>296</v>
      </c>
      <c r="B202">
        <v>124861039</v>
      </c>
      <c r="C202">
        <v>20543400</v>
      </c>
      <c r="D202" s="17">
        <f t="shared" si="3"/>
        <v>20543400</v>
      </c>
      <c r="E202" s="49">
        <f>VLOOKUP($A202,'Data shares'!$C:$FA,128)*100</f>
        <v>9.19</v>
      </c>
      <c r="F202" s="49">
        <f>VLOOKUP($A202,'Data shares'!$C:$FA,129)</f>
        <v>1500600</v>
      </c>
    </row>
    <row r="203" spans="1:6" x14ac:dyDescent="0.25">
      <c r="A203" t="s">
        <v>229</v>
      </c>
      <c r="B203">
        <v>127940594</v>
      </c>
      <c r="C203">
        <v>33552900</v>
      </c>
      <c r="D203" s="17">
        <f t="shared" si="3"/>
        <v>33552900</v>
      </c>
      <c r="E203" s="49">
        <f>VLOOKUP($A203,'Data shares'!$C:$FA,128)*100</f>
        <v>1.94</v>
      </c>
      <c r="F203" s="49">
        <f>VLOOKUP($A203,'Data shares'!$C:$FA,129)</f>
        <v>909225</v>
      </c>
    </row>
    <row r="204" spans="1:6" x14ac:dyDescent="0.25">
      <c r="A204" t="s">
        <v>497</v>
      </c>
      <c r="B204">
        <v>10251929</v>
      </c>
      <c r="C204">
        <v>266200</v>
      </c>
      <c r="D204" s="17">
        <f t="shared" si="3"/>
        <v>266200</v>
      </c>
      <c r="E204" s="49">
        <f>VLOOKUP($A204,'Data shares'!$C:$FA,128)*100</f>
        <v>0.89999999999999991</v>
      </c>
      <c r="F204" s="49">
        <f>VLOOKUP($A204,'Data shares'!$C:$FA,129)</f>
        <v>12000</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G13" sqref="G13"/>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zoomScale="86" zoomScaleNormal="86" workbookViewId="0">
      <selection activeCell="J12" sqref="J12"/>
    </sheetView>
  </sheetViews>
  <sheetFormatPr defaultRowHeight="15" x14ac:dyDescent="0.25"/>
  <cols>
    <col min="1" max="1" width="12.1406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9.425781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0.42578125" customWidth="1"/>
    <col min="35" max="35" width="16.42578125" customWidth="1"/>
    <col min="36" max="36" width="15.28515625" customWidth="1"/>
    <col min="37" max="37" width="13.140625" customWidth="1"/>
    <col min="38" max="38" width="9.425781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10.285156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140625" customWidth="1"/>
    <col min="90" max="90" width="13" customWidth="1"/>
    <col min="91" max="91" width="11.7109375" customWidth="1"/>
    <col min="92" max="92" width="10.5703125" customWidth="1"/>
    <col min="93" max="93" width="10.42578125" customWidth="1"/>
    <col min="94" max="94" width="13.5703125" customWidth="1"/>
    <col min="95" max="95" width="12.42578125" customWidth="1"/>
    <col min="96" max="97" width="10.42578125" customWidth="1"/>
    <col min="98" max="98" width="13.42578125" customWidth="1"/>
    <col min="99" max="99" width="12.28515625" customWidth="1"/>
    <col min="100" max="100" width="10.285156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8" width="8" customWidth="1"/>
    <col min="109"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4.42578125" customWidth="1"/>
    <col min="138" max="138" width="16.28515625" customWidth="1"/>
    <col min="139" max="139" width="11.2851562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19.1406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45940</v>
      </c>
      <c r="B2" s="227" t="s">
        <v>175</v>
      </c>
      <c r="C2" s="227" t="s">
        <v>684</v>
      </c>
      <c r="D2" s="228">
        <v>500</v>
      </c>
      <c r="E2" s="228">
        <v>18</v>
      </c>
      <c r="F2" s="231">
        <v>1094.3</v>
      </c>
      <c r="G2" s="231">
        <v>1083.2</v>
      </c>
      <c r="H2" s="228">
        <v>11.1</v>
      </c>
      <c r="I2" s="229">
        <v>1.0200000000000001E-2</v>
      </c>
      <c r="J2" s="231">
        <v>1095.0999999999999</v>
      </c>
      <c r="K2" s="231">
        <v>1084.4000000000001</v>
      </c>
      <c r="L2" s="228">
        <v>10.7</v>
      </c>
      <c r="M2" s="229">
        <v>9.9000000000000008E-3</v>
      </c>
      <c r="N2" s="231">
        <v>1094.3</v>
      </c>
      <c r="O2" s="231">
        <v>1083.2</v>
      </c>
      <c r="P2" s="228">
        <v>11.1</v>
      </c>
      <c r="Q2" s="229">
        <v>1.0200000000000001E-2</v>
      </c>
      <c r="R2" s="231">
        <v>1097.8</v>
      </c>
      <c r="S2" s="231">
        <v>1085.5999999999999</v>
      </c>
      <c r="T2" s="228">
        <v>12.2</v>
      </c>
      <c r="U2" s="229">
        <v>1.12E-2</v>
      </c>
      <c r="V2" s="231">
        <v>1106.4000000000001</v>
      </c>
      <c r="W2" s="231">
        <v>1071.4000000000001</v>
      </c>
      <c r="X2" s="228">
        <v>35</v>
      </c>
      <c r="Y2" s="229">
        <v>3.27E-2</v>
      </c>
      <c r="Z2" s="228">
        <v>-0.8</v>
      </c>
      <c r="AA2" s="228">
        <v>-1.2</v>
      </c>
      <c r="AB2" s="228">
        <v>0.4</v>
      </c>
      <c r="AC2" s="229">
        <v>-6.9999999999999999E-4</v>
      </c>
      <c r="AD2" s="228">
        <v>-0.8</v>
      </c>
      <c r="AE2" s="228">
        <v>-1.2</v>
      </c>
      <c r="AF2" s="228">
        <v>0.4</v>
      </c>
      <c r="AG2" s="229">
        <v>-6.9999999999999999E-4</v>
      </c>
      <c r="AH2" s="228">
        <v>2.7</v>
      </c>
      <c r="AI2" s="228">
        <v>1.2</v>
      </c>
      <c r="AJ2" s="228">
        <v>1.5</v>
      </c>
      <c r="AK2" s="229">
        <v>2.5000000000000001E-3</v>
      </c>
      <c r="AL2" s="228">
        <v>11.3</v>
      </c>
      <c r="AM2" s="228">
        <v>-13</v>
      </c>
      <c r="AN2" s="228">
        <v>24.3</v>
      </c>
      <c r="AO2" s="229">
        <v>1.03E-2</v>
      </c>
      <c r="AP2" s="231">
        <v>1094.83</v>
      </c>
      <c r="AQ2" s="231">
        <v>1097.2</v>
      </c>
      <c r="AR2" s="228">
        <v>0</v>
      </c>
      <c r="AS2" s="228">
        <v>45</v>
      </c>
      <c r="AT2" s="228">
        <v>37</v>
      </c>
      <c r="AU2" s="228">
        <v>8</v>
      </c>
      <c r="AV2" s="229">
        <v>0.22919999999999999</v>
      </c>
      <c r="AW2" s="228">
        <v>44</v>
      </c>
      <c r="AX2" s="228">
        <v>34</v>
      </c>
      <c r="AY2" s="228">
        <v>10</v>
      </c>
      <c r="AZ2" s="229">
        <v>0.29049999999999998</v>
      </c>
      <c r="BA2" s="228">
        <v>1</v>
      </c>
      <c r="BB2" s="228">
        <v>3</v>
      </c>
      <c r="BC2" s="228">
        <v>-2</v>
      </c>
      <c r="BD2" s="229">
        <v>-0.59179999999999999</v>
      </c>
      <c r="BE2" s="228">
        <v>0</v>
      </c>
      <c r="BF2" s="228">
        <v>0</v>
      </c>
      <c r="BG2" s="228">
        <v>0</v>
      </c>
      <c r="BH2" s="229">
        <v>0</v>
      </c>
      <c r="BI2" s="228">
        <v>101</v>
      </c>
      <c r="BJ2" s="228">
        <v>78</v>
      </c>
      <c r="BK2" s="228">
        <v>23</v>
      </c>
      <c r="BL2" s="229">
        <v>0.2984</v>
      </c>
      <c r="BM2" s="228">
        <v>17</v>
      </c>
      <c r="BN2" s="228">
        <v>22</v>
      </c>
      <c r="BO2" s="228">
        <v>-5</v>
      </c>
      <c r="BP2" s="229">
        <v>-0.24440000000000001</v>
      </c>
      <c r="BQ2" s="228">
        <v>163</v>
      </c>
      <c r="BR2" s="228">
        <v>137</v>
      </c>
      <c r="BS2" s="228">
        <v>26</v>
      </c>
      <c r="BT2" s="229">
        <v>0.1918</v>
      </c>
      <c r="BU2" s="230">
        <v>266315</v>
      </c>
      <c r="BV2" s="230">
        <v>298476</v>
      </c>
      <c r="BW2" s="230">
        <v>-32161</v>
      </c>
      <c r="BX2" s="229">
        <v>-0.10780000000000001</v>
      </c>
      <c r="BY2" s="228">
        <v>272</v>
      </c>
      <c r="BZ2" s="228">
        <v>269</v>
      </c>
      <c r="CA2" s="228">
        <v>2</v>
      </c>
      <c r="CB2" s="229">
        <v>8.6999999999999994E-3</v>
      </c>
      <c r="CC2" s="228">
        <v>266</v>
      </c>
      <c r="CD2" s="228">
        <v>264</v>
      </c>
      <c r="CE2" s="228">
        <v>2</v>
      </c>
      <c r="CF2" s="229">
        <v>7.7000000000000002E-3</v>
      </c>
      <c r="CG2" s="228">
        <v>5</v>
      </c>
      <c r="CH2" s="228">
        <v>5</v>
      </c>
      <c r="CI2" s="228">
        <v>0</v>
      </c>
      <c r="CJ2" s="229">
        <v>4.3499999999999997E-2</v>
      </c>
      <c r="CK2" s="228">
        <v>0</v>
      </c>
      <c r="CL2" s="228">
        <v>0</v>
      </c>
      <c r="CM2" s="228">
        <v>0</v>
      </c>
      <c r="CN2" s="229">
        <v>2</v>
      </c>
      <c r="CO2" s="228">
        <v>100</v>
      </c>
      <c r="CP2" s="228">
        <v>101</v>
      </c>
      <c r="CQ2" s="228">
        <v>-1</v>
      </c>
      <c r="CR2" s="229">
        <v>-6.0000000000000001E-3</v>
      </c>
      <c r="CS2" s="228">
        <v>72</v>
      </c>
      <c r="CT2" s="228">
        <v>72</v>
      </c>
      <c r="CU2" s="228">
        <v>0</v>
      </c>
      <c r="CV2" s="229">
        <v>-1.5E-3</v>
      </c>
      <c r="CW2" s="228">
        <v>444</v>
      </c>
      <c r="CX2" s="228">
        <v>443</v>
      </c>
      <c r="CY2" s="228">
        <v>2</v>
      </c>
      <c r="CZ2" s="229">
        <v>3.7000000000000002E-3</v>
      </c>
      <c r="DA2" s="228">
        <v>30.12</v>
      </c>
      <c r="DB2" s="228">
        <v>30.83</v>
      </c>
      <c r="DC2" s="228">
        <v>-0.71</v>
      </c>
      <c r="DD2" s="228">
        <v>-0.71</v>
      </c>
      <c r="DE2" s="228">
        <v>46.15</v>
      </c>
      <c r="DF2" s="228">
        <v>46.24</v>
      </c>
      <c r="DG2" s="228">
        <v>-16.03</v>
      </c>
      <c r="DH2" s="228">
        <v>-0.09</v>
      </c>
      <c r="DI2" s="228">
        <v>30.1</v>
      </c>
      <c r="DJ2" s="228">
        <v>30.54</v>
      </c>
      <c r="DK2" s="228">
        <v>-0.44</v>
      </c>
      <c r="DL2" s="228">
        <v>-0.44</v>
      </c>
      <c r="DM2" s="228">
        <v>30.28</v>
      </c>
      <c r="DN2" s="228">
        <v>31.85</v>
      </c>
      <c r="DO2" s="228">
        <v>-1.57</v>
      </c>
      <c r="DP2" s="228">
        <v>-1.57</v>
      </c>
      <c r="DQ2" s="228">
        <v>0.72</v>
      </c>
      <c r="DR2" s="228">
        <v>0.72</v>
      </c>
      <c r="DS2" s="228">
        <v>0</v>
      </c>
      <c r="DT2" s="229">
        <v>0</v>
      </c>
      <c r="DU2" s="231">
        <v>1100</v>
      </c>
      <c r="DV2" s="231">
        <v>1100</v>
      </c>
      <c r="DW2" s="228">
        <v>0.17</v>
      </c>
      <c r="DX2" s="228">
        <v>0.28999999999999998</v>
      </c>
      <c r="DY2" s="228">
        <v>-0.12</v>
      </c>
      <c r="DZ2" s="229">
        <v>-0.4138</v>
      </c>
      <c r="EA2" s="229">
        <v>1.9900000000000001E-2</v>
      </c>
      <c r="EB2" s="230">
        <v>46500</v>
      </c>
      <c r="EC2" s="229">
        <v>3.2000000000000002E-3</v>
      </c>
      <c r="ED2" s="229">
        <v>1.9900000000000001E-2</v>
      </c>
      <c r="EE2" s="228">
        <v>2.37</v>
      </c>
      <c r="EF2" s="229">
        <v>2.2000000000000001E-3</v>
      </c>
      <c r="EG2" s="230">
        <v>100969</v>
      </c>
      <c r="EH2" s="230">
        <v>104381</v>
      </c>
      <c r="EI2" s="229">
        <v>-3.27E-2</v>
      </c>
      <c r="EJ2" s="229">
        <v>0.37909999999999999</v>
      </c>
      <c r="EK2" s="228">
        <v>105.32</v>
      </c>
      <c r="EL2" s="228">
        <v>16.73</v>
      </c>
      <c r="EM2" s="228">
        <v>45.22</v>
      </c>
      <c r="EN2" s="228">
        <v>11.3</v>
      </c>
      <c r="EO2" s="228">
        <v>167.27</v>
      </c>
      <c r="EP2" s="228">
        <v>139.1</v>
      </c>
      <c r="EQ2" s="228">
        <v>28.16</v>
      </c>
      <c r="ER2" s="229">
        <v>0.20250000000000001</v>
      </c>
      <c r="ES2" s="228">
        <v>102.95</v>
      </c>
      <c r="ET2" s="228">
        <v>69.64</v>
      </c>
      <c r="EU2" s="228">
        <v>271.57</v>
      </c>
      <c r="EV2" s="231">
        <v>44660948</v>
      </c>
      <c r="EW2" s="228">
        <v>444.15</v>
      </c>
      <c r="EX2" s="228">
        <v>439.65</v>
      </c>
      <c r="EY2" s="228">
        <v>4.5</v>
      </c>
      <c r="EZ2" s="229">
        <v>1.0200000000000001E-2</v>
      </c>
      <c r="FA2" s="229">
        <v>9.0899999999999995E-2</v>
      </c>
      <c r="FB2" s="227" t="s">
        <v>555</v>
      </c>
      <c r="FC2">
        <f>BY2-CC2</f>
        <v>6</v>
      </c>
    </row>
    <row r="3" spans="1:159" ht="17.25" thickBot="1" x14ac:dyDescent="0.3">
      <c r="A3" s="226">
        <v>45940</v>
      </c>
      <c r="B3" s="227" t="s">
        <v>184</v>
      </c>
      <c r="C3" s="227" t="s">
        <v>553</v>
      </c>
      <c r="D3" s="228">
        <v>125</v>
      </c>
      <c r="E3" s="228">
        <v>18</v>
      </c>
      <c r="F3" s="231">
        <v>5199</v>
      </c>
      <c r="G3" s="231">
        <v>5161</v>
      </c>
      <c r="H3" s="228">
        <v>38</v>
      </c>
      <c r="I3" s="229">
        <v>7.4000000000000003E-3</v>
      </c>
      <c r="J3" s="231">
        <v>5186</v>
      </c>
      <c r="K3" s="231">
        <v>5146.5</v>
      </c>
      <c r="L3" s="228">
        <v>39.5</v>
      </c>
      <c r="M3" s="229">
        <v>7.7000000000000002E-3</v>
      </c>
      <c r="N3" s="231">
        <v>5199</v>
      </c>
      <c r="O3" s="231">
        <v>5161</v>
      </c>
      <c r="P3" s="228">
        <v>38</v>
      </c>
      <c r="Q3" s="229">
        <v>7.4000000000000003E-3</v>
      </c>
      <c r="R3" s="231">
        <v>5227</v>
      </c>
      <c r="S3" s="231">
        <v>5191</v>
      </c>
      <c r="T3" s="228">
        <v>36</v>
      </c>
      <c r="U3" s="229">
        <v>6.8999999999999999E-3</v>
      </c>
      <c r="V3" s="231">
        <v>5267.5</v>
      </c>
      <c r="W3" s="231">
        <v>5223</v>
      </c>
      <c r="X3" s="228">
        <v>44.5</v>
      </c>
      <c r="Y3" s="229">
        <v>8.5000000000000006E-3</v>
      </c>
      <c r="Z3" s="228">
        <v>13</v>
      </c>
      <c r="AA3" s="228">
        <v>14.5</v>
      </c>
      <c r="AB3" s="228">
        <v>-1.5</v>
      </c>
      <c r="AC3" s="229">
        <v>2.5000000000000001E-3</v>
      </c>
      <c r="AD3" s="228">
        <v>13</v>
      </c>
      <c r="AE3" s="228">
        <v>14.5</v>
      </c>
      <c r="AF3" s="228">
        <v>-1.5</v>
      </c>
      <c r="AG3" s="229">
        <v>2.5000000000000001E-3</v>
      </c>
      <c r="AH3" s="228">
        <v>41</v>
      </c>
      <c r="AI3" s="228">
        <v>44.5</v>
      </c>
      <c r="AJ3" s="228">
        <v>-3.5</v>
      </c>
      <c r="AK3" s="229">
        <v>7.9000000000000008E-3</v>
      </c>
      <c r="AL3" s="228">
        <v>81.5</v>
      </c>
      <c r="AM3" s="228">
        <v>76.5</v>
      </c>
      <c r="AN3" s="228">
        <v>5</v>
      </c>
      <c r="AO3" s="229">
        <v>1.5699999999999999E-2</v>
      </c>
      <c r="AP3" s="231">
        <v>5207.34</v>
      </c>
      <c r="AQ3" s="231">
        <v>5237.59</v>
      </c>
      <c r="AR3" s="228">
        <v>0</v>
      </c>
      <c r="AS3" s="228">
        <v>163</v>
      </c>
      <c r="AT3" s="228">
        <v>233</v>
      </c>
      <c r="AU3" s="228">
        <v>-71</v>
      </c>
      <c r="AV3" s="229">
        <v>-0.30259999999999998</v>
      </c>
      <c r="AW3" s="228">
        <v>150</v>
      </c>
      <c r="AX3" s="228">
        <v>212</v>
      </c>
      <c r="AY3" s="228">
        <v>-62</v>
      </c>
      <c r="AZ3" s="229">
        <v>-0.2913</v>
      </c>
      <c r="BA3" s="228">
        <v>11</v>
      </c>
      <c r="BB3" s="228">
        <v>19</v>
      </c>
      <c r="BC3" s="228">
        <v>-7</v>
      </c>
      <c r="BD3" s="229">
        <v>-0.38250000000000001</v>
      </c>
      <c r="BE3" s="228">
        <v>1</v>
      </c>
      <c r="BF3" s="228">
        <v>3</v>
      </c>
      <c r="BG3" s="228">
        <v>-2</v>
      </c>
      <c r="BH3" s="229">
        <v>-0.59179999999999999</v>
      </c>
      <c r="BI3" s="228">
        <v>569</v>
      </c>
      <c r="BJ3" s="228">
        <v>765</v>
      </c>
      <c r="BK3" s="228">
        <v>-196</v>
      </c>
      <c r="BL3" s="229">
        <v>-0.25629999999999997</v>
      </c>
      <c r="BM3" s="228">
        <v>199</v>
      </c>
      <c r="BN3" s="228">
        <v>419</v>
      </c>
      <c r="BO3" s="228">
        <v>-220</v>
      </c>
      <c r="BP3" s="229">
        <v>-0.52459999999999996</v>
      </c>
      <c r="BQ3" s="228">
        <v>931</v>
      </c>
      <c r="BR3" s="230">
        <v>1418</v>
      </c>
      <c r="BS3" s="228">
        <v>-487</v>
      </c>
      <c r="BT3" s="229">
        <v>-0.34329999999999999</v>
      </c>
      <c r="BU3" s="230">
        <v>195726</v>
      </c>
      <c r="BV3" s="230">
        <v>226105</v>
      </c>
      <c r="BW3" s="230">
        <v>-30379</v>
      </c>
      <c r="BX3" s="229">
        <v>-0.13439999999999999</v>
      </c>
      <c r="BY3" s="230">
        <v>1293</v>
      </c>
      <c r="BZ3" s="230">
        <v>1304</v>
      </c>
      <c r="CA3" s="228">
        <v>-11</v>
      </c>
      <c r="CB3" s="229">
        <v>-8.3999999999999995E-3</v>
      </c>
      <c r="CC3" s="230">
        <v>1236</v>
      </c>
      <c r="CD3" s="230">
        <v>1249</v>
      </c>
      <c r="CE3" s="228">
        <v>-13</v>
      </c>
      <c r="CF3" s="229">
        <v>-1.01E-2</v>
      </c>
      <c r="CG3" s="228">
        <v>51</v>
      </c>
      <c r="CH3" s="228">
        <v>49</v>
      </c>
      <c r="CI3" s="228">
        <v>2</v>
      </c>
      <c r="CJ3" s="229">
        <v>4.1300000000000003E-2</v>
      </c>
      <c r="CK3" s="228">
        <v>6</v>
      </c>
      <c r="CL3" s="228">
        <v>6</v>
      </c>
      <c r="CM3" s="228">
        <v>0</v>
      </c>
      <c r="CN3" s="229">
        <v>-6.1199999999999997E-2</v>
      </c>
      <c r="CO3" s="228">
        <v>656</v>
      </c>
      <c r="CP3" s="228">
        <v>671</v>
      </c>
      <c r="CQ3" s="228">
        <v>-16</v>
      </c>
      <c r="CR3" s="229">
        <v>-2.3099999999999999E-2</v>
      </c>
      <c r="CS3" s="228">
        <v>424</v>
      </c>
      <c r="CT3" s="228">
        <v>420</v>
      </c>
      <c r="CU3" s="228">
        <v>4</v>
      </c>
      <c r="CV3" s="229">
        <v>8.9999999999999993E-3</v>
      </c>
      <c r="CW3" s="230">
        <v>2372</v>
      </c>
      <c r="CX3" s="230">
        <v>2395</v>
      </c>
      <c r="CY3" s="228">
        <v>-23</v>
      </c>
      <c r="CZ3" s="229">
        <v>-9.4999999999999998E-3</v>
      </c>
      <c r="DA3" s="228">
        <v>25.3</v>
      </c>
      <c r="DB3" s="228">
        <v>26.39</v>
      </c>
      <c r="DC3" s="228">
        <v>-1.0900000000000001</v>
      </c>
      <c r="DD3" s="228">
        <v>-1.0900000000000001</v>
      </c>
      <c r="DE3" s="228">
        <v>36.869999999999997</v>
      </c>
      <c r="DF3" s="228">
        <v>36.950000000000003</v>
      </c>
      <c r="DG3" s="228">
        <v>-11.57</v>
      </c>
      <c r="DH3" s="228">
        <v>-0.08</v>
      </c>
      <c r="DI3" s="228">
        <v>25.25</v>
      </c>
      <c r="DJ3" s="228">
        <v>26.15</v>
      </c>
      <c r="DK3" s="228">
        <v>-0.9</v>
      </c>
      <c r="DL3" s="228">
        <v>-0.9</v>
      </c>
      <c r="DM3" s="228">
        <v>25.46</v>
      </c>
      <c r="DN3" s="228">
        <v>26.83</v>
      </c>
      <c r="DO3" s="228">
        <v>-1.37</v>
      </c>
      <c r="DP3" s="228">
        <v>-1.37</v>
      </c>
      <c r="DQ3" s="228">
        <v>0.65</v>
      </c>
      <c r="DR3" s="228">
        <v>0.63</v>
      </c>
      <c r="DS3" s="228">
        <v>0.02</v>
      </c>
      <c r="DT3" s="229">
        <v>3.1699999999999999E-2</v>
      </c>
      <c r="DU3" s="231">
        <v>5300</v>
      </c>
      <c r="DV3" s="231">
        <v>5200</v>
      </c>
      <c r="DW3" s="228">
        <v>0.35</v>
      </c>
      <c r="DX3" s="228">
        <v>0.55000000000000004</v>
      </c>
      <c r="DY3" s="228">
        <v>-0.2</v>
      </c>
      <c r="DZ3" s="229">
        <v>-0.36359999999999998</v>
      </c>
      <c r="EA3" s="229">
        <v>4.3900000000000002E-2</v>
      </c>
      <c r="EB3" s="230">
        <v>106000</v>
      </c>
      <c r="EC3" s="229">
        <v>5.4000000000000003E-3</v>
      </c>
      <c r="ED3" s="229">
        <v>4.3900000000000002E-2</v>
      </c>
      <c r="EE3" s="228">
        <v>30.25</v>
      </c>
      <c r="EF3" s="229">
        <v>5.7999999999999996E-3</v>
      </c>
      <c r="EG3" s="230">
        <v>122626</v>
      </c>
      <c r="EH3" s="230">
        <v>115418</v>
      </c>
      <c r="EI3" s="229">
        <v>6.25E-2</v>
      </c>
      <c r="EJ3" s="229">
        <v>0.62649999999999995</v>
      </c>
      <c r="EK3" s="228">
        <v>592.97</v>
      </c>
      <c r="EL3" s="228">
        <v>196.9</v>
      </c>
      <c r="EM3" s="228">
        <v>163.13999999999999</v>
      </c>
      <c r="EN3" s="228">
        <v>37.39</v>
      </c>
      <c r="EO3" s="228">
        <v>953.01</v>
      </c>
      <c r="EP3" s="231">
        <v>1437.01</v>
      </c>
      <c r="EQ3" s="228">
        <v>-484</v>
      </c>
      <c r="ER3" s="229">
        <v>-0.33679999999999999</v>
      </c>
      <c r="ES3" s="228">
        <v>686.2</v>
      </c>
      <c r="ET3" s="228">
        <v>424.56</v>
      </c>
      <c r="EU3" s="231">
        <v>1293.47</v>
      </c>
      <c r="EV3" s="231">
        <v>7946564</v>
      </c>
      <c r="EW3" s="231">
        <v>2404.23</v>
      </c>
      <c r="EX3" s="231">
        <v>2417.9499999999998</v>
      </c>
      <c r="EY3" s="228">
        <v>-13.72</v>
      </c>
      <c r="EZ3" s="229">
        <v>-5.7000000000000002E-3</v>
      </c>
      <c r="FA3" s="229">
        <v>0.57420000000000004</v>
      </c>
      <c r="FB3" s="227" t="s">
        <v>556</v>
      </c>
      <c r="FC3">
        <f t="shared" ref="FC3:FC66" si="0">BY3-CC3</f>
        <v>57</v>
      </c>
    </row>
    <row r="4" spans="1:159" ht="17.25" thickBot="1" x14ac:dyDescent="0.3">
      <c r="A4" s="226">
        <v>45940</v>
      </c>
      <c r="B4" s="227" t="s">
        <v>175</v>
      </c>
      <c r="C4" s="227" t="s">
        <v>544</v>
      </c>
      <c r="D4" s="228">
        <v>3100</v>
      </c>
      <c r="E4" s="228">
        <v>18</v>
      </c>
      <c r="F4" s="228">
        <v>295</v>
      </c>
      <c r="G4" s="228">
        <v>299.7</v>
      </c>
      <c r="H4" s="228">
        <v>-4.7</v>
      </c>
      <c r="I4" s="229">
        <v>-1.5699999999999999E-2</v>
      </c>
      <c r="J4" s="228">
        <v>293.35000000000002</v>
      </c>
      <c r="K4" s="228">
        <v>297.95</v>
      </c>
      <c r="L4" s="228">
        <v>-4.5999999999999996</v>
      </c>
      <c r="M4" s="229">
        <v>-1.54E-2</v>
      </c>
      <c r="N4" s="228">
        <v>295</v>
      </c>
      <c r="O4" s="228">
        <v>299.7</v>
      </c>
      <c r="P4" s="228">
        <v>-4.7</v>
      </c>
      <c r="Q4" s="229">
        <v>-1.5699999999999999E-2</v>
      </c>
      <c r="R4" s="228">
        <v>296.55</v>
      </c>
      <c r="S4" s="228">
        <v>301.3</v>
      </c>
      <c r="T4" s="228">
        <v>-4.75</v>
      </c>
      <c r="U4" s="229">
        <v>-1.5800000000000002E-2</v>
      </c>
      <c r="V4" s="228">
        <v>298.39999999999998</v>
      </c>
      <c r="W4" s="228">
        <v>303.10000000000002</v>
      </c>
      <c r="X4" s="228">
        <v>-4.7</v>
      </c>
      <c r="Y4" s="229">
        <v>-1.55E-2</v>
      </c>
      <c r="Z4" s="228">
        <v>1.65</v>
      </c>
      <c r="AA4" s="228">
        <v>1.75</v>
      </c>
      <c r="AB4" s="228">
        <v>-0.1</v>
      </c>
      <c r="AC4" s="229">
        <v>5.5999999999999999E-3</v>
      </c>
      <c r="AD4" s="228">
        <v>1.65</v>
      </c>
      <c r="AE4" s="228">
        <v>1.75</v>
      </c>
      <c r="AF4" s="228">
        <v>-0.1</v>
      </c>
      <c r="AG4" s="229">
        <v>5.5999999999999999E-3</v>
      </c>
      <c r="AH4" s="228">
        <v>3.2</v>
      </c>
      <c r="AI4" s="228">
        <v>3.35</v>
      </c>
      <c r="AJ4" s="228">
        <v>-0.15</v>
      </c>
      <c r="AK4" s="229">
        <v>1.09E-2</v>
      </c>
      <c r="AL4" s="228">
        <v>5.05</v>
      </c>
      <c r="AM4" s="228">
        <v>5.15</v>
      </c>
      <c r="AN4" s="228">
        <v>-0.1</v>
      </c>
      <c r="AO4" s="229">
        <v>1.72E-2</v>
      </c>
      <c r="AP4" s="228">
        <v>296.55</v>
      </c>
      <c r="AQ4" s="228">
        <v>297.89999999999998</v>
      </c>
      <c r="AR4" s="228">
        <v>0</v>
      </c>
      <c r="AS4" s="228">
        <v>249</v>
      </c>
      <c r="AT4" s="228">
        <v>195</v>
      </c>
      <c r="AU4" s="228">
        <v>54</v>
      </c>
      <c r="AV4" s="229">
        <v>0.27629999999999999</v>
      </c>
      <c r="AW4" s="228">
        <v>226</v>
      </c>
      <c r="AX4" s="228">
        <v>181</v>
      </c>
      <c r="AY4" s="228">
        <v>44</v>
      </c>
      <c r="AZ4" s="229">
        <v>0.24479999999999999</v>
      </c>
      <c r="BA4" s="228">
        <v>21</v>
      </c>
      <c r="BB4" s="228">
        <v>13</v>
      </c>
      <c r="BC4" s="228">
        <v>8</v>
      </c>
      <c r="BD4" s="229">
        <v>0.64490000000000003</v>
      </c>
      <c r="BE4" s="228">
        <v>3</v>
      </c>
      <c r="BF4" s="228">
        <v>1</v>
      </c>
      <c r="BG4" s="228">
        <v>1</v>
      </c>
      <c r="BH4" s="229">
        <v>1.1537999999999999</v>
      </c>
      <c r="BI4" s="228">
        <v>581</v>
      </c>
      <c r="BJ4" s="228">
        <v>436</v>
      </c>
      <c r="BK4" s="228">
        <v>145</v>
      </c>
      <c r="BL4" s="229">
        <v>0.33239999999999997</v>
      </c>
      <c r="BM4" s="228">
        <v>222</v>
      </c>
      <c r="BN4" s="228">
        <v>193</v>
      </c>
      <c r="BO4" s="228">
        <v>29</v>
      </c>
      <c r="BP4" s="229">
        <v>0.14979999999999999</v>
      </c>
      <c r="BQ4" s="230">
        <v>1051</v>
      </c>
      <c r="BR4" s="228">
        <v>824</v>
      </c>
      <c r="BS4" s="228">
        <v>228</v>
      </c>
      <c r="BT4" s="229">
        <v>0.27629999999999999</v>
      </c>
      <c r="BU4" s="230">
        <v>4436207</v>
      </c>
      <c r="BV4" s="230">
        <v>2522957</v>
      </c>
      <c r="BW4" s="230">
        <v>1913250</v>
      </c>
      <c r="BX4" s="229">
        <v>0.75829999999999997</v>
      </c>
      <c r="BY4" s="230">
        <v>2129</v>
      </c>
      <c r="BZ4" s="230">
        <v>2085</v>
      </c>
      <c r="CA4" s="228">
        <v>44</v>
      </c>
      <c r="CB4" s="229">
        <v>2.12E-2</v>
      </c>
      <c r="CC4" s="230">
        <v>2072</v>
      </c>
      <c r="CD4" s="230">
        <v>2034</v>
      </c>
      <c r="CE4" s="228">
        <v>38</v>
      </c>
      <c r="CF4" s="229">
        <v>1.8700000000000001E-2</v>
      </c>
      <c r="CG4" s="228">
        <v>48</v>
      </c>
      <c r="CH4" s="228">
        <v>42</v>
      </c>
      <c r="CI4" s="228">
        <v>6</v>
      </c>
      <c r="CJ4" s="229">
        <v>0.14660000000000001</v>
      </c>
      <c r="CK4" s="228">
        <v>9</v>
      </c>
      <c r="CL4" s="228">
        <v>9</v>
      </c>
      <c r="CM4" s="228">
        <v>0</v>
      </c>
      <c r="CN4" s="229">
        <v>1.9800000000000002E-2</v>
      </c>
      <c r="CO4" s="228">
        <v>678</v>
      </c>
      <c r="CP4" s="228">
        <v>603</v>
      </c>
      <c r="CQ4" s="228">
        <v>74</v>
      </c>
      <c r="CR4" s="229">
        <v>0.1234</v>
      </c>
      <c r="CS4" s="228">
        <v>365</v>
      </c>
      <c r="CT4" s="228">
        <v>348</v>
      </c>
      <c r="CU4" s="228">
        <v>17</v>
      </c>
      <c r="CV4" s="229">
        <v>4.9200000000000001E-2</v>
      </c>
      <c r="CW4" s="230">
        <v>3171</v>
      </c>
      <c r="CX4" s="230">
        <v>3035</v>
      </c>
      <c r="CY4" s="228">
        <v>136</v>
      </c>
      <c r="CZ4" s="229">
        <v>4.4699999999999997E-2</v>
      </c>
      <c r="DA4" s="228">
        <v>30.77</v>
      </c>
      <c r="DB4" s="228">
        <v>29.89</v>
      </c>
      <c r="DC4" s="228">
        <v>0.88</v>
      </c>
      <c r="DD4" s="228">
        <v>0.88</v>
      </c>
      <c r="DE4" s="228">
        <v>40.49</v>
      </c>
      <c r="DF4" s="228">
        <v>40.54</v>
      </c>
      <c r="DG4" s="228">
        <v>-9.7200000000000006</v>
      </c>
      <c r="DH4" s="228">
        <v>-0.05</v>
      </c>
      <c r="DI4" s="228">
        <v>31.21</v>
      </c>
      <c r="DJ4" s="228">
        <v>29.93</v>
      </c>
      <c r="DK4" s="228">
        <v>1.28</v>
      </c>
      <c r="DL4" s="228">
        <v>1.28</v>
      </c>
      <c r="DM4" s="228">
        <v>29.62</v>
      </c>
      <c r="DN4" s="228">
        <v>29.82</v>
      </c>
      <c r="DO4" s="228">
        <v>-0.2</v>
      </c>
      <c r="DP4" s="228">
        <v>-0.2</v>
      </c>
      <c r="DQ4" s="228">
        <v>0.54</v>
      </c>
      <c r="DR4" s="228">
        <v>0.57999999999999996</v>
      </c>
      <c r="DS4" s="228">
        <v>-0.04</v>
      </c>
      <c r="DT4" s="229">
        <v>-6.9000000000000006E-2</v>
      </c>
      <c r="DU4" s="228">
        <v>300</v>
      </c>
      <c r="DV4" s="228">
        <v>300</v>
      </c>
      <c r="DW4" s="228">
        <v>0.38</v>
      </c>
      <c r="DX4" s="228">
        <v>0.44</v>
      </c>
      <c r="DY4" s="228">
        <v>-0.06</v>
      </c>
      <c r="DZ4" s="229">
        <v>-0.13639999999999999</v>
      </c>
      <c r="EA4" s="229">
        <v>2.69E-2</v>
      </c>
      <c r="EB4" s="230">
        <v>1729800</v>
      </c>
      <c r="EC4" s="229">
        <v>5.3E-3</v>
      </c>
      <c r="ED4" s="229">
        <v>2.69E-2</v>
      </c>
      <c r="EE4" s="228">
        <v>1.35</v>
      </c>
      <c r="EF4" s="229">
        <v>4.5999999999999999E-3</v>
      </c>
      <c r="EG4" s="230">
        <v>2622433</v>
      </c>
      <c r="EH4" s="230">
        <v>1049861</v>
      </c>
      <c r="EI4" s="229">
        <v>1.4979</v>
      </c>
      <c r="EJ4" s="229">
        <v>0.59109999999999996</v>
      </c>
      <c r="EK4" s="228">
        <v>617.28</v>
      </c>
      <c r="EL4" s="228">
        <v>220.55</v>
      </c>
      <c r="EM4" s="228">
        <v>250.27</v>
      </c>
      <c r="EN4" s="228">
        <v>40.630000000000003</v>
      </c>
      <c r="EO4" s="231">
        <v>1088.0899999999999</v>
      </c>
      <c r="EP4" s="228">
        <v>854.02</v>
      </c>
      <c r="EQ4" s="228">
        <v>234.07</v>
      </c>
      <c r="ER4" s="229">
        <v>0.27410000000000001</v>
      </c>
      <c r="ES4" s="228">
        <v>707.44</v>
      </c>
      <c r="ET4" s="228">
        <v>351.84</v>
      </c>
      <c r="EU4" s="231">
        <v>2129.2199999999998</v>
      </c>
      <c r="EV4" s="231">
        <v>122316423</v>
      </c>
      <c r="EW4" s="231">
        <v>3188.51</v>
      </c>
      <c r="EX4" s="231">
        <v>3083.44</v>
      </c>
      <c r="EY4" s="228">
        <v>105.07</v>
      </c>
      <c r="EZ4" s="229">
        <v>3.4099999999999998E-2</v>
      </c>
      <c r="FA4" s="229">
        <v>0.87890000000000001</v>
      </c>
      <c r="FB4" s="227" t="s">
        <v>567</v>
      </c>
      <c r="FC4">
        <f t="shared" si="0"/>
        <v>57</v>
      </c>
    </row>
    <row r="5" spans="1:159" ht="17.25" thickBot="1" x14ac:dyDescent="0.3">
      <c r="A5" s="226">
        <v>45940</v>
      </c>
      <c r="B5" s="227" t="s">
        <v>161</v>
      </c>
      <c r="C5" s="227" t="s">
        <v>580</v>
      </c>
      <c r="D5" s="228">
        <v>675</v>
      </c>
      <c r="E5" s="228">
        <v>18</v>
      </c>
      <c r="F5" s="228">
        <v>931.2</v>
      </c>
      <c r="G5" s="228">
        <v>934.65</v>
      </c>
      <c r="H5" s="228">
        <v>-3.45</v>
      </c>
      <c r="I5" s="229">
        <v>-3.7000000000000002E-3</v>
      </c>
      <c r="J5" s="228">
        <v>925.85</v>
      </c>
      <c r="K5" s="228">
        <v>931.95</v>
      </c>
      <c r="L5" s="228">
        <v>-6.1</v>
      </c>
      <c r="M5" s="229">
        <v>-6.4999999999999997E-3</v>
      </c>
      <c r="N5" s="228">
        <v>931.2</v>
      </c>
      <c r="O5" s="228">
        <v>934.65</v>
      </c>
      <c r="P5" s="228">
        <v>-3.45</v>
      </c>
      <c r="Q5" s="229">
        <v>-3.7000000000000002E-3</v>
      </c>
      <c r="R5" s="228">
        <v>934.95</v>
      </c>
      <c r="S5" s="228">
        <v>939.35</v>
      </c>
      <c r="T5" s="228">
        <v>-4.4000000000000004</v>
      </c>
      <c r="U5" s="229">
        <v>-4.7000000000000002E-3</v>
      </c>
      <c r="V5" s="228">
        <v>941</v>
      </c>
      <c r="W5" s="228">
        <v>946.15</v>
      </c>
      <c r="X5" s="228">
        <v>-5.15</v>
      </c>
      <c r="Y5" s="229">
        <v>-5.4000000000000003E-3</v>
      </c>
      <c r="Z5" s="228">
        <v>5.35</v>
      </c>
      <c r="AA5" s="228">
        <v>2.7</v>
      </c>
      <c r="AB5" s="228">
        <v>2.65</v>
      </c>
      <c r="AC5" s="229">
        <v>5.7999999999999996E-3</v>
      </c>
      <c r="AD5" s="228">
        <v>5.35</v>
      </c>
      <c r="AE5" s="228">
        <v>2.7</v>
      </c>
      <c r="AF5" s="228">
        <v>2.65</v>
      </c>
      <c r="AG5" s="229">
        <v>5.7999999999999996E-3</v>
      </c>
      <c r="AH5" s="228">
        <v>9.1</v>
      </c>
      <c r="AI5" s="228">
        <v>7.4</v>
      </c>
      <c r="AJ5" s="228">
        <v>1.7</v>
      </c>
      <c r="AK5" s="229">
        <v>9.7999999999999997E-3</v>
      </c>
      <c r="AL5" s="228">
        <v>15.15</v>
      </c>
      <c r="AM5" s="228">
        <v>14.2</v>
      </c>
      <c r="AN5" s="228">
        <v>0.95</v>
      </c>
      <c r="AO5" s="229">
        <v>1.6400000000000001E-2</v>
      </c>
      <c r="AP5" s="228">
        <v>927.38</v>
      </c>
      <c r="AQ5" s="228">
        <v>931.89</v>
      </c>
      <c r="AR5" s="228">
        <v>0</v>
      </c>
      <c r="AS5" s="228">
        <v>167</v>
      </c>
      <c r="AT5" s="228">
        <v>143</v>
      </c>
      <c r="AU5" s="228">
        <v>24</v>
      </c>
      <c r="AV5" s="229">
        <v>0.1663</v>
      </c>
      <c r="AW5" s="228">
        <v>158</v>
      </c>
      <c r="AX5" s="228">
        <v>138</v>
      </c>
      <c r="AY5" s="228">
        <v>20</v>
      </c>
      <c r="AZ5" s="229">
        <v>0.1459</v>
      </c>
      <c r="BA5" s="228">
        <v>7</v>
      </c>
      <c r="BB5" s="228">
        <v>5</v>
      </c>
      <c r="BC5" s="228">
        <v>3</v>
      </c>
      <c r="BD5" s="229">
        <v>0.53249999999999997</v>
      </c>
      <c r="BE5" s="228">
        <v>1</v>
      </c>
      <c r="BF5" s="228">
        <v>0</v>
      </c>
      <c r="BG5" s="228">
        <v>1</v>
      </c>
      <c r="BH5" s="229">
        <v>8.5</v>
      </c>
      <c r="BI5" s="228">
        <v>384</v>
      </c>
      <c r="BJ5" s="228">
        <v>404</v>
      </c>
      <c r="BK5" s="228">
        <v>-20</v>
      </c>
      <c r="BL5" s="229">
        <v>-5.0700000000000002E-2</v>
      </c>
      <c r="BM5" s="228">
        <v>122</v>
      </c>
      <c r="BN5" s="228">
        <v>115</v>
      </c>
      <c r="BO5" s="228">
        <v>7</v>
      </c>
      <c r="BP5" s="229">
        <v>6.5299999999999997E-2</v>
      </c>
      <c r="BQ5" s="228">
        <v>673</v>
      </c>
      <c r="BR5" s="228">
        <v>662</v>
      </c>
      <c r="BS5" s="228">
        <v>11</v>
      </c>
      <c r="BT5" s="229">
        <v>1.6199999999999999E-2</v>
      </c>
      <c r="BU5" s="230">
        <v>1053408</v>
      </c>
      <c r="BV5" s="230">
        <v>2213483</v>
      </c>
      <c r="BW5" s="230">
        <v>-1160075</v>
      </c>
      <c r="BX5" s="229">
        <v>-0.52410000000000001</v>
      </c>
      <c r="BY5" s="230">
        <v>1715</v>
      </c>
      <c r="BZ5" s="230">
        <v>1720</v>
      </c>
      <c r="CA5" s="228">
        <v>-5</v>
      </c>
      <c r="CB5" s="229">
        <v>-2.7000000000000001E-3</v>
      </c>
      <c r="CC5" s="230">
        <v>1691</v>
      </c>
      <c r="CD5" s="230">
        <v>1697</v>
      </c>
      <c r="CE5" s="228">
        <v>-5</v>
      </c>
      <c r="CF5" s="229">
        <v>-3.2000000000000002E-3</v>
      </c>
      <c r="CG5" s="228">
        <v>22</v>
      </c>
      <c r="CH5" s="228">
        <v>21</v>
      </c>
      <c r="CI5" s="228">
        <v>0</v>
      </c>
      <c r="CJ5" s="229">
        <v>2.0799999999999999E-2</v>
      </c>
      <c r="CK5" s="228">
        <v>2</v>
      </c>
      <c r="CL5" s="228">
        <v>2</v>
      </c>
      <c r="CM5" s="228">
        <v>0</v>
      </c>
      <c r="CN5" s="229">
        <v>0.1875</v>
      </c>
      <c r="CO5" s="228">
        <v>325</v>
      </c>
      <c r="CP5" s="228">
        <v>316</v>
      </c>
      <c r="CQ5" s="228">
        <v>9</v>
      </c>
      <c r="CR5" s="229">
        <v>0.03</v>
      </c>
      <c r="CS5" s="228">
        <v>194</v>
      </c>
      <c r="CT5" s="228">
        <v>195</v>
      </c>
      <c r="CU5" s="228">
        <v>-2</v>
      </c>
      <c r="CV5" s="229">
        <v>-8.3999999999999995E-3</v>
      </c>
      <c r="CW5" s="230">
        <v>2234</v>
      </c>
      <c r="CX5" s="230">
        <v>2231</v>
      </c>
      <c r="CY5" s="228">
        <v>3</v>
      </c>
      <c r="CZ5" s="229">
        <v>1.5E-3</v>
      </c>
      <c r="DA5" s="228">
        <v>34.020000000000003</v>
      </c>
      <c r="DB5" s="228">
        <v>35.93</v>
      </c>
      <c r="DC5" s="228">
        <v>-1.91</v>
      </c>
      <c r="DD5" s="228">
        <v>-1.91</v>
      </c>
      <c r="DE5" s="228">
        <v>56.29</v>
      </c>
      <c r="DF5" s="228">
        <v>56.42</v>
      </c>
      <c r="DG5" s="228">
        <v>-22.27</v>
      </c>
      <c r="DH5" s="228">
        <v>-0.13</v>
      </c>
      <c r="DI5" s="228">
        <v>34.14</v>
      </c>
      <c r="DJ5" s="228">
        <v>36.119999999999997</v>
      </c>
      <c r="DK5" s="228">
        <v>-1.98</v>
      </c>
      <c r="DL5" s="228">
        <v>-1.98</v>
      </c>
      <c r="DM5" s="228">
        <v>33.65</v>
      </c>
      <c r="DN5" s="228">
        <v>35.26</v>
      </c>
      <c r="DO5" s="228">
        <v>-1.61</v>
      </c>
      <c r="DP5" s="228">
        <v>-1.61</v>
      </c>
      <c r="DQ5" s="228">
        <v>0.6</v>
      </c>
      <c r="DR5" s="228">
        <v>0.62</v>
      </c>
      <c r="DS5" s="228">
        <v>-0.02</v>
      </c>
      <c r="DT5" s="229">
        <v>-3.2300000000000002E-2</v>
      </c>
      <c r="DU5" s="231">
        <v>1000</v>
      </c>
      <c r="DV5" s="228">
        <v>900</v>
      </c>
      <c r="DW5" s="228">
        <v>0.32</v>
      </c>
      <c r="DX5" s="228">
        <v>0.28000000000000003</v>
      </c>
      <c r="DY5" s="228">
        <v>0.04</v>
      </c>
      <c r="DZ5" s="229">
        <v>0.1429</v>
      </c>
      <c r="EA5" s="229">
        <v>1.4E-2</v>
      </c>
      <c r="EB5" s="230">
        <v>248400</v>
      </c>
      <c r="EC5" s="229">
        <v>4.0000000000000001E-3</v>
      </c>
      <c r="ED5" s="229">
        <v>1.4E-2</v>
      </c>
      <c r="EE5" s="228">
        <v>4.51</v>
      </c>
      <c r="EF5" s="229">
        <v>4.8999999999999998E-3</v>
      </c>
      <c r="EG5" s="230">
        <v>363718</v>
      </c>
      <c r="EH5" s="230">
        <v>1044247</v>
      </c>
      <c r="EI5" s="229">
        <v>-0.65169999999999995</v>
      </c>
      <c r="EJ5" s="229">
        <v>0.3453</v>
      </c>
      <c r="EK5" s="228">
        <v>401.09</v>
      </c>
      <c r="EL5" s="228">
        <v>120.58</v>
      </c>
      <c r="EM5" s="228">
        <v>166</v>
      </c>
      <c r="EN5" s="228">
        <v>25.61</v>
      </c>
      <c r="EO5" s="228">
        <v>687.67</v>
      </c>
      <c r="EP5" s="228">
        <v>681.72</v>
      </c>
      <c r="EQ5" s="228">
        <v>5.95</v>
      </c>
      <c r="ER5" s="229">
        <v>8.6999999999999994E-3</v>
      </c>
      <c r="ES5" s="228">
        <v>335.89</v>
      </c>
      <c r="ET5" s="228">
        <v>180.87</v>
      </c>
      <c r="EU5" s="231">
        <v>1715.52</v>
      </c>
      <c r="EV5" s="231">
        <v>51907388</v>
      </c>
      <c r="EW5" s="231">
        <v>2232.2800000000002</v>
      </c>
      <c r="EX5" s="231">
        <v>2234.06</v>
      </c>
      <c r="EY5" s="228">
        <v>-1.78</v>
      </c>
      <c r="EZ5" s="229">
        <v>-8.0000000000000004E-4</v>
      </c>
      <c r="FA5" s="229">
        <v>0.46229999999999999</v>
      </c>
      <c r="FB5" s="227" t="s">
        <v>568</v>
      </c>
      <c r="FC5">
        <f t="shared" si="0"/>
        <v>24</v>
      </c>
    </row>
    <row r="6" spans="1:159" ht="17.25" thickBot="1" x14ac:dyDescent="0.3">
      <c r="A6" s="226">
        <v>45940</v>
      </c>
      <c r="B6" s="227" t="s">
        <v>215</v>
      </c>
      <c r="C6" s="227" t="s">
        <v>159</v>
      </c>
      <c r="D6" s="228">
        <v>300</v>
      </c>
      <c r="E6" s="228">
        <v>18</v>
      </c>
      <c r="F6" s="231">
        <v>2564.6999999999998</v>
      </c>
      <c r="G6" s="231">
        <v>2557.9</v>
      </c>
      <c r="H6" s="228">
        <v>6.8</v>
      </c>
      <c r="I6" s="229">
        <v>2.7000000000000001E-3</v>
      </c>
      <c r="J6" s="231">
        <v>2550.9</v>
      </c>
      <c r="K6" s="231">
        <v>2542.4</v>
      </c>
      <c r="L6" s="228">
        <v>8.5</v>
      </c>
      <c r="M6" s="229">
        <v>3.3E-3</v>
      </c>
      <c r="N6" s="231">
        <v>2564.6999999999998</v>
      </c>
      <c r="O6" s="231">
        <v>2557.9</v>
      </c>
      <c r="P6" s="228">
        <v>6.8</v>
      </c>
      <c r="Q6" s="229">
        <v>2.7000000000000001E-3</v>
      </c>
      <c r="R6" s="231">
        <v>2579.3000000000002</v>
      </c>
      <c r="S6" s="231">
        <v>2572.1999999999998</v>
      </c>
      <c r="T6" s="228">
        <v>7.1</v>
      </c>
      <c r="U6" s="229">
        <v>2.8E-3</v>
      </c>
      <c r="V6" s="231">
        <v>2594.8000000000002</v>
      </c>
      <c r="W6" s="231">
        <v>2587.9</v>
      </c>
      <c r="X6" s="228">
        <v>6.9</v>
      </c>
      <c r="Y6" s="229">
        <v>2.7000000000000001E-3</v>
      </c>
      <c r="Z6" s="228">
        <v>13.8</v>
      </c>
      <c r="AA6" s="228">
        <v>15.5</v>
      </c>
      <c r="AB6" s="228">
        <v>-1.7</v>
      </c>
      <c r="AC6" s="229">
        <v>5.4000000000000003E-3</v>
      </c>
      <c r="AD6" s="228">
        <v>13.8</v>
      </c>
      <c r="AE6" s="228">
        <v>15.5</v>
      </c>
      <c r="AF6" s="228">
        <v>-1.7</v>
      </c>
      <c r="AG6" s="229">
        <v>5.4000000000000003E-3</v>
      </c>
      <c r="AH6" s="228">
        <v>28.4</v>
      </c>
      <c r="AI6" s="228">
        <v>29.8</v>
      </c>
      <c r="AJ6" s="228">
        <v>-1.4</v>
      </c>
      <c r="AK6" s="229">
        <v>1.11E-2</v>
      </c>
      <c r="AL6" s="228">
        <v>43.9</v>
      </c>
      <c r="AM6" s="228">
        <v>45.5</v>
      </c>
      <c r="AN6" s="228">
        <v>-1.6</v>
      </c>
      <c r="AO6" s="229">
        <v>1.72E-2</v>
      </c>
      <c r="AP6" s="231">
        <v>2566.5300000000002</v>
      </c>
      <c r="AQ6" s="231">
        <v>2580.4299999999998</v>
      </c>
      <c r="AR6" s="228">
        <v>0</v>
      </c>
      <c r="AS6" s="228">
        <v>366</v>
      </c>
      <c r="AT6" s="228">
        <v>324</v>
      </c>
      <c r="AU6" s="228">
        <v>42</v>
      </c>
      <c r="AV6" s="229">
        <v>0.13089999999999999</v>
      </c>
      <c r="AW6" s="228">
        <v>341</v>
      </c>
      <c r="AX6" s="228">
        <v>309</v>
      </c>
      <c r="AY6" s="228">
        <v>32</v>
      </c>
      <c r="AZ6" s="229">
        <v>0.1047</v>
      </c>
      <c r="BA6" s="228">
        <v>21</v>
      </c>
      <c r="BB6" s="228">
        <v>15</v>
      </c>
      <c r="BC6" s="228">
        <v>7</v>
      </c>
      <c r="BD6" s="229">
        <v>0.44040000000000001</v>
      </c>
      <c r="BE6" s="228">
        <v>4</v>
      </c>
      <c r="BF6" s="228">
        <v>1</v>
      </c>
      <c r="BG6" s="228">
        <v>4</v>
      </c>
      <c r="BH6" s="229">
        <v>6.5713999999999997</v>
      </c>
      <c r="BI6" s="230">
        <v>1888</v>
      </c>
      <c r="BJ6" s="230">
        <v>2136</v>
      </c>
      <c r="BK6" s="228">
        <v>-248</v>
      </c>
      <c r="BL6" s="229">
        <v>-0.11600000000000001</v>
      </c>
      <c r="BM6" s="228">
        <v>688</v>
      </c>
      <c r="BN6" s="228">
        <v>718</v>
      </c>
      <c r="BO6" s="228">
        <v>-31</v>
      </c>
      <c r="BP6" s="229">
        <v>-4.2599999999999999E-2</v>
      </c>
      <c r="BQ6" s="230">
        <v>2942</v>
      </c>
      <c r="BR6" s="230">
        <v>3178</v>
      </c>
      <c r="BS6" s="228">
        <v>-236</v>
      </c>
      <c r="BT6" s="229">
        <v>-7.4200000000000002E-2</v>
      </c>
      <c r="BU6" s="230">
        <v>711321</v>
      </c>
      <c r="BV6" s="230">
        <v>681679</v>
      </c>
      <c r="BW6" s="230">
        <v>29642</v>
      </c>
      <c r="BX6" s="229">
        <v>4.3499999999999997E-2</v>
      </c>
      <c r="BY6" s="230">
        <v>3667</v>
      </c>
      <c r="BZ6" s="230">
        <v>3673</v>
      </c>
      <c r="CA6" s="228">
        <v>-7</v>
      </c>
      <c r="CB6" s="229">
        <v>-1.8E-3</v>
      </c>
      <c r="CC6" s="230">
        <v>3580</v>
      </c>
      <c r="CD6" s="230">
        <v>3596</v>
      </c>
      <c r="CE6" s="228">
        <v>-15</v>
      </c>
      <c r="CF6" s="229">
        <v>-4.1999999999999997E-3</v>
      </c>
      <c r="CG6" s="228">
        <v>79</v>
      </c>
      <c r="CH6" s="228">
        <v>74</v>
      </c>
      <c r="CI6" s="228">
        <v>6</v>
      </c>
      <c r="CJ6" s="229">
        <v>8.0500000000000002E-2</v>
      </c>
      <c r="CK6" s="228">
        <v>7</v>
      </c>
      <c r="CL6" s="228">
        <v>4</v>
      </c>
      <c r="CM6" s="228">
        <v>3</v>
      </c>
      <c r="CN6" s="229">
        <v>0.625</v>
      </c>
      <c r="CO6" s="230">
        <v>2097</v>
      </c>
      <c r="CP6" s="230">
        <v>2088</v>
      </c>
      <c r="CQ6" s="228">
        <v>9</v>
      </c>
      <c r="CR6" s="229">
        <v>4.3E-3</v>
      </c>
      <c r="CS6" s="230">
        <v>1206</v>
      </c>
      <c r="CT6" s="230">
        <v>1180</v>
      </c>
      <c r="CU6" s="228">
        <v>26</v>
      </c>
      <c r="CV6" s="229">
        <v>2.1899999999999999E-2</v>
      </c>
      <c r="CW6" s="230">
        <v>6970</v>
      </c>
      <c r="CX6" s="230">
        <v>6941</v>
      </c>
      <c r="CY6" s="228">
        <v>28</v>
      </c>
      <c r="CZ6" s="229">
        <v>4.1000000000000003E-3</v>
      </c>
      <c r="DA6" s="228">
        <v>29.53</v>
      </c>
      <c r="DB6" s="228">
        <v>30.51</v>
      </c>
      <c r="DC6" s="228">
        <v>-0.98</v>
      </c>
      <c r="DD6" s="228">
        <v>-0.98</v>
      </c>
      <c r="DE6" s="228">
        <v>49.74</v>
      </c>
      <c r="DF6" s="228">
        <v>49.86</v>
      </c>
      <c r="DG6" s="228">
        <v>-20.21</v>
      </c>
      <c r="DH6" s="228">
        <v>-0.12</v>
      </c>
      <c r="DI6" s="228">
        <v>29.7</v>
      </c>
      <c r="DJ6" s="228">
        <v>30.7</v>
      </c>
      <c r="DK6" s="228">
        <v>-1</v>
      </c>
      <c r="DL6" s="228">
        <v>-1</v>
      </c>
      <c r="DM6" s="228">
        <v>29.05</v>
      </c>
      <c r="DN6" s="228">
        <v>29.95</v>
      </c>
      <c r="DO6" s="228">
        <v>-0.9</v>
      </c>
      <c r="DP6" s="228">
        <v>-0.9</v>
      </c>
      <c r="DQ6" s="228">
        <v>0.56999999999999995</v>
      </c>
      <c r="DR6" s="228">
        <v>0.56999999999999995</v>
      </c>
      <c r="DS6" s="228">
        <v>0</v>
      </c>
      <c r="DT6" s="229">
        <v>0</v>
      </c>
      <c r="DU6" s="231">
        <v>2600</v>
      </c>
      <c r="DV6" s="231">
        <v>2500</v>
      </c>
      <c r="DW6" s="228">
        <v>0.36</v>
      </c>
      <c r="DX6" s="228">
        <v>0.34</v>
      </c>
      <c r="DY6" s="228">
        <v>0.02</v>
      </c>
      <c r="DZ6" s="229">
        <v>5.8799999999999998E-2</v>
      </c>
      <c r="EA6" s="229">
        <v>2.3599999999999999E-2</v>
      </c>
      <c r="EB6" s="230">
        <v>303600</v>
      </c>
      <c r="EC6" s="229">
        <v>5.7000000000000002E-3</v>
      </c>
      <c r="ED6" s="229">
        <v>2.3599999999999999E-2</v>
      </c>
      <c r="EE6" s="228">
        <v>13.9</v>
      </c>
      <c r="EF6" s="229">
        <v>5.4000000000000003E-3</v>
      </c>
      <c r="EG6" s="230">
        <v>248411</v>
      </c>
      <c r="EH6" s="230">
        <v>190865</v>
      </c>
      <c r="EI6" s="229">
        <v>0.30149999999999999</v>
      </c>
      <c r="EJ6" s="229">
        <v>0.34920000000000001</v>
      </c>
      <c r="EK6" s="231">
        <v>1971.62</v>
      </c>
      <c r="EL6" s="228">
        <v>683.65</v>
      </c>
      <c r="EM6" s="228">
        <v>366.74</v>
      </c>
      <c r="EN6" s="228">
        <v>68</v>
      </c>
      <c r="EO6" s="231">
        <v>3022.01</v>
      </c>
      <c r="EP6" s="231">
        <v>3262.82</v>
      </c>
      <c r="EQ6" s="228">
        <v>-240.8</v>
      </c>
      <c r="ER6" s="229">
        <v>-7.3800000000000004E-2</v>
      </c>
      <c r="ES6" s="231">
        <v>2193.9</v>
      </c>
      <c r="ET6" s="231">
        <v>1174.05</v>
      </c>
      <c r="EU6" s="231">
        <v>3667.47</v>
      </c>
      <c r="EV6" s="231">
        <v>30040977</v>
      </c>
      <c r="EW6" s="231">
        <v>7035.41</v>
      </c>
      <c r="EX6" s="231">
        <v>6998.23</v>
      </c>
      <c r="EY6" s="228">
        <v>37.18</v>
      </c>
      <c r="EZ6" s="229">
        <v>5.3E-3</v>
      </c>
      <c r="FA6" s="229">
        <v>0.90459999999999996</v>
      </c>
      <c r="FB6" s="227" t="s">
        <v>556</v>
      </c>
      <c r="FC6">
        <f t="shared" si="0"/>
        <v>87</v>
      </c>
    </row>
    <row r="7" spans="1:159" ht="17.25" thickBot="1" x14ac:dyDescent="0.3">
      <c r="A7" s="226">
        <v>45940</v>
      </c>
      <c r="B7" s="227" t="s">
        <v>161</v>
      </c>
      <c r="C7" s="227" t="s">
        <v>607</v>
      </c>
      <c r="D7" s="228">
        <v>600</v>
      </c>
      <c r="E7" s="228">
        <v>18</v>
      </c>
      <c r="F7" s="231">
        <v>1070.2</v>
      </c>
      <c r="G7" s="231">
        <v>1056.5999999999999</v>
      </c>
      <c r="H7" s="228">
        <v>13.6</v>
      </c>
      <c r="I7" s="229">
        <v>1.29E-2</v>
      </c>
      <c r="J7" s="231">
        <v>1064.3</v>
      </c>
      <c r="K7" s="231">
        <v>1051.5</v>
      </c>
      <c r="L7" s="228">
        <v>12.8</v>
      </c>
      <c r="M7" s="229">
        <v>1.2200000000000001E-2</v>
      </c>
      <c r="N7" s="231">
        <v>1070.2</v>
      </c>
      <c r="O7" s="231">
        <v>1056.5999999999999</v>
      </c>
      <c r="P7" s="228">
        <v>13.6</v>
      </c>
      <c r="Q7" s="229">
        <v>1.29E-2</v>
      </c>
      <c r="R7" s="231">
        <v>1075</v>
      </c>
      <c r="S7" s="231">
        <v>1063.4000000000001</v>
      </c>
      <c r="T7" s="228">
        <v>11.6</v>
      </c>
      <c r="U7" s="229">
        <v>1.09E-2</v>
      </c>
      <c r="V7" s="231">
        <v>1082.4000000000001</v>
      </c>
      <c r="W7" s="231">
        <v>1068.7</v>
      </c>
      <c r="X7" s="228">
        <v>13.7</v>
      </c>
      <c r="Y7" s="229">
        <v>1.2800000000000001E-2</v>
      </c>
      <c r="Z7" s="228">
        <v>5.9</v>
      </c>
      <c r="AA7" s="228">
        <v>5.0999999999999996</v>
      </c>
      <c r="AB7" s="228">
        <v>0.8</v>
      </c>
      <c r="AC7" s="229">
        <v>5.4999999999999997E-3</v>
      </c>
      <c r="AD7" s="228">
        <v>5.9</v>
      </c>
      <c r="AE7" s="228">
        <v>5.0999999999999996</v>
      </c>
      <c r="AF7" s="228">
        <v>0.8</v>
      </c>
      <c r="AG7" s="229">
        <v>5.4999999999999997E-3</v>
      </c>
      <c r="AH7" s="228">
        <v>10.7</v>
      </c>
      <c r="AI7" s="228">
        <v>11.9</v>
      </c>
      <c r="AJ7" s="228">
        <v>-1.2</v>
      </c>
      <c r="AK7" s="229">
        <v>1.01E-2</v>
      </c>
      <c r="AL7" s="228">
        <v>18.100000000000001</v>
      </c>
      <c r="AM7" s="228">
        <v>17.2</v>
      </c>
      <c r="AN7" s="228">
        <v>0.9</v>
      </c>
      <c r="AO7" s="229">
        <v>1.7000000000000001E-2</v>
      </c>
      <c r="AP7" s="231">
        <v>1068.0899999999999</v>
      </c>
      <c r="AQ7" s="231">
        <v>1072.6500000000001</v>
      </c>
      <c r="AR7" s="228">
        <v>0</v>
      </c>
      <c r="AS7" s="228">
        <v>266</v>
      </c>
      <c r="AT7" s="228">
        <v>185</v>
      </c>
      <c r="AU7" s="228">
        <v>81</v>
      </c>
      <c r="AV7" s="229">
        <v>0.43959999999999999</v>
      </c>
      <c r="AW7" s="228">
        <v>246</v>
      </c>
      <c r="AX7" s="228">
        <v>171</v>
      </c>
      <c r="AY7" s="228">
        <v>74</v>
      </c>
      <c r="AZ7" s="229">
        <v>0.43309999999999998</v>
      </c>
      <c r="BA7" s="228">
        <v>19</v>
      </c>
      <c r="BB7" s="228">
        <v>12</v>
      </c>
      <c r="BC7" s="228">
        <v>7</v>
      </c>
      <c r="BD7" s="229">
        <v>0.53969999999999996</v>
      </c>
      <c r="BE7" s="228">
        <v>2</v>
      </c>
      <c r="BF7" s="228">
        <v>1</v>
      </c>
      <c r="BG7" s="228">
        <v>1</v>
      </c>
      <c r="BH7" s="229">
        <v>0.36359999999999998</v>
      </c>
      <c r="BI7" s="230">
        <v>1236</v>
      </c>
      <c r="BJ7" s="228">
        <v>834</v>
      </c>
      <c r="BK7" s="228">
        <v>403</v>
      </c>
      <c r="BL7" s="229">
        <v>0.48280000000000001</v>
      </c>
      <c r="BM7" s="228">
        <v>383</v>
      </c>
      <c r="BN7" s="228">
        <v>263</v>
      </c>
      <c r="BO7" s="228">
        <v>120</v>
      </c>
      <c r="BP7" s="229">
        <v>0.45829999999999999</v>
      </c>
      <c r="BQ7" s="230">
        <v>1886</v>
      </c>
      <c r="BR7" s="230">
        <v>1281</v>
      </c>
      <c r="BS7" s="228">
        <v>604</v>
      </c>
      <c r="BT7" s="229">
        <v>0.47160000000000002</v>
      </c>
      <c r="BU7" s="230">
        <v>1429313</v>
      </c>
      <c r="BV7" s="230">
        <v>1283224</v>
      </c>
      <c r="BW7" s="230">
        <v>146089</v>
      </c>
      <c r="BX7" s="229">
        <v>0.1138</v>
      </c>
      <c r="BY7" s="230">
        <v>2200</v>
      </c>
      <c r="BZ7" s="230">
        <v>2171</v>
      </c>
      <c r="CA7" s="228">
        <v>29</v>
      </c>
      <c r="CB7" s="229">
        <v>1.32E-2</v>
      </c>
      <c r="CC7" s="230">
        <v>2120</v>
      </c>
      <c r="CD7" s="230">
        <v>2095</v>
      </c>
      <c r="CE7" s="228">
        <v>25</v>
      </c>
      <c r="CF7" s="229">
        <v>1.1900000000000001E-2</v>
      </c>
      <c r="CG7" s="228">
        <v>73</v>
      </c>
      <c r="CH7" s="228">
        <v>69</v>
      </c>
      <c r="CI7" s="228">
        <v>4</v>
      </c>
      <c r="CJ7" s="229">
        <v>5.4899999999999997E-2</v>
      </c>
      <c r="CK7" s="228">
        <v>7</v>
      </c>
      <c r="CL7" s="228">
        <v>8</v>
      </c>
      <c r="CM7" s="228">
        <v>0</v>
      </c>
      <c r="CN7" s="229">
        <v>-2.5399999999999999E-2</v>
      </c>
      <c r="CO7" s="230">
        <v>1122</v>
      </c>
      <c r="CP7" s="230">
        <v>1159</v>
      </c>
      <c r="CQ7" s="228">
        <v>-37</v>
      </c>
      <c r="CR7" s="229">
        <v>-3.1899999999999998E-2</v>
      </c>
      <c r="CS7" s="228">
        <v>570</v>
      </c>
      <c r="CT7" s="228">
        <v>563</v>
      </c>
      <c r="CU7" s="228">
        <v>7</v>
      </c>
      <c r="CV7" s="229">
        <v>1.23E-2</v>
      </c>
      <c r="CW7" s="230">
        <v>3892</v>
      </c>
      <c r="CX7" s="230">
        <v>3893</v>
      </c>
      <c r="CY7" s="228">
        <v>-1</v>
      </c>
      <c r="CZ7" s="229">
        <v>-4.0000000000000002E-4</v>
      </c>
      <c r="DA7" s="228">
        <v>40</v>
      </c>
      <c r="DB7" s="228">
        <v>40.99</v>
      </c>
      <c r="DC7" s="228">
        <v>-0.99</v>
      </c>
      <c r="DD7" s="228">
        <v>-0.99</v>
      </c>
      <c r="DE7" s="228">
        <v>58.9</v>
      </c>
      <c r="DF7" s="228">
        <v>59.03</v>
      </c>
      <c r="DG7" s="228">
        <v>-18.899999999999999</v>
      </c>
      <c r="DH7" s="228">
        <v>-0.13</v>
      </c>
      <c r="DI7" s="228">
        <v>40.299999999999997</v>
      </c>
      <c r="DJ7" s="228">
        <v>41.22</v>
      </c>
      <c r="DK7" s="228">
        <v>-0.92</v>
      </c>
      <c r="DL7" s="228">
        <v>-0.92</v>
      </c>
      <c r="DM7" s="228">
        <v>39.020000000000003</v>
      </c>
      <c r="DN7" s="228">
        <v>40.24</v>
      </c>
      <c r="DO7" s="228">
        <v>-1.22</v>
      </c>
      <c r="DP7" s="228">
        <v>-1.22</v>
      </c>
      <c r="DQ7" s="228">
        <v>0.51</v>
      </c>
      <c r="DR7" s="228">
        <v>0.49</v>
      </c>
      <c r="DS7" s="228">
        <v>0.02</v>
      </c>
      <c r="DT7" s="229">
        <v>4.0800000000000003E-2</v>
      </c>
      <c r="DU7" s="231">
        <v>1100</v>
      </c>
      <c r="DV7" s="231">
        <v>1000</v>
      </c>
      <c r="DW7" s="228">
        <v>0.31</v>
      </c>
      <c r="DX7" s="228">
        <v>0.32</v>
      </c>
      <c r="DY7" s="228">
        <v>-0.01</v>
      </c>
      <c r="DZ7" s="229">
        <v>-3.1300000000000001E-2</v>
      </c>
      <c r="EA7" s="229">
        <v>3.6400000000000002E-2</v>
      </c>
      <c r="EB7" s="230">
        <v>715200</v>
      </c>
      <c r="EC7" s="229">
        <v>4.4999999999999997E-3</v>
      </c>
      <c r="ED7" s="229">
        <v>3.6400000000000002E-2</v>
      </c>
      <c r="EE7" s="228">
        <v>4.5599999999999996</v>
      </c>
      <c r="EF7" s="229">
        <v>4.3E-3</v>
      </c>
      <c r="EG7" s="230">
        <v>419471</v>
      </c>
      <c r="EH7" s="230">
        <v>375867</v>
      </c>
      <c r="EI7" s="229">
        <v>0.11600000000000001</v>
      </c>
      <c r="EJ7" s="229">
        <v>0.29349999999999998</v>
      </c>
      <c r="EK7" s="231">
        <v>1313.78</v>
      </c>
      <c r="EL7" s="228">
        <v>372.57</v>
      </c>
      <c r="EM7" s="228">
        <v>265.8</v>
      </c>
      <c r="EN7" s="228">
        <v>45.44</v>
      </c>
      <c r="EO7" s="231">
        <v>1952.15</v>
      </c>
      <c r="EP7" s="231">
        <v>1320.82</v>
      </c>
      <c r="EQ7" s="228">
        <v>631.33000000000004</v>
      </c>
      <c r="ER7" s="229">
        <v>0.47799999999999998</v>
      </c>
      <c r="ES7" s="231">
        <v>1192.9100000000001</v>
      </c>
      <c r="ET7" s="228">
        <v>550.32000000000005</v>
      </c>
      <c r="EU7" s="231">
        <v>2200.38</v>
      </c>
      <c r="EV7" s="231">
        <v>61877951</v>
      </c>
      <c r="EW7" s="231">
        <v>3943.61</v>
      </c>
      <c r="EX7" s="231">
        <v>3918.36</v>
      </c>
      <c r="EY7" s="228">
        <v>25.25</v>
      </c>
      <c r="EZ7" s="229">
        <v>6.4000000000000003E-3</v>
      </c>
      <c r="FA7" s="229">
        <v>0.5877</v>
      </c>
      <c r="FB7" s="227" t="s">
        <v>555</v>
      </c>
      <c r="FC7">
        <f t="shared" si="0"/>
        <v>80</v>
      </c>
    </row>
    <row r="8" spans="1:159" ht="17.25" thickBot="1" x14ac:dyDescent="0.3">
      <c r="A8" s="226">
        <v>45940</v>
      </c>
      <c r="B8" s="227" t="s">
        <v>215</v>
      </c>
      <c r="C8" s="227" t="s">
        <v>160</v>
      </c>
      <c r="D8" s="228">
        <v>475</v>
      </c>
      <c r="E8" s="228">
        <v>18</v>
      </c>
      <c r="F8" s="231">
        <v>1417.3</v>
      </c>
      <c r="G8" s="231">
        <v>1403.9</v>
      </c>
      <c r="H8" s="228">
        <v>13.4</v>
      </c>
      <c r="I8" s="229">
        <v>9.4999999999999998E-3</v>
      </c>
      <c r="J8" s="231">
        <v>1409.4</v>
      </c>
      <c r="K8" s="231">
        <v>1395.6</v>
      </c>
      <c r="L8" s="228">
        <v>13.8</v>
      </c>
      <c r="M8" s="229">
        <v>9.9000000000000008E-3</v>
      </c>
      <c r="N8" s="231">
        <v>1417.3</v>
      </c>
      <c r="O8" s="231">
        <v>1403.9</v>
      </c>
      <c r="P8" s="228">
        <v>13.4</v>
      </c>
      <c r="Q8" s="229">
        <v>9.4999999999999998E-3</v>
      </c>
      <c r="R8" s="231">
        <v>1425.1</v>
      </c>
      <c r="S8" s="231">
        <v>1411.6</v>
      </c>
      <c r="T8" s="228">
        <v>13.5</v>
      </c>
      <c r="U8" s="229">
        <v>9.5999999999999992E-3</v>
      </c>
      <c r="V8" s="231">
        <v>1432.9</v>
      </c>
      <c r="W8" s="231">
        <v>1420.4</v>
      </c>
      <c r="X8" s="228">
        <v>12.5</v>
      </c>
      <c r="Y8" s="229">
        <v>8.8000000000000005E-3</v>
      </c>
      <c r="Z8" s="228">
        <v>7.9</v>
      </c>
      <c r="AA8" s="228">
        <v>8.3000000000000007</v>
      </c>
      <c r="AB8" s="228">
        <v>-0.4</v>
      </c>
      <c r="AC8" s="229">
        <v>5.5999999999999999E-3</v>
      </c>
      <c r="AD8" s="228">
        <v>7.9</v>
      </c>
      <c r="AE8" s="228">
        <v>8.3000000000000007</v>
      </c>
      <c r="AF8" s="228">
        <v>-0.4</v>
      </c>
      <c r="AG8" s="229">
        <v>5.5999999999999999E-3</v>
      </c>
      <c r="AH8" s="228">
        <v>15.7</v>
      </c>
      <c r="AI8" s="228">
        <v>16</v>
      </c>
      <c r="AJ8" s="228">
        <v>-0.3</v>
      </c>
      <c r="AK8" s="229">
        <v>1.11E-2</v>
      </c>
      <c r="AL8" s="228">
        <v>23.5</v>
      </c>
      <c r="AM8" s="228">
        <v>24.8</v>
      </c>
      <c r="AN8" s="228">
        <v>-1.3</v>
      </c>
      <c r="AO8" s="229">
        <v>1.67E-2</v>
      </c>
      <c r="AP8" s="231">
        <v>1418.43</v>
      </c>
      <c r="AQ8" s="231">
        <v>1425.35</v>
      </c>
      <c r="AR8" s="228">
        <v>0</v>
      </c>
      <c r="AS8" s="228">
        <v>377</v>
      </c>
      <c r="AT8" s="228">
        <v>217</v>
      </c>
      <c r="AU8" s="228">
        <v>160</v>
      </c>
      <c r="AV8" s="229">
        <v>0.73740000000000006</v>
      </c>
      <c r="AW8" s="228">
        <v>336</v>
      </c>
      <c r="AX8" s="228">
        <v>199</v>
      </c>
      <c r="AY8" s="228">
        <v>137</v>
      </c>
      <c r="AZ8" s="229">
        <v>0.68910000000000005</v>
      </c>
      <c r="BA8" s="228">
        <v>34</v>
      </c>
      <c r="BB8" s="228">
        <v>16</v>
      </c>
      <c r="BC8" s="228">
        <v>18</v>
      </c>
      <c r="BD8" s="229">
        <v>1.1156999999999999</v>
      </c>
      <c r="BE8" s="228">
        <v>6</v>
      </c>
      <c r="BF8" s="228">
        <v>2</v>
      </c>
      <c r="BG8" s="228">
        <v>5</v>
      </c>
      <c r="BH8" s="229">
        <v>2.875</v>
      </c>
      <c r="BI8" s="230">
        <v>1839</v>
      </c>
      <c r="BJ8" s="228">
        <v>818</v>
      </c>
      <c r="BK8" s="230">
        <v>1021</v>
      </c>
      <c r="BL8" s="229">
        <v>1.2484</v>
      </c>
      <c r="BM8" s="228">
        <v>605</v>
      </c>
      <c r="BN8" s="228">
        <v>343</v>
      </c>
      <c r="BO8" s="228">
        <v>262</v>
      </c>
      <c r="BP8" s="229">
        <v>0.76619999999999999</v>
      </c>
      <c r="BQ8" s="230">
        <v>2821</v>
      </c>
      <c r="BR8" s="230">
        <v>1378</v>
      </c>
      <c r="BS8" s="230">
        <v>1444</v>
      </c>
      <c r="BT8" s="229">
        <v>1.0479000000000001</v>
      </c>
      <c r="BU8" s="230">
        <v>1469048</v>
      </c>
      <c r="BV8" s="230">
        <v>1289851</v>
      </c>
      <c r="BW8" s="230">
        <v>179197</v>
      </c>
      <c r="BX8" s="229">
        <v>0.1389</v>
      </c>
      <c r="BY8" s="230">
        <v>3238</v>
      </c>
      <c r="BZ8" s="230">
        <v>3221</v>
      </c>
      <c r="CA8" s="228">
        <v>16</v>
      </c>
      <c r="CB8" s="229">
        <v>5.0000000000000001E-3</v>
      </c>
      <c r="CC8" s="230">
        <v>3125</v>
      </c>
      <c r="CD8" s="230">
        <v>3121</v>
      </c>
      <c r="CE8" s="228">
        <v>4</v>
      </c>
      <c r="CF8" s="229">
        <v>1.4E-3</v>
      </c>
      <c r="CG8" s="228">
        <v>103</v>
      </c>
      <c r="CH8" s="228">
        <v>94</v>
      </c>
      <c r="CI8" s="228">
        <v>10</v>
      </c>
      <c r="CJ8" s="229">
        <v>0.1027</v>
      </c>
      <c r="CK8" s="228">
        <v>9</v>
      </c>
      <c r="CL8" s="228">
        <v>7</v>
      </c>
      <c r="CM8" s="228">
        <v>2</v>
      </c>
      <c r="CN8" s="229">
        <v>0.29809999999999998</v>
      </c>
      <c r="CO8" s="230">
        <v>1070</v>
      </c>
      <c r="CP8" s="230">
        <v>1078</v>
      </c>
      <c r="CQ8" s="228">
        <v>-8</v>
      </c>
      <c r="CR8" s="229">
        <v>-7.4000000000000003E-3</v>
      </c>
      <c r="CS8" s="228">
        <v>636</v>
      </c>
      <c r="CT8" s="228">
        <v>636</v>
      </c>
      <c r="CU8" s="228">
        <v>-1</v>
      </c>
      <c r="CV8" s="229">
        <v>-1.4E-3</v>
      </c>
      <c r="CW8" s="230">
        <v>4943</v>
      </c>
      <c r="CX8" s="230">
        <v>4936</v>
      </c>
      <c r="CY8" s="228">
        <v>7</v>
      </c>
      <c r="CZ8" s="229">
        <v>1.5E-3</v>
      </c>
      <c r="DA8" s="228">
        <v>22.83</v>
      </c>
      <c r="DB8" s="228">
        <v>23.54</v>
      </c>
      <c r="DC8" s="228">
        <v>-0.71</v>
      </c>
      <c r="DD8" s="228">
        <v>-0.71</v>
      </c>
      <c r="DE8" s="228">
        <v>39.21</v>
      </c>
      <c r="DF8" s="228">
        <v>39.28</v>
      </c>
      <c r="DG8" s="228">
        <v>-16.38</v>
      </c>
      <c r="DH8" s="228">
        <v>-7.0000000000000007E-2</v>
      </c>
      <c r="DI8" s="228">
        <v>22.86</v>
      </c>
      <c r="DJ8" s="228">
        <v>23.67</v>
      </c>
      <c r="DK8" s="228">
        <v>-0.81</v>
      </c>
      <c r="DL8" s="228">
        <v>-0.81</v>
      </c>
      <c r="DM8" s="228">
        <v>22.72</v>
      </c>
      <c r="DN8" s="228">
        <v>23.21</v>
      </c>
      <c r="DO8" s="228">
        <v>-0.49</v>
      </c>
      <c r="DP8" s="228">
        <v>-0.49</v>
      </c>
      <c r="DQ8" s="228">
        <v>0.59</v>
      </c>
      <c r="DR8" s="228">
        <v>0.59</v>
      </c>
      <c r="DS8" s="228">
        <v>0</v>
      </c>
      <c r="DT8" s="229">
        <v>0</v>
      </c>
      <c r="DU8" s="231">
        <v>1500</v>
      </c>
      <c r="DV8" s="231">
        <v>1400</v>
      </c>
      <c r="DW8" s="228">
        <v>0.33</v>
      </c>
      <c r="DX8" s="228">
        <v>0.42</v>
      </c>
      <c r="DY8" s="228">
        <v>-0.09</v>
      </c>
      <c r="DZ8" s="229">
        <v>-0.21429999999999999</v>
      </c>
      <c r="EA8" s="229">
        <v>3.4700000000000002E-2</v>
      </c>
      <c r="EB8" s="230">
        <v>711075</v>
      </c>
      <c r="EC8" s="229">
        <v>5.4999999999999997E-3</v>
      </c>
      <c r="ED8" s="229">
        <v>3.4700000000000002E-2</v>
      </c>
      <c r="EE8" s="228">
        <v>6.92</v>
      </c>
      <c r="EF8" s="229">
        <v>4.8999999999999998E-3</v>
      </c>
      <c r="EG8" s="230">
        <v>550381</v>
      </c>
      <c r="EH8" s="230">
        <v>539991</v>
      </c>
      <c r="EI8" s="229">
        <v>1.9199999999999998E-2</v>
      </c>
      <c r="EJ8" s="229">
        <v>0.37469999999999998</v>
      </c>
      <c r="EK8" s="231">
        <v>1904.08</v>
      </c>
      <c r="EL8" s="228">
        <v>599.42999999999995</v>
      </c>
      <c r="EM8" s="228">
        <v>377.74</v>
      </c>
      <c r="EN8" s="228">
        <v>45.81</v>
      </c>
      <c r="EO8" s="231">
        <v>2881.26</v>
      </c>
      <c r="EP8" s="231">
        <v>1391.67</v>
      </c>
      <c r="EQ8" s="231">
        <v>1489.59</v>
      </c>
      <c r="ER8" s="229">
        <v>1.0704</v>
      </c>
      <c r="ES8" s="231">
        <v>1108.18</v>
      </c>
      <c r="ET8" s="228">
        <v>620.57000000000005</v>
      </c>
      <c r="EU8" s="231">
        <v>3238.17</v>
      </c>
      <c r="EV8" s="231">
        <v>73799006</v>
      </c>
      <c r="EW8" s="231">
        <v>4966.92</v>
      </c>
      <c r="EX8" s="231">
        <v>4928.24</v>
      </c>
      <c r="EY8" s="228">
        <v>38.68</v>
      </c>
      <c r="EZ8" s="229">
        <v>7.7999999999999996E-3</v>
      </c>
      <c r="FA8" s="229">
        <v>0.47260000000000002</v>
      </c>
      <c r="FB8" s="227" t="s">
        <v>555</v>
      </c>
      <c r="FC8">
        <f t="shared" si="0"/>
        <v>113</v>
      </c>
    </row>
    <row r="9" spans="1:159" ht="17.25" thickBot="1" x14ac:dyDescent="0.3">
      <c r="A9" s="226">
        <v>45940</v>
      </c>
      <c r="B9" s="227" t="s">
        <v>170</v>
      </c>
      <c r="C9" s="227" t="s">
        <v>497</v>
      </c>
      <c r="D9" s="228">
        <v>125</v>
      </c>
      <c r="E9" s="228">
        <v>18</v>
      </c>
      <c r="F9" s="231">
        <v>5483.5</v>
      </c>
      <c r="G9" s="231">
        <v>5512.5</v>
      </c>
      <c r="H9" s="228">
        <v>-29</v>
      </c>
      <c r="I9" s="229">
        <v>-5.3E-3</v>
      </c>
      <c r="J9" s="231">
        <v>5454.5</v>
      </c>
      <c r="K9" s="231">
        <v>5480.5</v>
      </c>
      <c r="L9" s="228">
        <v>-26</v>
      </c>
      <c r="M9" s="229">
        <v>-4.7000000000000002E-3</v>
      </c>
      <c r="N9" s="231">
        <v>5483.5</v>
      </c>
      <c r="O9" s="231">
        <v>5512.5</v>
      </c>
      <c r="P9" s="228">
        <v>-29</v>
      </c>
      <c r="Q9" s="229">
        <v>-5.3E-3</v>
      </c>
      <c r="R9" s="231">
        <v>5512</v>
      </c>
      <c r="S9" s="231">
        <v>5540</v>
      </c>
      <c r="T9" s="228">
        <v>-28</v>
      </c>
      <c r="U9" s="229">
        <v>-5.1000000000000004E-3</v>
      </c>
      <c r="V9" s="231">
        <v>5573</v>
      </c>
      <c r="W9" s="231">
        <v>5580</v>
      </c>
      <c r="X9" s="228">
        <v>-7</v>
      </c>
      <c r="Y9" s="229">
        <v>-1.2999999999999999E-3</v>
      </c>
      <c r="Z9" s="228">
        <v>29</v>
      </c>
      <c r="AA9" s="228">
        <v>32</v>
      </c>
      <c r="AB9" s="228">
        <v>-3</v>
      </c>
      <c r="AC9" s="229">
        <v>5.3E-3</v>
      </c>
      <c r="AD9" s="228">
        <v>29</v>
      </c>
      <c r="AE9" s="228">
        <v>32</v>
      </c>
      <c r="AF9" s="228">
        <v>-3</v>
      </c>
      <c r="AG9" s="229">
        <v>5.3E-3</v>
      </c>
      <c r="AH9" s="228">
        <v>57.5</v>
      </c>
      <c r="AI9" s="228">
        <v>59.5</v>
      </c>
      <c r="AJ9" s="228">
        <v>-2</v>
      </c>
      <c r="AK9" s="229">
        <v>1.0500000000000001E-2</v>
      </c>
      <c r="AL9" s="228">
        <v>118.5</v>
      </c>
      <c r="AM9" s="228">
        <v>99.5</v>
      </c>
      <c r="AN9" s="228">
        <v>19</v>
      </c>
      <c r="AO9" s="229">
        <v>2.1700000000000001E-2</v>
      </c>
      <c r="AP9" s="231">
        <v>5488.43</v>
      </c>
      <c r="AQ9" s="231">
        <v>5513.38</v>
      </c>
      <c r="AR9" s="228">
        <v>0</v>
      </c>
      <c r="AS9" s="228">
        <v>77</v>
      </c>
      <c r="AT9" s="228">
        <v>70</v>
      </c>
      <c r="AU9" s="228">
        <v>7</v>
      </c>
      <c r="AV9" s="229">
        <v>0.10100000000000001</v>
      </c>
      <c r="AW9" s="228">
        <v>73</v>
      </c>
      <c r="AX9" s="228">
        <v>66</v>
      </c>
      <c r="AY9" s="228">
        <v>8</v>
      </c>
      <c r="AZ9" s="229">
        <v>0.1181</v>
      </c>
      <c r="BA9" s="228">
        <v>4</v>
      </c>
      <c r="BB9" s="228">
        <v>4</v>
      </c>
      <c r="BC9" s="228">
        <v>-1</v>
      </c>
      <c r="BD9" s="229">
        <v>-0.1613</v>
      </c>
      <c r="BE9" s="228">
        <v>0</v>
      </c>
      <c r="BF9" s="228">
        <v>0</v>
      </c>
      <c r="BG9" s="228">
        <v>0</v>
      </c>
      <c r="BH9" s="229">
        <v>0</v>
      </c>
      <c r="BI9" s="228">
        <v>159</v>
      </c>
      <c r="BJ9" s="228">
        <v>124</v>
      </c>
      <c r="BK9" s="228">
        <v>35</v>
      </c>
      <c r="BL9" s="229">
        <v>0.27850000000000003</v>
      </c>
      <c r="BM9" s="228">
        <v>44</v>
      </c>
      <c r="BN9" s="228">
        <v>32</v>
      </c>
      <c r="BO9" s="228">
        <v>12</v>
      </c>
      <c r="BP9" s="229">
        <v>0.37609999999999999</v>
      </c>
      <c r="BQ9" s="228">
        <v>280</v>
      </c>
      <c r="BR9" s="228">
        <v>226</v>
      </c>
      <c r="BS9" s="228">
        <v>54</v>
      </c>
      <c r="BT9" s="229">
        <v>0.2374</v>
      </c>
      <c r="BU9" s="230">
        <v>172654</v>
      </c>
      <c r="BV9" s="230">
        <v>212885</v>
      </c>
      <c r="BW9" s="230">
        <v>-40231</v>
      </c>
      <c r="BX9" s="229">
        <v>-0.189</v>
      </c>
      <c r="BY9" s="228">
        <v>834</v>
      </c>
      <c r="BZ9" s="228">
        <v>837</v>
      </c>
      <c r="CA9" s="228">
        <v>-3</v>
      </c>
      <c r="CB9" s="229">
        <v>-4.0000000000000001E-3</v>
      </c>
      <c r="CC9" s="228">
        <v>827</v>
      </c>
      <c r="CD9" s="228">
        <v>831</v>
      </c>
      <c r="CE9" s="228">
        <v>-4</v>
      </c>
      <c r="CF9" s="229">
        <v>-5.1000000000000004E-3</v>
      </c>
      <c r="CG9" s="228">
        <v>7</v>
      </c>
      <c r="CH9" s="228">
        <v>6</v>
      </c>
      <c r="CI9" s="228">
        <v>1</v>
      </c>
      <c r="CJ9" s="229">
        <v>0.12770000000000001</v>
      </c>
      <c r="CK9" s="228">
        <v>0</v>
      </c>
      <c r="CL9" s="228">
        <v>0</v>
      </c>
      <c r="CM9" s="228">
        <v>0</v>
      </c>
      <c r="CN9" s="229">
        <v>0.5</v>
      </c>
      <c r="CO9" s="228">
        <v>119</v>
      </c>
      <c r="CP9" s="228">
        <v>109</v>
      </c>
      <c r="CQ9" s="228">
        <v>11</v>
      </c>
      <c r="CR9" s="229">
        <v>9.8400000000000001E-2</v>
      </c>
      <c r="CS9" s="228">
        <v>71</v>
      </c>
      <c r="CT9" s="228">
        <v>65</v>
      </c>
      <c r="CU9" s="228">
        <v>6</v>
      </c>
      <c r="CV9" s="229">
        <v>9.01E-2</v>
      </c>
      <c r="CW9" s="230">
        <v>1025</v>
      </c>
      <c r="CX9" s="230">
        <v>1012</v>
      </c>
      <c r="CY9" s="228">
        <v>13</v>
      </c>
      <c r="CZ9" s="229">
        <v>1.3100000000000001E-2</v>
      </c>
      <c r="DA9" s="228">
        <v>22.57</v>
      </c>
      <c r="DB9" s="228">
        <v>22.71</v>
      </c>
      <c r="DC9" s="228">
        <v>-0.14000000000000001</v>
      </c>
      <c r="DD9" s="228">
        <v>-0.14000000000000001</v>
      </c>
      <c r="DE9" s="228">
        <v>28.09</v>
      </c>
      <c r="DF9" s="228">
        <v>28.15</v>
      </c>
      <c r="DG9" s="228">
        <v>-5.52</v>
      </c>
      <c r="DH9" s="228">
        <v>-0.06</v>
      </c>
      <c r="DI9" s="228">
        <v>22.32</v>
      </c>
      <c r="DJ9" s="228">
        <v>22.32</v>
      </c>
      <c r="DK9" s="228">
        <v>0</v>
      </c>
      <c r="DL9" s="228">
        <v>0</v>
      </c>
      <c r="DM9" s="228">
        <v>23.48</v>
      </c>
      <c r="DN9" s="228">
        <v>24.24</v>
      </c>
      <c r="DO9" s="228">
        <v>-0.76</v>
      </c>
      <c r="DP9" s="228">
        <v>-0.76</v>
      </c>
      <c r="DQ9" s="228">
        <v>0.6</v>
      </c>
      <c r="DR9" s="228">
        <v>0.6</v>
      </c>
      <c r="DS9" s="228">
        <v>0</v>
      </c>
      <c r="DT9" s="229">
        <v>0</v>
      </c>
      <c r="DU9" s="231">
        <v>5600</v>
      </c>
      <c r="DV9" s="231">
        <v>5500</v>
      </c>
      <c r="DW9" s="228">
        <v>0.28000000000000003</v>
      </c>
      <c r="DX9" s="228">
        <v>0.26</v>
      </c>
      <c r="DY9" s="228">
        <v>0.02</v>
      </c>
      <c r="DZ9" s="229">
        <v>7.6899999999999996E-2</v>
      </c>
      <c r="EA9" s="229">
        <v>8.9999999999999993E-3</v>
      </c>
      <c r="EB9" s="230">
        <v>12000</v>
      </c>
      <c r="EC9" s="229">
        <v>5.1999999999999998E-3</v>
      </c>
      <c r="ED9" s="229">
        <v>8.9999999999999993E-3</v>
      </c>
      <c r="EE9" s="228">
        <v>24.95</v>
      </c>
      <c r="EF9" s="229">
        <v>4.4999999999999997E-3</v>
      </c>
      <c r="EG9" s="230">
        <v>122285</v>
      </c>
      <c r="EH9" s="230">
        <v>176400</v>
      </c>
      <c r="EI9" s="229">
        <v>-0.30680000000000002</v>
      </c>
      <c r="EJ9" s="229">
        <v>0.70830000000000004</v>
      </c>
      <c r="EK9" s="228">
        <v>164.39</v>
      </c>
      <c r="EL9" s="228">
        <v>43.25</v>
      </c>
      <c r="EM9" s="228">
        <v>77.06</v>
      </c>
      <c r="EN9" s="228">
        <v>9.35</v>
      </c>
      <c r="EO9" s="228">
        <v>284.7</v>
      </c>
      <c r="EP9" s="228">
        <v>230.54</v>
      </c>
      <c r="EQ9" s="228">
        <v>54.16</v>
      </c>
      <c r="ER9" s="229">
        <v>0.2349</v>
      </c>
      <c r="ES9" s="228">
        <v>123.62</v>
      </c>
      <c r="ET9" s="228">
        <v>69.150000000000006</v>
      </c>
      <c r="EU9" s="228">
        <v>834.01</v>
      </c>
      <c r="EV9" s="231">
        <v>6130387</v>
      </c>
      <c r="EW9" s="231">
        <v>1026.79</v>
      </c>
      <c r="EX9" s="231">
        <v>1017.92</v>
      </c>
      <c r="EY9" s="228">
        <v>8.8699999999999992</v>
      </c>
      <c r="EZ9" s="229">
        <v>8.6999999999999994E-3</v>
      </c>
      <c r="FA9" s="229">
        <v>0.30480000000000002</v>
      </c>
      <c r="FB9" s="227" t="s">
        <v>568</v>
      </c>
      <c r="FC9">
        <f t="shared" si="0"/>
        <v>7</v>
      </c>
    </row>
    <row r="10" spans="1:159" ht="17.25" thickBot="1" x14ac:dyDescent="0.3">
      <c r="A10" s="226">
        <v>45940</v>
      </c>
      <c r="B10" s="227" t="s">
        <v>184</v>
      </c>
      <c r="C10" s="227" t="s">
        <v>683</v>
      </c>
      <c r="D10" s="228">
        <v>100</v>
      </c>
      <c r="E10" s="228">
        <v>18</v>
      </c>
      <c r="F10" s="231">
        <v>8245.5</v>
      </c>
      <c r="G10" s="231">
        <v>8138</v>
      </c>
      <c r="H10" s="228">
        <v>107.5</v>
      </c>
      <c r="I10" s="229">
        <v>1.32E-2</v>
      </c>
      <c r="J10" s="231">
        <v>8284.5</v>
      </c>
      <c r="K10" s="231">
        <v>8246</v>
      </c>
      <c r="L10" s="228">
        <v>38.5</v>
      </c>
      <c r="M10" s="229">
        <v>4.7000000000000002E-3</v>
      </c>
      <c r="N10" s="231">
        <v>8245.5</v>
      </c>
      <c r="O10" s="231">
        <v>8138</v>
      </c>
      <c r="P10" s="228">
        <v>107.5</v>
      </c>
      <c r="Q10" s="229">
        <v>1.32E-2</v>
      </c>
      <c r="R10" s="231">
        <v>8163.5</v>
      </c>
      <c r="S10" s="231">
        <v>8058.5</v>
      </c>
      <c r="T10" s="228">
        <v>105</v>
      </c>
      <c r="U10" s="229">
        <v>1.2999999999999999E-2</v>
      </c>
      <c r="V10" s="231">
        <v>8121</v>
      </c>
      <c r="W10" s="231">
        <v>7997</v>
      </c>
      <c r="X10" s="228">
        <v>124</v>
      </c>
      <c r="Y10" s="229">
        <v>1.55E-2</v>
      </c>
      <c r="Z10" s="228">
        <v>-39</v>
      </c>
      <c r="AA10" s="228">
        <v>-108</v>
      </c>
      <c r="AB10" s="228">
        <v>69</v>
      </c>
      <c r="AC10" s="229">
        <v>-4.7000000000000002E-3</v>
      </c>
      <c r="AD10" s="228">
        <v>-39</v>
      </c>
      <c r="AE10" s="228">
        <v>-108</v>
      </c>
      <c r="AF10" s="228">
        <v>69</v>
      </c>
      <c r="AG10" s="229">
        <v>-4.7000000000000002E-3</v>
      </c>
      <c r="AH10" s="228">
        <v>-121</v>
      </c>
      <c r="AI10" s="228">
        <v>-187.5</v>
      </c>
      <c r="AJ10" s="228">
        <v>66.5</v>
      </c>
      <c r="AK10" s="229">
        <v>-1.46E-2</v>
      </c>
      <c r="AL10" s="228">
        <v>-163.5</v>
      </c>
      <c r="AM10" s="228">
        <v>-249</v>
      </c>
      <c r="AN10" s="228">
        <v>85.5</v>
      </c>
      <c r="AO10" s="229">
        <v>-1.9699999999999999E-2</v>
      </c>
      <c r="AP10" s="231">
        <v>8264</v>
      </c>
      <c r="AQ10" s="231">
        <v>8167.7</v>
      </c>
      <c r="AR10" s="228">
        <v>0</v>
      </c>
      <c r="AS10" s="228">
        <v>164</v>
      </c>
      <c r="AT10" s="228">
        <v>328</v>
      </c>
      <c r="AU10" s="228">
        <v>-164</v>
      </c>
      <c r="AV10" s="229">
        <v>-0.50090000000000001</v>
      </c>
      <c r="AW10" s="228">
        <v>148</v>
      </c>
      <c r="AX10" s="228">
        <v>298</v>
      </c>
      <c r="AY10" s="228">
        <v>-150</v>
      </c>
      <c r="AZ10" s="229">
        <v>-0.50290000000000001</v>
      </c>
      <c r="BA10" s="228">
        <v>15</v>
      </c>
      <c r="BB10" s="228">
        <v>29</v>
      </c>
      <c r="BC10" s="228">
        <v>-14</v>
      </c>
      <c r="BD10" s="229">
        <v>-0.47260000000000002</v>
      </c>
      <c r="BE10" s="228">
        <v>0</v>
      </c>
      <c r="BF10" s="228">
        <v>1</v>
      </c>
      <c r="BG10" s="228">
        <v>-1</v>
      </c>
      <c r="BH10" s="229">
        <v>-0.69230000000000003</v>
      </c>
      <c r="BI10" s="228">
        <v>746</v>
      </c>
      <c r="BJ10" s="230">
        <v>1351</v>
      </c>
      <c r="BK10" s="228">
        <v>-605</v>
      </c>
      <c r="BL10" s="229">
        <v>-0.44800000000000001</v>
      </c>
      <c r="BM10" s="228">
        <v>184</v>
      </c>
      <c r="BN10" s="228">
        <v>460</v>
      </c>
      <c r="BO10" s="228">
        <v>-276</v>
      </c>
      <c r="BP10" s="229">
        <v>-0.6</v>
      </c>
      <c r="BQ10" s="230">
        <v>1094</v>
      </c>
      <c r="BR10" s="230">
        <v>2139</v>
      </c>
      <c r="BS10" s="230">
        <v>-1046</v>
      </c>
      <c r="BT10" s="229">
        <v>-0.48880000000000001</v>
      </c>
      <c r="BU10" s="230">
        <v>156439</v>
      </c>
      <c r="BV10" s="230">
        <v>322755</v>
      </c>
      <c r="BW10" s="230">
        <v>-166316</v>
      </c>
      <c r="BX10" s="229">
        <v>-0.51529999999999998</v>
      </c>
      <c r="BY10" s="228">
        <v>461</v>
      </c>
      <c r="BZ10" s="228">
        <v>479</v>
      </c>
      <c r="CA10" s="228">
        <v>-18</v>
      </c>
      <c r="CB10" s="229">
        <v>-3.7900000000000003E-2</v>
      </c>
      <c r="CC10" s="228">
        <v>425</v>
      </c>
      <c r="CD10" s="228">
        <v>445</v>
      </c>
      <c r="CE10" s="228">
        <v>-19</v>
      </c>
      <c r="CF10" s="229">
        <v>-4.3799999999999999E-2</v>
      </c>
      <c r="CG10" s="228">
        <v>34</v>
      </c>
      <c r="CH10" s="228">
        <v>33</v>
      </c>
      <c r="CI10" s="228">
        <v>1</v>
      </c>
      <c r="CJ10" s="229">
        <v>3.2099999999999997E-2</v>
      </c>
      <c r="CK10" s="228">
        <v>1</v>
      </c>
      <c r="CL10" s="228">
        <v>1</v>
      </c>
      <c r="CM10" s="228">
        <v>0</v>
      </c>
      <c r="CN10" s="229">
        <v>0.2727</v>
      </c>
      <c r="CO10" s="228">
        <v>451</v>
      </c>
      <c r="CP10" s="228">
        <v>514</v>
      </c>
      <c r="CQ10" s="228">
        <v>-63</v>
      </c>
      <c r="CR10" s="229">
        <v>-0.12230000000000001</v>
      </c>
      <c r="CS10" s="228">
        <v>261</v>
      </c>
      <c r="CT10" s="228">
        <v>260</v>
      </c>
      <c r="CU10" s="228">
        <v>1</v>
      </c>
      <c r="CV10" s="229">
        <v>3.2000000000000002E-3</v>
      </c>
      <c r="CW10" s="230">
        <v>1173</v>
      </c>
      <c r="CX10" s="230">
        <v>1253</v>
      </c>
      <c r="CY10" s="228">
        <v>-80</v>
      </c>
      <c r="CZ10" s="229">
        <v>-6.3899999999999998E-2</v>
      </c>
      <c r="DA10" s="228">
        <v>34.619999999999997</v>
      </c>
      <c r="DB10" s="228">
        <v>35.409999999999997</v>
      </c>
      <c r="DC10" s="228">
        <v>-0.79</v>
      </c>
      <c r="DD10" s="228">
        <v>-0.79</v>
      </c>
      <c r="DE10" s="228">
        <v>55.22</v>
      </c>
      <c r="DF10" s="228">
        <v>55.33</v>
      </c>
      <c r="DG10" s="228">
        <v>-20.6</v>
      </c>
      <c r="DH10" s="228">
        <v>-0.11</v>
      </c>
      <c r="DI10" s="228">
        <v>34.58</v>
      </c>
      <c r="DJ10" s="228">
        <v>35.46</v>
      </c>
      <c r="DK10" s="228">
        <v>-0.88</v>
      </c>
      <c r="DL10" s="228">
        <v>-0.88</v>
      </c>
      <c r="DM10" s="228">
        <v>34.78</v>
      </c>
      <c r="DN10" s="228">
        <v>35.29</v>
      </c>
      <c r="DO10" s="228">
        <v>-0.51</v>
      </c>
      <c r="DP10" s="228">
        <v>-0.51</v>
      </c>
      <c r="DQ10" s="228">
        <v>0.57999999999999996</v>
      </c>
      <c r="DR10" s="228">
        <v>0.51</v>
      </c>
      <c r="DS10" s="228">
        <v>7.0000000000000007E-2</v>
      </c>
      <c r="DT10" s="229">
        <v>0.13730000000000001</v>
      </c>
      <c r="DU10" s="231">
        <v>8500</v>
      </c>
      <c r="DV10" s="231">
        <v>8000</v>
      </c>
      <c r="DW10" s="228">
        <v>0.25</v>
      </c>
      <c r="DX10" s="228">
        <v>0.34</v>
      </c>
      <c r="DY10" s="228">
        <v>-0.09</v>
      </c>
      <c r="DZ10" s="229">
        <v>-0.26469999999999999</v>
      </c>
      <c r="EA10" s="229">
        <v>7.7299999999999994E-2</v>
      </c>
      <c r="EB10" s="230">
        <v>41600</v>
      </c>
      <c r="EC10" s="229">
        <v>-9.9000000000000008E-3</v>
      </c>
      <c r="ED10" s="229">
        <v>7.7299999999999994E-2</v>
      </c>
      <c r="EE10" s="228">
        <v>-96.3</v>
      </c>
      <c r="EF10" s="229">
        <v>-1.17E-2</v>
      </c>
      <c r="EG10" s="230">
        <v>42624</v>
      </c>
      <c r="EH10" s="230">
        <v>70111</v>
      </c>
      <c r="EI10" s="229">
        <v>-0.39200000000000002</v>
      </c>
      <c r="EJ10" s="229">
        <v>0.27250000000000002</v>
      </c>
      <c r="EK10" s="228">
        <v>785.45</v>
      </c>
      <c r="EL10" s="228">
        <v>180.6</v>
      </c>
      <c r="EM10" s="228">
        <v>163.86</v>
      </c>
      <c r="EN10" s="228">
        <v>25.93</v>
      </c>
      <c r="EO10" s="231">
        <v>1129.9100000000001</v>
      </c>
      <c r="EP10" s="231">
        <v>2181.8000000000002</v>
      </c>
      <c r="EQ10" s="231">
        <v>-1051.8900000000001</v>
      </c>
      <c r="ER10" s="229">
        <v>-0.48209999999999997</v>
      </c>
      <c r="ES10" s="228">
        <v>466.45</v>
      </c>
      <c r="ET10" s="228">
        <v>252.07</v>
      </c>
      <c r="EU10" s="228">
        <v>460.56</v>
      </c>
      <c r="EV10" s="231">
        <v>3067454</v>
      </c>
      <c r="EW10" s="231">
        <v>1179.08</v>
      </c>
      <c r="EX10" s="231">
        <v>1254.22</v>
      </c>
      <c r="EY10" s="228">
        <v>-75.14</v>
      </c>
      <c r="EZ10" s="229">
        <v>-5.9900000000000002E-2</v>
      </c>
      <c r="FA10" s="229">
        <v>0.46379999999999999</v>
      </c>
      <c r="FB10" s="227" t="s">
        <v>556</v>
      </c>
      <c r="FC10">
        <f t="shared" si="0"/>
        <v>36</v>
      </c>
    </row>
    <row r="11" spans="1:159" ht="17.25" thickBot="1" x14ac:dyDescent="0.3">
      <c r="A11" s="226">
        <v>45940</v>
      </c>
      <c r="B11" s="227" t="s">
        <v>157</v>
      </c>
      <c r="C11" s="227" t="s">
        <v>164</v>
      </c>
      <c r="D11" s="228">
        <v>1050</v>
      </c>
      <c r="E11" s="228">
        <v>18</v>
      </c>
      <c r="F11" s="228">
        <v>572.04999999999995</v>
      </c>
      <c r="G11" s="228">
        <v>568.1</v>
      </c>
      <c r="H11" s="228">
        <v>3.95</v>
      </c>
      <c r="I11" s="229">
        <v>7.0000000000000001E-3</v>
      </c>
      <c r="J11" s="228">
        <v>569.25</v>
      </c>
      <c r="K11" s="228">
        <v>565.9</v>
      </c>
      <c r="L11" s="228">
        <v>3.35</v>
      </c>
      <c r="M11" s="229">
        <v>5.8999999999999999E-3</v>
      </c>
      <c r="N11" s="228">
        <v>572.04999999999995</v>
      </c>
      <c r="O11" s="228">
        <v>568.1</v>
      </c>
      <c r="P11" s="228">
        <v>3.95</v>
      </c>
      <c r="Q11" s="229">
        <v>7.0000000000000001E-3</v>
      </c>
      <c r="R11" s="228">
        <v>575.25</v>
      </c>
      <c r="S11" s="228">
        <v>571.6</v>
      </c>
      <c r="T11" s="228">
        <v>3.65</v>
      </c>
      <c r="U11" s="229">
        <v>6.4000000000000003E-3</v>
      </c>
      <c r="V11" s="228">
        <v>578.04999999999995</v>
      </c>
      <c r="W11" s="228">
        <v>575.15</v>
      </c>
      <c r="X11" s="228">
        <v>2.9</v>
      </c>
      <c r="Y11" s="229">
        <v>5.0000000000000001E-3</v>
      </c>
      <c r="Z11" s="228">
        <v>2.8</v>
      </c>
      <c r="AA11" s="228">
        <v>2.2000000000000002</v>
      </c>
      <c r="AB11" s="228">
        <v>0.6</v>
      </c>
      <c r="AC11" s="229">
        <v>4.8999999999999998E-3</v>
      </c>
      <c r="AD11" s="228">
        <v>2.8</v>
      </c>
      <c r="AE11" s="228">
        <v>2.2000000000000002</v>
      </c>
      <c r="AF11" s="228">
        <v>0.6</v>
      </c>
      <c r="AG11" s="229">
        <v>4.8999999999999998E-3</v>
      </c>
      <c r="AH11" s="228">
        <v>6</v>
      </c>
      <c r="AI11" s="228">
        <v>5.7</v>
      </c>
      <c r="AJ11" s="228">
        <v>0.3</v>
      </c>
      <c r="AK11" s="229">
        <v>1.0500000000000001E-2</v>
      </c>
      <c r="AL11" s="228">
        <v>8.8000000000000007</v>
      </c>
      <c r="AM11" s="228">
        <v>9.25</v>
      </c>
      <c r="AN11" s="228">
        <v>-0.45</v>
      </c>
      <c r="AO11" s="229">
        <v>1.55E-2</v>
      </c>
      <c r="AP11" s="228">
        <v>573</v>
      </c>
      <c r="AQ11" s="228">
        <v>575.98</v>
      </c>
      <c r="AR11" s="228">
        <v>0</v>
      </c>
      <c r="AS11" s="228">
        <v>142</v>
      </c>
      <c r="AT11" s="228">
        <v>115</v>
      </c>
      <c r="AU11" s="228">
        <v>27</v>
      </c>
      <c r="AV11" s="229">
        <v>0.2324</v>
      </c>
      <c r="AW11" s="228">
        <v>130</v>
      </c>
      <c r="AX11" s="228">
        <v>106</v>
      </c>
      <c r="AY11" s="228">
        <v>24</v>
      </c>
      <c r="AZ11" s="229">
        <v>0.224</v>
      </c>
      <c r="BA11" s="228">
        <v>11</v>
      </c>
      <c r="BB11" s="228">
        <v>8</v>
      </c>
      <c r="BC11" s="228">
        <v>2</v>
      </c>
      <c r="BD11" s="229">
        <v>0.28370000000000001</v>
      </c>
      <c r="BE11" s="228">
        <v>1</v>
      </c>
      <c r="BF11" s="228">
        <v>0</v>
      </c>
      <c r="BG11" s="228">
        <v>1</v>
      </c>
      <c r="BH11" s="229">
        <v>1.5</v>
      </c>
      <c r="BI11" s="228">
        <v>324</v>
      </c>
      <c r="BJ11" s="228">
        <v>212</v>
      </c>
      <c r="BK11" s="228">
        <v>112</v>
      </c>
      <c r="BL11" s="229">
        <v>0.52859999999999996</v>
      </c>
      <c r="BM11" s="228">
        <v>133</v>
      </c>
      <c r="BN11" s="228">
        <v>79</v>
      </c>
      <c r="BO11" s="228">
        <v>54</v>
      </c>
      <c r="BP11" s="229">
        <v>0.67830000000000001</v>
      </c>
      <c r="BQ11" s="228">
        <v>599</v>
      </c>
      <c r="BR11" s="228">
        <v>406</v>
      </c>
      <c r="BS11" s="228">
        <v>192</v>
      </c>
      <c r="BT11" s="229">
        <v>0.4738</v>
      </c>
      <c r="BU11" s="230">
        <v>939542</v>
      </c>
      <c r="BV11" s="230">
        <v>842706</v>
      </c>
      <c r="BW11" s="230">
        <v>96836</v>
      </c>
      <c r="BX11" s="229">
        <v>0.1149</v>
      </c>
      <c r="BY11" s="230">
        <v>2342</v>
      </c>
      <c r="BZ11" s="230">
        <v>2372</v>
      </c>
      <c r="CA11" s="228">
        <v>-29</v>
      </c>
      <c r="CB11" s="229">
        <v>-1.23E-2</v>
      </c>
      <c r="CC11" s="230">
        <v>2286</v>
      </c>
      <c r="CD11" s="230">
        <v>2318</v>
      </c>
      <c r="CE11" s="228">
        <v>-32</v>
      </c>
      <c r="CF11" s="229">
        <v>-1.37E-2</v>
      </c>
      <c r="CG11" s="228">
        <v>54</v>
      </c>
      <c r="CH11" s="228">
        <v>51</v>
      </c>
      <c r="CI11" s="228">
        <v>3</v>
      </c>
      <c r="CJ11" s="229">
        <v>4.9099999999999998E-2</v>
      </c>
      <c r="CK11" s="228">
        <v>2</v>
      </c>
      <c r="CL11" s="228">
        <v>3</v>
      </c>
      <c r="CM11" s="228">
        <v>0</v>
      </c>
      <c r="CN11" s="229">
        <v>-4.65E-2</v>
      </c>
      <c r="CO11" s="228">
        <v>671</v>
      </c>
      <c r="CP11" s="228">
        <v>661</v>
      </c>
      <c r="CQ11" s="228">
        <v>10</v>
      </c>
      <c r="CR11" s="229">
        <v>1.5100000000000001E-2</v>
      </c>
      <c r="CS11" s="228">
        <v>464</v>
      </c>
      <c r="CT11" s="228">
        <v>477</v>
      </c>
      <c r="CU11" s="228">
        <v>-14</v>
      </c>
      <c r="CV11" s="229">
        <v>-2.8299999999999999E-2</v>
      </c>
      <c r="CW11" s="230">
        <v>3478</v>
      </c>
      <c r="CX11" s="230">
        <v>3510</v>
      </c>
      <c r="CY11" s="228">
        <v>-33</v>
      </c>
      <c r="CZ11" s="229">
        <v>-9.2999999999999992E-3</v>
      </c>
      <c r="DA11" s="228">
        <v>23.04</v>
      </c>
      <c r="DB11" s="228">
        <v>24.89</v>
      </c>
      <c r="DC11" s="228">
        <v>-1.85</v>
      </c>
      <c r="DD11" s="228">
        <v>-1.85</v>
      </c>
      <c r="DE11" s="228">
        <v>34.22</v>
      </c>
      <c r="DF11" s="228">
        <v>34.29</v>
      </c>
      <c r="DG11" s="228">
        <v>-11.18</v>
      </c>
      <c r="DH11" s="228">
        <v>-7.0000000000000007E-2</v>
      </c>
      <c r="DI11" s="228">
        <v>23.27</v>
      </c>
      <c r="DJ11" s="228">
        <v>25.05</v>
      </c>
      <c r="DK11" s="228">
        <v>-1.78</v>
      </c>
      <c r="DL11" s="228">
        <v>-1.78</v>
      </c>
      <c r="DM11" s="228">
        <v>22.48</v>
      </c>
      <c r="DN11" s="228">
        <v>24.49</v>
      </c>
      <c r="DO11" s="228">
        <v>-2.0099999999999998</v>
      </c>
      <c r="DP11" s="228">
        <v>-2.0099999999999998</v>
      </c>
      <c r="DQ11" s="228">
        <v>0.69</v>
      </c>
      <c r="DR11" s="228">
        <v>0.72</v>
      </c>
      <c r="DS11" s="228">
        <v>-0.03</v>
      </c>
      <c r="DT11" s="229">
        <v>-4.1700000000000001E-2</v>
      </c>
      <c r="DU11" s="228">
        <v>600</v>
      </c>
      <c r="DV11" s="228">
        <v>650</v>
      </c>
      <c r="DW11" s="228">
        <v>0.41</v>
      </c>
      <c r="DX11" s="228">
        <v>0.37</v>
      </c>
      <c r="DY11" s="228">
        <v>0.04</v>
      </c>
      <c r="DZ11" s="229">
        <v>0.1081</v>
      </c>
      <c r="EA11" s="229">
        <v>2.41E-2</v>
      </c>
      <c r="EB11" s="230">
        <v>942900</v>
      </c>
      <c r="EC11" s="229">
        <v>5.5999999999999999E-3</v>
      </c>
      <c r="ED11" s="229">
        <v>2.41E-2</v>
      </c>
      <c r="EE11" s="228">
        <v>2.98</v>
      </c>
      <c r="EF11" s="229">
        <v>5.1999999999999998E-3</v>
      </c>
      <c r="EG11" s="230">
        <v>594623</v>
      </c>
      <c r="EH11" s="230">
        <v>428867</v>
      </c>
      <c r="EI11" s="229">
        <v>0.38650000000000001</v>
      </c>
      <c r="EJ11" s="229">
        <v>0.63290000000000002</v>
      </c>
      <c r="EK11" s="228">
        <v>337.06</v>
      </c>
      <c r="EL11" s="228">
        <v>132.06</v>
      </c>
      <c r="EM11" s="228">
        <v>142.06</v>
      </c>
      <c r="EN11" s="228">
        <v>31.66</v>
      </c>
      <c r="EO11" s="228">
        <v>611.16999999999996</v>
      </c>
      <c r="EP11" s="228">
        <v>412.26</v>
      </c>
      <c r="EQ11" s="228">
        <v>198.91</v>
      </c>
      <c r="ER11" s="229">
        <v>0.48249999999999998</v>
      </c>
      <c r="ES11" s="228">
        <v>703.33</v>
      </c>
      <c r="ET11" s="228">
        <v>469.9</v>
      </c>
      <c r="EU11" s="231">
        <v>2342.69</v>
      </c>
      <c r="EV11" s="231">
        <v>119762774</v>
      </c>
      <c r="EW11" s="231">
        <v>3515.93</v>
      </c>
      <c r="EX11" s="231">
        <v>3531.36</v>
      </c>
      <c r="EY11" s="228">
        <v>-15.43</v>
      </c>
      <c r="EZ11" s="229">
        <v>-4.4000000000000003E-3</v>
      </c>
      <c r="FA11" s="229">
        <v>0.50760000000000005</v>
      </c>
      <c r="FB11" s="227" t="s">
        <v>556</v>
      </c>
      <c r="FC11">
        <f t="shared" si="0"/>
        <v>56</v>
      </c>
    </row>
    <row r="12" spans="1:159" ht="17.25" thickBot="1" x14ac:dyDescent="0.3">
      <c r="A12" s="226">
        <v>45940</v>
      </c>
      <c r="B12" s="227" t="s">
        <v>175</v>
      </c>
      <c r="C12" s="227" t="s">
        <v>610</v>
      </c>
      <c r="D12" s="228">
        <v>250</v>
      </c>
      <c r="E12" s="228">
        <v>18</v>
      </c>
      <c r="F12" s="231">
        <v>2312.1999999999998</v>
      </c>
      <c r="G12" s="231">
        <v>2273.1999999999998</v>
      </c>
      <c r="H12" s="228">
        <v>39</v>
      </c>
      <c r="I12" s="229">
        <v>1.72E-2</v>
      </c>
      <c r="J12" s="231">
        <v>2303.3000000000002</v>
      </c>
      <c r="K12" s="231">
        <v>2264.6</v>
      </c>
      <c r="L12" s="228">
        <v>38.700000000000003</v>
      </c>
      <c r="M12" s="229">
        <v>1.7100000000000001E-2</v>
      </c>
      <c r="N12" s="231">
        <v>2312.1999999999998</v>
      </c>
      <c r="O12" s="231">
        <v>2273.1999999999998</v>
      </c>
      <c r="P12" s="228">
        <v>39</v>
      </c>
      <c r="Q12" s="229">
        <v>1.72E-2</v>
      </c>
      <c r="R12" s="231">
        <v>2309.6</v>
      </c>
      <c r="S12" s="231">
        <v>2270.4</v>
      </c>
      <c r="T12" s="228">
        <v>39.200000000000003</v>
      </c>
      <c r="U12" s="229">
        <v>1.7299999999999999E-2</v>
      </c>
      <c r="V12" s="231">
        <v>2310.8000000000002</v>
      </c>
      <c r="W12" s="231">
        <v>2264.9</v>
      </c>
      <c r="X12" s="228">
        <v>45.9</v>
      </c>
      <c r="Y12" s="229">
        <v>2.0299999999999999E-2</v>
      </c>
      <c r="Z12" s="228">
        <v>8.9</v>
      </c>
      <c r="AA12" s="228">
        <v>8.6</v>
      </c>
      <c r="AB12" s="228">
        <v>0.3</v>
      </c>
      <c r="AC12" s="229">
        <v>3.8999999999999998E-3</v>
      </c>
      <c r="AD12" s="228">
        <v>8.9</v>
      </c>
      <c r="AE12" s="228">
        <v>8.6</v>
      </c>
      <c r="AF12" s="228">
        <v>0.3</v>
      </c>
      <c r="AG12" s="229">
        <v>3.8999999999999998E-3</v>
      </c>
      <c r="AH12" s="228">
        <v>6.3</v>
      </c>
      <c r="AI12" s="228">
        <v>5.8</v>
      </c>
      <c r="AJ12" s="228">
        <v>0.5</v>
      </c>
      <c r="AK12" s="229">
        <v>2.7000000000000001E-3</v>
      </c>
      <c r="AL12" s="228">
        <v>7.5</v>
      </c>
      <c r="AM12" s="228">
        <v>0.3</v>
      </c>
      <c r="AN12" s="228">
        <v>7.2</v>
      </c>
      <c r="AO12" s="229">
        <v>3.3E-3</v>
      </c>
      <c r="AP12" s="231">
        <v>2306.91</v>
      </c>
      <c r="AQ12" s="231">
        <v>2305.31</v>
      </c>
      <c r="AR12" s="228">
        <v>0</v>
      </c>
      <c r="AS12" s="228">
        <v>333</v>
      </c>
      <c r="AT12" s="228">
        <v>353</v>
      </c>
      <c r="AU12" s="228">
        <v>-20</v>
      </c>
      <c r="AV12" s="229">
        <v>-5.5500000000000001E-2</v>
      </c>
      <c r="AW12" s="228">
        <v>299</v>
      </c>
      <c r="AX12" s="228">
        <v>320</v>
      </c>
      <c r="AY12" s="228">
        <v>-21</v>
      </c>
      <c r="AZ12" s="229">
        <v>-6.5000000000000002E-2</v>
      </c>
      <c r="BA12" s="228">
        <v>29</v>
      </c>
      <c r="BB12" s="228">
        <v>28</v>
      </c>
      <c r="BC12" s="228">
        <v>0</v>
      </c>
      <c r="BD12" s="229">
        <v>4.1000000000000003E-3</v>
      </c>
      <c r="BE12" s="228">
        <v>5</v>
      </c>
      <c r="BF12" s="228">
        <v>4</v>
      </c>
      <c r="BG12" s="228">
        <v>1</v>
      </c>
      <c r="BH12" s="229">
        <v>0.26390000000000002</v>
      </c>
      <c r="BI12" s="230">
        <v>1302</v>
      </c>
      <c r="BJ12" s="230">
        <v>1234</v>
      </c>
      <c r="BK12" s="228">
        <v>68</v>
      </c>
      <c r="BL12" s="229">
        <v>5.5E-2</v>
      </c>
      <c r="BM12" s="228">
        <v>532</v>
      </c>
      <c r="BN12" s="228">
        <v>428</v>
      </c>
      <c r="BO12" s="228">
        <v>104</v>
      </c>
      <c r="BP12" s="229">
        <v>0.24299999999999999</v>
      </c>
      <c r="BQ12" s="230">
        <v>2167</v>
      </c>
      <c r="BR12" s="230">
        <v>2015</v>
      </c>
      <c r="BS12" s="228">
        <v>152</v>
      </c>
      <c r="BT12" s="229">
        <v>7.5600000000000001E-2</v>
      </c>
      <c r="BU12" s="230">
        <v>1099696</v>
      </c>
      <c r="BV12" s="230">
        <v>806290</v>
      </c>
      <c r="BW12" s="230">
        <v>293406</v>
      </c>
      <c r="BX12" s="229">
        <v>0.3639</v>
      </c>
      <c r="BY12" s="228">
        <v>931</v>
      </c>
      <c r="BZ12" s="228">
        <v>927</v>
      </c>
      <c r="CA12" s="228">
        <v>4</v>
      </c>
      <c r="CB12" s="229">
        <v>4.1000000000000003E-3</v>
      </c>
      <c r="CC12" s="228">
        <v>856</v>
      </c>
      <c r="CD12" s="228">
        <v>852</v>
      </c>
      <c r="CE12" s="228">
        <v>4</v>
      </c>
      <c r="CF12" s="229">
        <v>4.7000000000000002E-3</v>
      </c>
      <c r="CG12" s="228">
        <v>65</v>
      </c>
      <c r="CH12" s="228">
        <v>67</v>
      </c>
      <c r="CI12" s="228">
        <v>-1</v>
      </c>
      <c r="CJ12" s="229">
        <v>-0.02</v>
      </c>
      <c r="CK12" s="228">
        <v>10</v>
      </c>
      <c r="CL12" s="228">
        <v>9</v>
      </c>
      <c r="CM12" s="228">
        <v>1</v>
      </c>
      <c r="CN12" s="229">
        <v>0.129</v>
      </c>
      <c r="CO12" s="228">
        <v>450</v>
      </c>
      <c r="CP12" s="228">
        <v>506</v>
      </c>
      <c r="CQ12" s="228">
        <v>-56</v>
      </c>
      <c r="CR12" s="229">
        <v>-0.111</v>
      </c>
      <c r="CS12" s="228">
        <v>348</v>
      </c>
      <c r="CT12" s="228">
        <v>358</v>
      </c>
      <c r="CU12" s="228">
        <v>-9</v>
      </c>
      <c r="CV12" s="229">
        <v>-2.63E-2</v>
      </c>
      <c r="CW12" s="230">
        <v>1729</v>
      </c>
      <c r="CX12" s="230">
        <v>1791</v>
      </c>
      <c r="CY12" s="228">
        <v>-62</v>
      </c>
      <c r="CZ12" s="229">
        <v>-3.4500000000000003E-2</v>
      </c>
      <c r="DA12" s="228">
        <v>41.72</v>
      </c>
      <c r="DB12" s="228">
        <v>45.06</v>
      </c>
      <c r="DC12" s="228">
        <v>-3.34</v>
      </c>
      <c r="DD12" s="228">
        <v>-3.34</v>
      </c>
      <c r="DE12" s="228">
        <v>55.98</v>
      </c>
      <c r="DF12" s="228">
        <v>56.08</v>
      </c>
      <c r="DG12" s="228">
        <v>-14.26</v>
      </c>
      <c r="DH12" s="228">
        <v>-0.1</v>
      </c>
      <c r="DI12" s="228">
        <v>41.4</v>
      </c>
      <c r="DJ12" s="228">
        <v>44.72</v>
      </c>
      <c r="DK12" s="228">
        <v>-3.32</v>
      </c>
      <c r="DL12" s="228">
        <v>-3.32</v>
      </c>
      <c r="DM12" s="228">
        <v>42.48</v>
      </c>
      <c r="DN12" s="228">
        <v>46.05</v>
      </c>
      <c r="DO12" s="228">
        <v>-3.57</v>
      </c>
      <c r="DP12" s="228">
        <v>-3.57</v>
      </c>
      <c r="DQ12" s="228">
        <v>0.77</v>
      </c>
      <c r="DR12" s="228">
        <v>0.71</v>
      </c>
      <c r="DS12" s="228">
        <v>0.06</v>
      </c>
      <c r="DT12" s="229">
        <v>8.4500000000000006E-2</v>
      </c>
      <c r="DU12" s="231">
        <v>2300</v>
      </c>
      <c r="DV12" s="231">
        <v>2100</v>
      </c>
      <c r="DW12" s="228">
        <v>0.41</v>
      </c>
      <c r="DX12" s="228">
        <v>0.35</v>
      </c>
      <c r="DY12" s="228">
        <v>0.06</v>
      </c>
      <c r="DZ12" s="229">
        <v>0.1714</v>
      </c>
      <c r="EA12" s="229">
        <v>8.09E-2</v>
      </c>
      <c r="EB12" s="230">
        <v>326500</v>
      </c>
      <c r="EC12" s="229">
        <v>-1.1000000000000001E-3</v>
      </c>
      <c r="ED12" s="229">
        <v>8.09E-2</v>
      </c>
      <c r="EE12" s="228">
        <v>-1.6</v>
      </c>
      <c r="EF12" s="229">
        <v>-6.9999999999999999E-4</v>
      </c>
      <c r="EG12" s="230">
        <v>319893</v>
      </c>
      <c r="EH12" s="230">
        <v>236725</v>
      </c>
      <c r="EI12" s="229">
        <v>0.3513</v>
      </c>
      <c r="EJ12" s="229">
        <v>0.29089999999999999</v>
      </c>
      <c r="EK12" s="231">
        <v>1371.17</v>
      </c>
      <c r="EL12" s="228">
        <v>516.92999999999995</v>
      </c>
      <c r="EM12" s="228">
        <v>332.46</v>
      </c>
      <c r="EN12" s="228">
        <v>58.62</v>
      </c>
      <c r="EO12" s="231">
        <v>2220.56</v>
      </c>
      <c r="EP12" s="231">
        <v>2041.47</v>
      </c>
      <c r="EQ12" s="228">
        <v>179.09</v>
      </c>
      <c r="ER12" s="229">
        <v>8.77E-2</v>
      </c>
      <c r="ES12" s="228">
        <v>457.26</v>
      </c>
      <c r="ET12" s="228">
        <v>323.27</v>
      </c>
      <c r="EU12" s="228">
        <v>930.93</v>
      </c>
      <c r="EV12" s="231">
        <v>9647634</v>
      </c>
      <c r="EW12" s="231">
        <v>1711.46</v>
      </c>
      <c r="EX12" s="231">
        <v>1755.14</v>
      </c>
      <c r="EY12" s="228">
        <v>-43.68</v>
      </c>
      <c r="EZ12" s="229">
        <v>-2.4899999999999999E-2</v>
      </c>
      <c r="FA12" s="229">
        <v>0.77510000000000001</v>
      </c>
      <c r="FB12" s="227" t="s">
        <v>555</v>
      </c>
      <c r="FC12">
        <f t="shared" si="0"/>
        <v>75</v>
      </c>
    </row>
    <row r="13" spans="1:159" ht="17.25" thickBot="1" x14ac:dyDescent="0.3">
      <c r="A13" s="226">
        <v>45940</v>
      </c>
      <c r="B13" s="227" t="s">
        <v>227</v>
      </c>
      <c r="C13" s="227" t="s">
        <v>599</v>
      </c>
      <c r="D13" s="228">
        <v>350</v>
      </c>
      <c r="E13" s="228">
        <v>18</v>
      </c>
      <c r="F13" s="231">
        <v>1746.2</v>
      </c>
      <c r="G13" s="231">
        <v>1745.4</v>
      </c>
      <c r="H13" s="228">
        <v>0.8</v>
      </c>
      <c r="I13" s="229">
        <v>5.0000000000000001E-4</v>
      </c>
      <c r="J13" s="231">
        <v>1738.6</v>
      </c>
      <c r="K13" s="231">
        <v>1735</v>
      </c>
      <c r="L13" s="228">
        <v>3.6</v>
      </c>
      <c r="M13" s="229">
        <v>2.0999999999999999E-3</v>
      </c>
      <c r="N13" s="231">
        <v>1746.2</v>
      </c>
      <c r="O13" s="231">
        <v>1745.4</v>
      </c>
      <c r="P13" s="228">
        <v>0.8</v>
      </c>
      <c r="Q13" s="229">
        <v>5.0000000000000001E-4</v>
      </c>
      <c r="R13" s="231">
        <v>1756.1</v>
      </c>
      <c r="S13" s="231">
        <v>1755.2</v>
      </c>
      <c r="T13" s="228">
        <v>0.9</v>
      </c>
      <c r="U13" s="229">
        <v>5.0000000000000001E-4</v>
      </c>
      <c r="V13" s="231">
        <v>1773</v>
      </c>
      <c r="W13" s="231">
        <v>1777</v>
      </c>
      <c r="X13" s="228">
        <v>-4</v>
      </c>
      <c r="Y13" s="229">
        <v>-2.3E-3</v>
      </c>
      <c r="Z13" s="228">
        <v>7.6</v>
      </c>
      <c r="AA13" s="228">
        <v>10.4</v>
      </c>
      <c r="AB13" s="228">
        <v>-2.8</v>
      </c>
      <c r="AC13" s="229">
        <v>4.4000000000000003E-3</v>
      </c>
      <c r="AD13" s="228">
        <v>7.6</v>
      </c>
      <c r="AE13" s="228">
        <v>10.4</v>
      </c>
      <c r="AF13" s="228">
        <v>-2.8</v>
      </c>
      <c r="AG13" s="229">
        <v>4.4000000000000003E-3</v>
      </c>
      <c r="AH13" s="228">
        <v>17.5</v>
      </c>
      <c r="AI13" s="228">
        <v>20.2</v>
      </c>
      <c r="AJ13" s="228">
        <v>-2.7</v>
      </c>
      <c r="AK13" s="229">
        <v>1.01E-2</v>
      </c>
      <c r="AL13" s="228">
        <v>34.4</v>
      </c>
      <c r="AM13" s="228">
        <v>42</v>
      </c>
      <c r="AN13" s="228">
        <v>-7.6</v>
      </c>
      <c r="AO13" s="229">
        <v>1.9800000000000002E-2</v>
      </c>
      <c r="AP13" s="231">
        <v>1748.77</v>
      </c>
      <c r="AQ13" s="231">
        <v>1758.27</v>
      </c>
      <c r="AR13" s="228">
        <v>0</v>
      </c>
      <c r="AS13" s="228">
        <v>55</v>
      </c>
      <c r="AT13" s="228">
        <v>87</v>
      </c>
      <c r="AU13" s="228">
        <v>-32</v>
      </c>
      <c r="AV13" s="229">
        <v>-0.37269999999999998</v>
      </c>
      <c r="AW13" s="228">
        <v>52</v>
      </c>
      <c r="AX13" s="228">
        <v>83</v>
      </c>
      <c r="AY13" s="228">
        <v>-31</v>
      </c>
      <c r="AZ13" s="229">
        <v>-0.37190000000000001</v>
      </c>
      <c r="BA13" s="228">
        <v>2</v>
      </c>
      <c r="BB13" s="228">
        <v>4</v>
      </c>
      <c r="BC13" s="228">
        <v>-2</v>
      </c>
      <c r="BD13" s="229">
        <v>-0.39679999999999999</v>
      </c>
      <c r="BE13" s="228">
        <v>0</v>
      </c>
      <c r="BF13" s="228">
        <v>0</v>
      </c>
      <c r="BG13" s="228">
        <v>0</v>
      </c>
      <c r="BH13" s="229">
        <v>0</v>
      </c>
      <c r="BI13" s="228">
        <v>85</v>
      </c>
      <c r="BJ13" s="228">
        <v>163</v>
      </c>
      <c r="BK13" s="228">
        <v>-78</v>
      </c>
      <c r="BL13" s="229">
        <v>-0.47870000000000001</v>
      </c>
      <c r="BM13" s="228">
        <v>25</v>
      </c>
      <c r="BN13" s="228">
        <v>38</v>
      </c>
      <c r="BO13" s="228">
        <v>-13</v>
      </c>
      <c r="BP13" s="229">
        <v>-0.34499999999999997</v>
      </c>
      <c r="BQ13" s="228">
        <v>165</v>
      </c>
      <c r="BR13" s="228">
        <v>289</v>
      </c>
      <c r="BS13" s="228">
        <v>-124</v>
      </c>
      <c r="BT13" s="229">
        <v>-0.42909999999999998</v>
      </c>
      <c r="BU13" s="230">
        <v>124188</v>
      </c>
      <c r="BV13" s="230">
        <v>322342</v>
      </c>
      <c r="BW13" s="230">
        <v>-198154</v>
      </c>
      <c r="BX13" s="229">
        <v>-0.61470000000000002</v>
      </c>
      <c r="BY13" s="230">
        <v>1673</v>
      </c>
      <c r="BZ13" s="230">
        <v>1671</v>
      </c>
      <c r="CA13" s="228">
        <v>2</v>
      </c>
      <c r="CB13" s="229">
        <v>1.1999999999999999E-3</v>
      </c>
      <c r="CC13" s="230">
        <v>1660</v>
      </c>
      <c r="CD13" s="230">
        <v>1658</v>
      </c>
      <c r="CE13" s="228">
        <v>2</v>
      </c>
      <c r="CF13" s="229">
        <v>1.1000000000000001E-3</v>
      </c>
      <c r="CG13" s="228">
        <v>12</v>
      </c>
      <c r="CH13" s="228">
        <v>12</v>
      </c>
      <c r="CI13" s="228">
        <v>0</v>
      </c>
      <c r="CJ13" s="229">
        <v>5.0000000000000001E-3</v>
      </c>
      <c r="CK13" s="228">
        <v>1</v>
      </c>
      <c r="CL13" s="228">
        <v>1</v>
      </c>
      <c r="CM13" s="228">
        <v>0</v>
      </c>
      <c r="CN13" s="229">
        <v>8.3299999999999999E-2</v>
      </c>
      <c r="CO13" s="228">
        <v>185</v>
      </c>
      <c r="CP13" s="228">
        <v>186</v>
      </c>
      <c r="CQ13" s="228">
        <v>-1</v>
      </c>
      <c r="CR13" s="229">
        <v>-6.6E-3</v>
      </c>
      <c r="CS13" s="228">
        <v>107</v>
      </c>
      <c r="CT13" s="228">
        <v>107</v>
      </c>
      <c r="CU13" s="228">
        <v>0</v>
      </c>
      <c r="CV13" s="229">
        <v>-2.8999999999999998E-3</v>
      </c>
      <c r="CW13" s="230">
        <v>1965</v>
      </c>
      <c r="CX13" s="230">
        <v>1965</v>
      </c>
      <c r="CY13" s="228">
        <v>0</v>
      </c>
      <c r="CZ13" s="229">
        <v>2.0000000000000001E-4</v>
      </c>
      <c r="DA13" s="228">
        <v>23.89</v>
      </c>
      <c r="DB13" s="228">
        <v>25.46</v>
      </c>
      <c r="DC13" s="228">
        <v>-1.57</v>
      </c>
      <c r="DD13" s="228">
        <v>-1.57</v>
      </c>
      <c r="DE13" s="228">
        <v>35.03</v>
      </c>
      <c r="DF13" s="228">
        <v>35.119999999999997</v>
      </c>
      <c r="DG13" s="228">
        <v>-11.14</v>
      </c>
      <c r="DH13" s="228">
        <v>-0.09</v>
      </c>
      <c r="DI13" s="228">
        <v>23.77</v>
      </c>
      <c r="DJ13" s="228">
        <v>25.34</v>
      </c>
      <c r="DK13" s="228">
        <v>-1.57</v>
      </c>
      <c r="DL13" s="228">
        <v>-1.57</v>
      </c>
      <c r="DM13" s="228">
        <v>24.28</v>
      </c>
      <c r="DN13" s="228">
        <v>25.96</v>
      </c>
      <c r="DO13" s="228">
        <v>-1.68</v>
      </c>
      <c r="DP13" s="228">
        <v>-1.68</v>
      </c>
      <c r="DQ13" s="228">
        <v>0.57999999999999996</v>
      </c>
      <c r="DR13" s="228">
        <v>0.56999999999999995</v>
      </c>
      <c r="DS13" s="228">
        <v>0.01</v>
      </c>
      <c r="DT13" s="229">
        <v>1.7500000000000002E-2</v>
      </c>
      <c r="DU13" s="231">
        <v>1740</v>
      </c>
      <c r="DV13" s="231">
        <v>1700</v>
      </c>
      <c r="DW13" s="228">
        <v>0.28999999999999998</v>
      </c>
      <c r="DX13" s="228">
        <v>0.23</v>
      </c>
      <c r="DY13" s="228">
        <v>0.06</v>
      </c>
      <c r="DZ13" s="229">
        <v>0.26090000000000002</v>
      </c>
      <c r="EA13" s="229">
        <v>7.9000000000000008E-3</v>
      </c>
      <c r="EB13" s="230">
        <v>74550</v>
      </c>
      <c r="EC13" s="229">
        <v>5.7000000000000002E-3</v>
      </c>
      <c r="ED13" s="229">
        <v>7.9000000000000008E-3</v>
      </c>
      <c r="EE13" s="228">
        <v>9.5</v>
      </c>
      <c r="EF13" s="229">
        <v>5.4000000000000003E-3</v>
      </c>
      <c r="EG13" s="230">
        <v>72146</v>
      </c>
      <c r="EH13" s="230">
        <v>184893</v>
      </c>
      <c r="EI13" s="229">
        <v>-0.60980000000000001</v>
      </c>
      <c r="EJ13" s="229">
        <v>0.58089999999999997</v>
      </c>
      <c r="EK13" s="228">
        <v>88.15</v>
      </c>
      <c r="EL13" s="228">
        <v>24.9</v>
      </c>
      <c r="EM13" s="228">
        <v>54.61</v>
      </c>
      <c r="EN13" s="228">
        <v>19.52</v>
      </c>
      <c r="EO13" s="228">
        <v>167.67</v>
      </c>
      <c r="EP13" s="228">
        <v>293.77</v>
      </c>
      <c r="EQ13" s="228">
        <v>-126.1</v>
      </c>
      <c r="ER13" s="229">
        <v>-0.42930000000000001</v>
      </c>
      <c r="ES13" s="228">
        <v>186.35</v>
      </c>
      <c r="ET13" s="228">
        <v>101.44</v>
      </c>
      <c r="EU13" s="231">
        <v>1673.34</v>
      </c>
      <c r="EV13" s="231">
        <v>27232196</v>
      </c>
      <c r="EW13" s="231">
        <v>1961.13</v>
      </c>
      <c r="EX13" s="231">
        <v>1959.7</v>
      </c>
      <c r="EY13" s="228">
        <v>1.43</v>
      </c>
      <c r="EZ13" s="229">
        <v>6.9999999999999999E-4</v>
      </c>
      <c r="FA13" s="229">
        <v>0.4133</v>
      </c>
      <c r="FB13" s="227" t="s">
        <v>555</v>
      </c>
      <c r="FC13">
        <f t="shared" si="0"/>
        <v>13</v>
      </c>
    </row>
    <row r="14" spans="1:159" ht="17.25" thickBot="1" x14ac:dyDescent="0.3">
      <c r="A14" s="226">
        <v>45940</v>
      </c>
      <c r="B14" s="227" t="s">
        <v>170</v>
      </c>
      <c r="C14" s="227" t="s">
        <v>165</v>
      </c>
      <c r="D14" s="228">
        <v>125</v>
      </c>
      <c r="E14" s="228">
        <v>18</v>
      </c>
      <c r="F14" s="231">
        <v>7721</v>
      </c>
      <c r="G14" s="231">
        <v>7734</v>
      </c>
      <c r="H14" s="228">
        <v>-13</v>
      </c>
      <c r="I14" s="229">
        <v>-1.6999999999999999E-3</v>
      </c>
      <c r="J14" s="231">
        <v>7681</v>
      </c>
      <c r="K14" s="231">
        <v>7695</v>
      </c>
      <c r="L14" s="228">
        <v>-14</v>
      </c>
      <c r="M14" s="229">
        <v>-1.8E-3</v>
      </c>
      <c r="N14" s="231">
        <v>7721</v>
      </c>
      <c r="O14" s="231">
        <v>7734</v>
      </c>
      <c r="P14" s="228">
        <v>-13</v>
      </c>
      <c r="Q14" s="229">
        <v>-1.6999999999999999E-3</v>
      </c>
      <c r="R14" s="231">
        <v>7762</v>
      </c>
      <c r="S14" s="231">
        <v>7778.5</v>
      </c>
      <c r="T14" s="228">
        <v>-16.5</v>
      </c>
      <c r="U14" s="229">
        <v>-2.0999999999999999E-3</v>
      </c>
      <c r="V14" s="231">
        <v>7811</v>
      </c>
      <c r="W14" s="231">
        <v>7808</v>
      </c>
      <c r="X14" s="228">
        <v>3</v>
      </c>
      <c r="Y14" s="229">
        <v>4.0000000000000002E-4</v>
      </c>
      <c r="Z14" s="228">
        <v>40</v>
      </c>
      <c r="AA14" s="228">
        <v>39</v>
      </c>
      <c r="AB14" s="228">
        <v>1</v>
      </c>
      <c r="AC14" s="229">
        <v>5.1999999999999998E-3</v>
      </c>
      <c r="AD14" s="228">
        <v>40</v>
      </c>
      <c r="AE14" s="228">
        <v>39</v>
      </c>
      <c r="AF14" s="228">
        <v>1</v>
      </c>
      <c r="AG14" s="229">
        <v>5.1999999999999998E-3</v>
      </c>
      <c r="AH14" s="228">
        <v>81</v>
      </c>
      <c r="AI14" s="228">
        <v>83.5</v>
      </c>
      <c r="AJ14" s="228">
        <v>-2.5</v>
      </c>
      <c r="AK14" s="229">
        <v>1.0500000000000001E-2</v>
      </c>
      <c r="AL14" s="228">
        <v>130</v>
      </c>
      <c r="AM14" s="228">
        <v>113</v>
      </c>
      <c r="AN14" s="228">
        <v>17</v>
      </c>
      <c r="AO14" s="229">
        <v>1.6899999999999998E-2</v>
      </c>
      <c r="AP14" s="231">
        <v>7731.21</v>
      </c>
      <c r="AQ14" s="231">
        <v>7775.26</v>
      </c>
      <c r="AR14" s="228">
        <v>0</v>
      </c>
      <c r="AS14" s="228">
        <v>171</v>
      </c>
      <c r="AT14" s="228">
        <v>177</v>
      </c>
      <c r="AU14" s="228">
        <v>-6</v>
      </c>
      <c r="AV14" s="229">
        <v>-3.4799999999999998E-2</v>
      </c>
      <c r="AW14" s="228">
        <v>159</v>
      </c>
      <c r="AX14" s="228">
        <v>166</v>
      </c>
      <c r="AY14" s="228">
        <v>-7</v>
      </c>
      <c r="AZ14" s="229">
        <v>-4.3499999999999997E-2</v>
      </c>
      <c r="BA14" s="228">
        <v>9</v>
      </c>
      <c r="BB14" s="228">
        <v>10</v>
      </c>
      <c r="BC14" s="228">
        <v>-1</v>
      </c>
      <c r="BD14" s="229">
        <v>-5.8299999999999998E-2</v>
      </c>
      <c r="BE14" s="228">
        <v>3</v>
      </c>
      <c r="BF14" s="228">
        <v>1</v>
      </c>
      <c r="BG14" s="228">
        <v>2</v>
      </c>
      <c r="BH14" s="229">
        <v>1.7</v>
      </c>
      <c r="BI14" s="228">
        <v>761</v>
      </c>
      <c r="BJ14" s="230">
        <v>1008</v>
      </c>
      <c r="BK14" s="228">
        <v>-246</v>
      </c>
      <c r="BL14" s="229">
        <v>-0.24460000000000001</v>
      </c>
      <c r="BM14" s="228">
        <v>373</v>
      </c>
      <c r="BN14" s="228">
        <v>569</v>
      </c>
      <c r="BO14" s="228">
        <v>-196</v>
      </c>
      <c r="BP14" s="229">
        <v>-0.34379999999999999</v>
      </c>
      <c r="BQ14" s="230">
        <v>1306</v>
      </c>
      <c r="BR14" s="230">
        <v>1754</v>
      </c>
      <c r="BS14" s="228">
        <v>-448</v>
      </c>
      <c r="BT14" s="229">
        <v>-0.25559999999999999</v>
      </c>
      <c r="BU14" s="230">
        <v>275093</v>
      </c>
      <c r="BV14" s="230">
        <v>315750</v>
      </c>
      <c r="BW14" s="230">
        <v>-40657</v>
      </c>
      <c r="BX14" s="229">
        <v>-0.1288</v>
      </c>
      <c r="BY14" s="230">
        <v>2207</v>
      </c>
      <c r="BZ14" s="230">
        <v>2168</v>
      </c>
      <c r="CA14" s="228">
        <v>39</v>
      </c>
      <c r="CB14" s="229">
        <v>1.7899999999999999E-2</v>
      </c>
      <c r="CC14" s="230">
        <v>2175</v>
      </c>
      <c r="CD14" s="230">
        <v>2142</v>
      </c>
      <c r="CE14" s="228">
        <v>33</v>
      </c>
      <c r="CF14" s="229">
        <v>1.55E-2</v>
      </c>
      <c r="CG14" s="228">
        <v>27</v>
      </c>
      <c r="CH14" s="228">
        <v>23</v>
      </c>
      <c r="CI14" s="228">
        <v>3</v>
      </c>
      <c r="CJ14" s="229">
        <v>0.14399999999999999</v>
      </c>
      <c r="CK14" s="228">
        <v>5</v>
      </c>
      <c r="CL14" s="228">
        <v>3</v>
      </c>
      <c r="CM14" s="228">
        <v>2</v>
      </c>
      <c r="CN14" s="229">
        <v>0.86209999999999998</v>
      </c>
      <c r="CO14" s="228">
        <v>559</v>
      </c>
      <c r="CP14" s="228">
        <v>544</v>
      </c>
      <c r="CQ14" s="228">
        <v>15</v>
      </c>
      <c r="CR14" s="229">
        <v>2.8199999999999999E-2</v>
      </c>
      <c r="CS14" s="228">
        <v>329</v>
      </c>
      <c r="CT14" s="228">
        <v>339</v>
      </c>
      <c r="CU14" s="228">
        <v>-10</v>
      </c>
      <c r="CV14" s="229">
        <v>-2.8500000000000001E-2</v>
      </c>
      <c r="CW14" s="230">
        <v>3096</v>
      </c>
      <c r="CX14" s="230">
        <v>3051</v>
      </c>
      <c r="CY14" s="228">
        <v>45</v>
      </c>
      <c r="CZ14" s="229">
        <v>1.46E-2</v>
      </c>
      <c r="DA14" s="228">
        <v>17.170000000000002</v>
      </c>
      <c r="DB14" s="228">
        <v>16.850000000000001</v>
      </c>
      <c r="DC14" s="228">
        <v>0.32</v>
      </c>
      <c r="DD14" s="228">
        <v>0.32</v>
      </c>
      <c r="DE14" s="228">
        <v>26.64</v>
      </c>
      <c r="DF14" s="228">
        <v>26.71</v>
      </c>
      <c r="DG14" s="228">
        <v>-9.4700000000000006</v>
      </c>
      <c r="DH14" s="228">
        <v>-7.0000000000000007E-2</v>
      </c>
      <c r="DI14" s="228">
        <v>17.2</v>
      </c>
      <c r="DJ14" s="228">
        <v>16.989999999999998</v>
      </c>
      <c r="DK14" s="228">
        <v>0.21</v>
      </c>
      <c r="DL14" s="228">
        <v>0.21</v>
      </c>
      <c r="DM14" s="228">
        <v>17.11</v>
      </c>
      <c r="DN14" s="228">
        <v>16.600000000000001</v>
      </c>
      <c r="DO14" s="228">
        <v>0.51</v>
      </c>
      <c r="DP14" s="228">
        <v>0.51</v>
      </c>
      <c r="DQ14" s="228">
        <v>0.59</v>
      </c>
      <c r="DR14" s="228">
        <v>0.62</v>
      </c>
      <c r="DS14" s="228">
        <v>-0.03</v>
      </c>
      <c r="DT14" s="229">
        <v>-4.8399999999999999E-2</v>
      </c>
      <c r="DU14" s="231">
        <v>7800</v>
      </c>
      <c r="DV14" s="231">
        <v>7700</v>
      </c>
      <c r="DW14" s="228">
        <v>0.49</v>
      </c>
      <c r="DX14" s="228">
        <v>0.56000000000000005</v>
      </c>
      <c r="DY14" s="228">
        <v>-7.0000000000000007E-2</v>
      </c>
      <c r="DZ14" s="229">
        <v>-0.125</v>
      </c>
      <c r="EA14" s="229">
        <v>1.4500000000000001E-2</v>
      </c>
      <c r="EB14" s="230">
        <v>34000</v>
      </c>
      <c r="EC14" s="229">
        <v>5.3E-3</v>
      </c>
      <c r="ED14" s="229">
        <v>1.4500000000000001E-2</v>
      </c>
      <c r="EE14" s="228">
        <v>44.05</v>
      </c>
      <c r="EF14" s="229">
        <v>5.7000000000000002E-3</v>
      </c>
      <c r="EG14" s="230">
        <v>180775</v>
      </c>
      <c r="EH14" s="230">
        <v>203707</v>
      </c>
      <c r="EI14" s="229">
        <v>-0.11260000000000001</v>
      </c>
      <c r="EJ14" s="229">
        <v>0.65710000000000002</v>
      </c>
      <c r="EK14" s="228">
        <v>783.77</v>
      </c>
      <c r="EL14" s="228">
        <v>370.72</v>
      </c>
      <c r="EM14" s="228">
        <v>171.52</v>
      </c>
      <c r="EN14" s="228">
        <v>25</v>
      </c>
      <c r="EO14" s="231">
        <v>1326.01</v>
      </c>
      <c r="EP14" s="231">
        <v>1781.13</v>
      </c>
      <c r="EQ14" s="228">
        <v>-455.11</v>
      </c>
      <c r="ER14" s="229">
        <v>-0.2555</v>
      </c>
      <c r="ES14" s="228">
        <v>568.79999999999995</v>
      </c>
      <c r="ET14" s="228">
        <v>318.66000000000003</v>
      </c>
      <c r="EU14" s="231">
        <v>2207.54</v>
      </c>
      <c r="EV14" s="231">
        <v>15240043</v>
      </c>
      <c r="EW14" s="231">
        <v>3095</v>
      </c>
      <c r="EX14" s="231">
        <v>3053.92</v>
      </c>
      <c r="EY14" s="228">
        <v>41.08</v>
      </c>
      <c r="EZ14" s="229">
        <v>1.35E-2</v>
      </c>
      <c r="FA14" s="229">
        <v>0.2631</v>
      </c>
      <c r="FB14" s="227" t="s">
        <v>567</v>
      </c>
      <c r="FC14">
        <f t="shared" si="0"/>
        <v>32</v>
      </c>
    </row>
    <row r="15" spans="1:159" ht="17.25" thickBot="1" x14ac:dyDescent="0.3">
      <c r="A15" s="226">
        <v>45940</v>
      </c>
      <c r="B15" s="227" t="s">
        <v>162</v>
      </c>
      <c r="C15" s="227" t="s">
        <v>167</v>
      </c>
      <c r="D15" s="228">
        <v>5000</v>
      </c>
      <c r="E15" s="228">
        <v>18</v>
      </c>
      <c r="F15" s="228">
        <v>137.72</v>
      </c>
      <c r="G15" s="228">
        <v>138.72999999999999</v>
      </c>
      <c r="H15" s="228">
        <v>-1.01</v>
      </c>
      <c r="I15" s="229">
        <v>-7.3000000000000001E-3</v>
      </c>
      <c r="J15" s="228">
        <v>137.55000000000001</v>
      </c>
      <c r="K15" s="228">
        <v>138.63999999999999</v>
      </c>
      <c r="L15" s="228">
        <v>-1.0900000000000001</v>
      </c>
      <c r="M15" s="229">
        <v>-7.9000000000000008E-3</v>
      </c>
      <c r="N15" s="228">
        <v>137.72</v>
      </c>
      <c r="O15" s="228">
        <v>138.72999999999999</v>
      </c>
      <c r="P15" s="228">
        <v>-1.01</v>
      </c>
      <c r="Q15" s="229">
        <v>-7.3000000000000001E-3</v>
      </c>
      <c r="R15" s="228">
        <v>136.09</v>
      </c>
      <c r="S15" s="228">
        <v>136.96</v>
      </c>
      <c r="T15" s="228">
        <v>-0.87</v>
      </c>
      <c r="U15" s="229">
        <v>-6.4000000000000003E-3</v>
      </c>
      <c r="V15" s="228">
        <v>135.55000000000001</v>
      </c>
      <c r="W15" s="228">
        <v>136.49</v>
      </c>
      <c r="X15" s="228">
        <v>-0.94</v>
      </c>
      <c r="Y15" s="229">
        <v>-6.8999999999999999E-3</v>
      </c>
      <c r="Z15" s="228">
        <v>0.17</v>
      </c>
      <c r="AA15" s="228">
        <v>0.09</v>
      </c>
      <c r="AB15" s="228">
        <v>0.08</v>
      </c>
      <c r="AC15" s="229">
        <v>1.1999999999999999E-3</v>
      </c>
      <c r="AD15" s="228">
        <v>0.17</v>
      </c>
      <c r="AE15" s="228">
        <v>0.09</v>
      </c>
      <c r="AF15" s="228">
        <v>0.08</v>
      </c>
      <c r="AG15" s="229">
        <v>1.1999999999999999E-3</v>
      </c>
      <c r="AH15" s="228">
        <v>-1.46</v>
      </c>
      <c r="AI15" s="228">
        <v>-1.68</v>
      </c>
      <c r="AJ15" s="228">
        <v>0.22</v>
      </c>
      <c r="AK15" s="229">
        <v>-1.06E-2</v>
      </c>
      <c r="AL15" s="228">
        <v>-2</v>
      </c>
      <c r="AM15" s="228">
        <v>-2.15</v>
      </c>
      <c r="AN15" s="228">
        <v>0.15</v>
      </c>
      <c r="AO15" s="229">
        <v>-1.4500000000000001E-2</v>
      </c>
      <c r="AP15" s="228">
        <v>138.15</v>
      </c>
      <c r="AQ15" s="228">
        <v>136.53</v>
      </c>
      <c r="AR15" s="228">
        <v>0</v>
      </c>
      <c r="AS15" s="228">
        <v>176</v>
      </c>
      <c r="AT15" s="228">
        <v>203</v>
      </c>
      <c r="AU15" s="228">
        <v>-27</v>
      </c>
      <c r="AV15" s="229">
        <v>-0.13289999999999999</v>
      </c>
      <c r="AW15" s="228">
        <v>154</v>
      </c>
      <c r="AX15" s="228">
        <v>181</v>
      </c>
      <c r="AY15" s="228">
        <v>-27</v>
      </c>
      <c r="AZ15" s="229">
        <v>-0.15029999999999999</v>
      </c>
      <c r="BA15" s="228">
        <v>21</v>
      </c>
      <c r="BB15" s="228">
        <v>20</v>
      </c>
      <c r="BC15" s="228">
        <v>0</v>
      </c>
      <c r="BD15" s="229">
        <v>1.3599999999999999E-2</v>
      </c>
      <c r="BE15" s="228">
        <v>1</v>
      </c>
      <c r="BF15" s="228">
        <v>1</v>
      </c>
      <c r="BG15" s="228">
        <v>0</v>
      </c>
      <c r="BH15" s="229">
        <v>0</v>
      </c>
      <c r="BI15" s="228">
        <v>566</v>
      </c>
      <c r="BJ15" s="228">
        <v>703</v>
      </c>
      <c r="BK15" s="228">
        <v>-137</v>
      </c>
      <c r="BL15" s="229">
        <v>-0.19539999999999999</v>
      </c>
      <c r="BM15" s="228">
        <v>268</v>
      </c>
      <c r="BN15" s="228">
        <v>183</v>
      </c>
      <c r="BO15" s="228">
        <v>85</v>
      </c>
      <c r="BP15" s="229">
        <v>0.46189999999999998</v>
      </c>
      <c r="BQ15" s="230">
        <v>1009</v>
      </c>
      <c r="BR15" s="230">
        <v>1089</v>
      </c>
      <c r="BS15" s="228">
        <v>-80</v>
      </c>
      <c r="BT15" s="229">
        <v>-7.3200000000000001E-2</v>
      </c>
      <c r="BU15" s="230">
        <v>7162950</v>
      </c>
      <c r="BV15" s="230">
        <v>5979146</v>
      </c>
      <c r="BW15" s="230">
        <v>1183804</v>
      </c>
      <c r="BX15" s="229">
        <v>0.19800000000000001</v>
      </c>
      <c r="BY15" s="230">
        <v>1865</v>
      </c>
      <c r="BZ15" s="230">
        <v>1844</v>
      </c>
      <c r="CA15" s="228">
        <v>21</v>
      </c>
      <c r="CB15" s="229">
        <v>1.15E-2</v>
      </c>
      <c r="CC15" s="230">
        <v>1787</v>
      </c>
      <c r="CD15" s="230">
        <v>1775</v>
      </c>
      <c r="CE15" s="228">
        <v>11</v>
      </c>
      <c r="CF15" s="229">
        <v>6.4999999999999997E-3</v>
      </c>
      <c r="CG15" s="228">
        <v>70</v>
      </c>
      <c r="CH15" s="228">
        <v>62</v>
      </c>
      <c r="CI15" s="228">
        <v>9</v>
      </c>
      <c r="CJ15" s="229">
        <v>0.14050000000000001</v>
      </c>
      <c r="CK15" s="228">
        <v>8</v>
      </c>
      <c r="CL15" s="228">
        <v>7</v>
      </c>
      <c r="CM15" s="228">
        <v>1</v>
      </c>
      <c r="CN15" s="229">
        <v>0.15379999999999999</v>
      </c>
      <c r="CO15" s="230">
        <v>1066</v>
      </c>
      <c r="CP15" s="228">
        <v>981</v>
      </c>
      <c r="CQ15" s="228">
        <v>85</v>
      </c>
      <c r="CR15" s="229">
        <v>8.6699999999999999E-2</v>
      </c>
      <c r="CS15" s="228">
        <v>480</v>
      </c>
      <c r="CT15" s="228">
        <v>443</v>
      </c>
      <c r="CU15" s="228">
        <v>37</v>
      </c>
      <c r="CV15" s="229">
        <v>8.4400000000000003E-2</v>
      </c>
      <c r="CW15" s="230">
        <v>3412</v>
      </c>
      <c r="CX15" s="230">
        <v>3268</v>
      </c>
      <c r="CY15" s="228">
        <v>144</v>
      </c>
      <c r="CZ15" s="229">
        <v>4.3999999999999997E-2</v>
      </c>
      <c r="DA15" s="228">
        <v>27.97</v>
      </c>
      <c r="DB15" s="228">
        <v>28.76</v>
      </c>
      <c r="DC15" s="228">
        <v>-0.79</v>
      </c>
      <c r="DD15" s="228">
        <v>-0.79</v>
      </c>
      <c r="DE15" s="228">
        <v>35.270000000000003</v>
      </c>
      <c r="DF15" s="228">
        <v>35.340000000000003</v>
      </c>
      <c r="DG15" s="228">
        <v>-7.3</v>
      </c>
      <c r="DH15" s="228">
        <v>-7.0000000000000007E-2</v>
      </c>
      <c r="DI15" s="228">
        <v>28.61</v>
      </c>
      <c r="DJ15" s="228">
        <v>29.12</v>
      </c>
      <c r="DK15" s="228">
        <v>-0.51</v>
      </c>
      <c r="DL15" s="228">
        <v>-0.51</v>
      </c>
      <c r="DM15" s="228">
        <v>26.63</v>
      </c>
      <c r="DN15" s="228">
        <v>27.36</v>
      </c>
      <c r="DO15" s="228">
        <v>-0.73</v>
      </c>
      <c r="DP15" s="228">
        <v>-0.73</v>
      </c>
      <c r="DQ15" s="228">
        <v>0.45</v>
      </c>
      <c r="DR15" s="228">
        <v>0.45</v>
      </c>
      <c r="DS15" s="228">
        <v>0</v>
      </c>
      <c r="DT15" s="229">
        <v>0</v>
      </c>
      <c r="DU15" s="228">
        <v>145</v>
      </c>
      <c r="DV15" s="228">
        <v>130</v>
      </c>
      <c r="DW15" s="228">
        <v>0.47</v>
      </c>
      <c r="DX15" s="228">
        <v>0.26</v>
      </c>
      <c r="DY15" s="228">
        <v>0.21</v>
      </c>
      <c r="DZ15" s="229">
        <v>0.80769999999999997</v>
      </c>
      <c r="EA15" s="229">
        <v>4.2200000000000001E-2</v>
      </c>
      <c r="EB15" s="230">
        <v>5005000</v>
      </c>
      <c r="EC15" s="229">
        <v>-1.18E-2</v>
      </c>
      <c r="ED15" s="229">
        <v>4.2200000000000001E-2</v>
      </c>
      <c r="EE15" s="228">
        <v>-1.62</v>
      </c>
      <c r="EF15" s="229">
        <v>-1.17E-2</v>
      </c>
      <c r="EG15" s="230">
        <v>3412741</v>
      </c>
      <c r="EH15" s="230">
        <v>2563848</v>
      </c>
      <c r="EI15" s="229">
        <v>0.33110000000000001</v>
      </c>
      <c r="EJ15" s="229">
        <v>0.47639999999999999</v>
      </c>
      <c r="EK15" s="228">
        <v>597.6</v>
      </c>
      <c r="EL15" s="228">
        <v>266.64</v>
      </c>
      <c r="EM15" s="228">
        <v>176.36</v>
      </c>
      <c r="EN15" s="228">
        <v>37.880000000000003</v>
      </c>
      <c r="EO15" s="231">
        <v>1040.5999999999999</v>
      </c>
      <c r="EP15" s="231">
        <v>1138.1500000000001</v>
      </c>
      <c r="EQ15" s="228">
        <v>-97.55</v>
      </c>
      <c r="ER15" s="229">
        <v>-8.5699999999999998E-2</v>
      </c>
      <c r="ES15" s="231">
        <v>1138.94</v>
      </c>
      <c r="ET15" s="228">
        <v>467.12</v>
      </c>
      <c r="EU15" s="231">
        <v>1864.38</v>
      </c>
      <c r="EV15" s="231">
        <v>409181558</v>
      </c>
      <c r="EW15" s="231">
        <v>3470.44</v>
      </c>
      <c r="EX15" s="231">
        <v>3337.58</v>
      </c>
      <c r="EY15" s="228">
        <v>132.86000000000001</v>
      </c>
      <c r="EZ15" s="229">
        <v>3.9800000000000002E-2</v>
      </c>
      <c r="FA15" s="229">
        <v>0.60550000000000004</v>
      </c>
      <c r="FB15" s="227" t="s">
        <v>567</v>
      </c>
      <c r="FC15">
        <f t="shared" si="0"/>
        <v>78</v>
      </c>
    </row>
    <row r="16" spans="1:159" ht="17.25" thickBot="1" x14ac:dyDescent="0.3">
      <c r="A16" s="226">
        <v>45940</v>
      </c>
      <c r="B16" s="227" t="s">
        <v>168</v>
      </c>
      <c r="C16" s="227" t="s">
        <v>169</v>
      </c>
      <c r="D16" s="228">
        <v>250</v>
      </c>
      <c r="E16" s="228">
        <v>18</v>
      </c>
      <c r="F16" s="231">
        <v>2351.1999999999998</v>
      </c>
      <c r="G16" s="231">
        <v>2347.4</v>
      </c>
      <c r="H16" s="228">
        <v>3.8</v>
      </c>
      <c r="I16" s="229">
        <v>1.6000000000000001E-3</v>
      </c>
      <c r="J16" s="231">
        <v>2340.1999999999998</v>
      </c>
      <c r="K16" s="231">
        <v>2336.4</v>
      </c>
      <c r="L16" s="228">
        <v>3.8</v>
      </c>
      <c r="M16" s="229">
        <v>1.6000000000000001E-3</v>
      </c>
      <c r="N16" s="231">
        <v>2351.1999999999998</v>
      </c>
      <c r="O16" s="231">
        <v>2347.4</v>
      </c>
      <c r="P16" s="228">
        <v>3.8</v>
      </c>
      <c r="Q16" s="229">
        <v>1.6000000000000001E-3</v>
      </c>
      <c r="R16" s="231">
        <v>2361.6</v>
      </c>
      <c r="S16" s="231">
        <v>2356.1</v>
      </c>
      <c r="T16" s="228">
        <v>5.5</v>
      </c>
      <c r="U16" s="229">
        <v>2.3E-3</v>
      </c>
      <c r="V16" s="231">
        <v>2375.4</v>
      </c>
      <c r="W16" s="231">
        <v>2369.3000000000002</v>
      </c>
      <c r="X16" s="228">
        <v>6.1</v>
      </c>
      <c r="Y16" s="229">
        <v>2.5999999999999999E-3</v>
      </c>
      <c r="Z16" s="228">
        <v>11</v>
      </c>
      <c r="AA16" s="228">
        <v>11</v>
      </c>
      <c r="AB16" s="228">
        <v>0</v>
      </c>
      <c r="AC16" s="229">
        <v>4.7000000000000002E-3</v>
      </c>
      <c r="AD16" s="228">
        <v>11</v>
      </c>
      <c r="AE16" s="228">
        <v>11</v>
      </c>
      <c r="AF16" s="228">
        <v>0</v>
      </c>
      <c r="AG16" s="229">
        <v>4.7000000000000002E-3</v>
      </c>
      <c r="AH16" s="228">
        <v>21.4</v>
      </c>
      <c r="AI16" s="228">
        <v>19.7</v>
      </c>
      <c r="AJ16" s="228">
        <v>1.7</v>
      </c>
      <c r="AK16" s="229">
        <v>9.1000000000000004E-3</v>
      </c>
      <c r="AL16" s="228">
        <v>35.200000000000003</v>
      </c>
      <c r="AM16" s="228">
        <v>32.9</v>
      </c>
      <c r="AN16" s="228">
        <v>2.2999999999999998</v>
      </c>
      <c r="AO16" s="229">
        <v>1.4999999999999999E-2</v>
      </c>
      <c r="AP16" s="231">
        <v>2356.19</v>
      </c>
      <c r="AQ16" s="231">
        <v>2365.92</v>
      </c>
      <c r="AR16" s="228">
        <v>0</v>
      </c>
      <c r="AS16" s="228">
        <v>346</v>
      </c>
      <c r="AT16" s="228">
        <v>213</v>
      </c>
      <c r="AU16" s="228">
        <v>134</v>
      </c>
      <c r="AV16" s="229">
        <v>0.62880000000000003</v>
      </c>
      <c r="AW16" s="228">
        <v>317</v>
      </c>
      <c r="AX16" s="228">
        <v>193</v>
      </c>
      <c r="AY16" s="228">
        <v>124</v>
      </c>
      <c r="AZ16" s="229">
        <v>0.64070000000000005</v>
      </c>
      <c r="BA16" s="228">
        <v>24</v>
      </c>
      <c r="BB16" s="228">
        <v>18</v>
      </c>
      <c r="BC16" s="228">
        <v>6</v>
      </c>
      <c r="BD16" s="229">
        <v>0.34670000000000001</v>
      </c>
      <c r="BE16" s="228">
        <v>5</v>
      </c>
      <c r="BF16" s="228">
        <v>2</v>
      </c>
      <c r="BG16" s="228">
        <v>4</v>
      </c>
      <c r="BH16" s="229">
        <v>2.25</v>
      </c>
      <c r="BI16" s="230">
        <v>1121</v>
      </c>
      <c r="BJ16" s="230">
        <v>1050</v>
      </c>
      <c r="BK16" s="228">
        <v>72</v>
      </c>
      <c r="BL16" s="229">
        <v>6.8099999999999994E-2</v>
      </c>
      <c r="BM16" s="228">
        <v>371</v>
      </c>
      <c r="BN16" s="228">
        <v>357</v>
      </c>
      <c r="BO16" s="228">
        <v>14</v>
      </c>
      <c r="BP16" s="229">
        <v>0.04</v>
      </c>
      <c r="BQ16" s="230">
        <v>1839</v>
      </c>
      <c r="BR16" s="230">
        <v>1619</v>
      </c>
      <c r="BS16" s="228">
        <v>220</v>
      </c>
      <c r="BT16" s="229">
        <v>0.1356</v>
      </c>
      <c r="BU16" s="230">
        <v>1127657</v>
      </c>
      <c r="BV16" s="230">
        <v>601476</v>
      </c>
      <c r="BW16" s="230">
        <v>526181</v>
      </c>
      <c r="BX16" s="229">
        <v>0.87480000000000002</v>
      </c>
      <c r="BY16" s="230">
        <v>3144</v>
      </c>
      <c r="BZ16" s="230">
        <v>3232</v>
      </c>
      <c r="CA16" s="228">
        <v>-88</v>
      </c>
      <c r="CB16" s="229">
        <v>-2.7300000000000001E-2</v>
      </c>
      <c r="CC16" s="230">
        <v>3000</v>
      </c>
      <c r="CD16" s="230">
        <v>3101</v>
      </c>
      <c r="CE16" s="228">
        <v>-101</v>
      </c>
      <c r="CF16" s="229">
        <v>-3.2500000000000001E-2</v>
      </c>
      <c r="CG16" s="228">
        <v>132</v>
      </c>
      <c r="CH16" s="228">
        <v>124</v>
      </c>
      <c r="CI16" s="228">
        <v>9</v>
      </c>
      <c r="CJ16" s="229">
        <v>6.88E-2</v>
      </c>
      <c r="CK16" s="228">
        <v>11</v>
      </c>
      <c r="CL16" s="228">
        <v>7</v>
      </c>
      <c r="CM16" s="228">
        <v>4</v>
      </c>
      <c r="CN16" s="229">
        <v>0.5484</v>
      </c>
      <c r="CO16" s="230">
        <v>1456</v>
      </c>
      <c r="CP16" s="230">
        <v>1418</v>
      </c>
      <c r="CQ16" s="228">
        <v>38</v>
      </c>
      <c r="CR16" s="229">
        <v>2.6599999999999999E-2</v>
      </c>
      <c r="CS16" s="228">
        <v>841</v>
      </c>
      <c r="CT16" s="228">
        <v>832</v>
      </c>
      <c r="CU16" s="228">
        <v>9</v>
      </c>
      <c r="CV16" s="229">
        <v>1.12E-2</v>
      </c>
      <c r="CW16" s="230">
        <v>5441</v>
      </c>
      <c r="CX16" s="230">
        <v>5482</v>
      </c>
      <c r="CY16" s="228">
        <v>-41</v>
      </c>
      <c r="CZ16" s="229">
        <v>-7.4999999999999997E-3</v>
      </c>
      <c r="DA16" s="228">
        <v>18.559999999999999</v>
      </c>
      <c r="DB16" s="228">
        <v>19.239999999999998</v>
      </c>
      <c r="DC16" s="228">
        <v>-0.68</v>
      </c>
      <c r="DD16" s="228">
        <v>-0.68</v>
      </c>
      <c r="DE16" s="228">
        <v>23.45</v>
      </c>
      <c r="DF16" s="228">
        <v>23.51</v>
      </c>
      <c r="DG16" s="228">
        <v>-4.8899999999999997</v>
      </c>
      <c r="DH16" s="228">
        <v>-0.06</v>
      </c>
      <c r="DI16" s="228">
        <v>18.579999999999998</v>
      </c>
      <c r="DJ16" s="228">
        <v>19.22</v>
      </c>
      <c r="DK16" s="228">
        <v>-0.64</v>
      </c>
      <c r="DL16" s="228">
        <v>-0.64</v>
      </c>
      <c r="DM16" s="228">
        <v>18.52</v>
      </c>
      <c r="DN16" s="228">
        <v>19.309999999999999</v>
      </c>
      <c r="DO16" s="228">
        <v>-0.79</v>
      </c>
      <c r="DP16" s="228">
        <v>-0.79</v>
      </c>
      <c r="DQ16" s="228">
        <v>0.57999999999999996</v>
      </c>
      <c r="DR16" s="228">
        <v>0.59</v>
      </c>
      <c r="DS16" s="228">
        <v>-0.01</v>
      </c>
      <c r="DT16" s="229">
        <v>-1.6899999999999998E-2</v>
      </c>
      <c r="DU16" s="231">
        <v>2500</v>
      </c>
      <c r="DV16" s="231">
        <v>2300</v>
      </c>
      <c r="DW16" s="228">
        <v>0.33</v>
      </c>
      <c r="DX16" s="228">
        <v>0.34</v>
      </c>
      <c r="DY16" s="228">
        <v>-0.01</v>
      </c>
      <c r="DZ16" s="229">
        <v>-2.9399999999999999E-2</v>
      </c>
      <c r="EA16" s="229">
        <v>4.5699999999999998E-2</v>
      </c>
      <c r="EB16" s="230">
        <v>558000</v>
      </c>
      <c r="EC16" s="229">
        <v>4.4000000000000003E-3</v>
      </c>
      <c r="ED16" s="229">
        <v>4.5699999999999998E-2</v>
      </c>
      <c r="EE16" s="228">
        <v>9.73</v>
      </c>
      <c r="EF16" s="229">
        <v>4.1000000000000003E-3</v>
      </c>
      <c r="EG16" s="230">
        <v>863709</v>
      </c>
      <c r="EH16" s="230">
        <v>362340</v>
      </c>
      <c r="EI16" s="229">
        <v>1.3836999999999999</v>
      </c>
      <c r="EJ16" s="229">
        <v>0.76590000000000003</v>
      </c>
      <c r="EK16" s="231">
        <v>1156.57</v>
      </c>
      <c r="EL16" s="228">
        <v>366.13</v>
      </c>
      <c r="EM16" s="228">
        <v>347.28</v>
      </c>
      <c r="EN16" s="228">
        <v>37.6</v>
      </c>
      <c r="EO16" s="231">
        <v>1869.98</v>
      </c>
      <c r="EP16" s="231">
        <v>1649.76</v>
      </c>
      <c r="EQ16" s="228">
        <v>220.22</v>
      </c>
      <c r="ER16" s="229">
        <v>0.13350000000000001</v>
      </c>
      <c r="ES16" s="231">
        <v>1535.69</v>
      </c>
      <c r="ET16" s="228">
        <v>825.33</v>
      </c>
      <c r="EU16" s="231">
        <v>3144.26</v>
      </c>
      <c r="EV16" s="231">
        <v>52357280</v>
      </c>
      <c r="EW16" s="231">
        <v>5505.28</v>
      </c>
      <c r="EX16" s="231">
        <v>5540.11</v>
      </c>
      <c r="EY16" s="228">
        <v>-34.83</v>
      </c>
      <c r="EZ16" s="229">
        <v>-6.3E-3</v>
      </c>
      <c r="FA16" s="229">
        <v>0.442</v>
      </c>
      <c r="FB16" s="227" t="s">
        <v>556</v>
      </c>
      <c r="FC16">
        <f t="shared" si="0"/>
        <v>144</v>
      </c>
    </row>
    <row r="17" spans="1:159" ht="17.25" thickBot="1" x14ac:dyDescent="0.3">
      <c r="A17" s="226">
        <v>45940</v>
      </c>
      <c r="B17" s="227" t="s">
        <v>184</v>
      </c>
      <c r="C17" s="227" t="s">
        <v>503</v>
      </c>
      <c r="D17" s="228">
        <v>425</v>
      </c>
      <c r="E17" s="228">
        <v>18</v>
      </c>
      <c r="F17" s="231">
        <v>1433</v>
      </c>
      <c r="G17" s="231">
        <v>1409.6</v>
      </c>
      <c r="H17" s="228">
        <v>23.4</v>
      </c>
      <c r="I17" s="229">
        <v>1.66E-2</v>
      </c>
      <c r="J17" s="231">
        <v>1427.1</v>
      </c>
      <c r="K17" s="231">
        <v>1406.1</v>
      </c>
      <c r="L17" s="228">
        <v>21</v>
      </c>
      <c r="M17" s="229">
        <v>1.49E-2</v>
      </c>
      <c r="N17" s="231">
        <v>1433</v>
      </c>
      <c r="O17" s="231">
        <v>1409.6</v>
      </c>
      <c r="P17" s="228">
        <v>23.4</v>
      </c>
      <c r="Q17" s="229">
        <v>1.66E-2</v>
      </c>
      <c r="R17" s="231">
        <v>1437.5</v>
      </c>
      <c r="S17" s="231">
        <v>1415.7</v>
      </c>
      <c r="T17" s="228">
        <v>21.8</v>
      </c>
      <c r="U17" s="229">
        <v>1.54E-2</v>
      </c>
      <c r="V17" s="231">
        <v>1445.7</v>
      </c>
      <c r="W17" s="231">
        <v>1416.7</v>
      </c>
      <c r="X17" s="228">
        <v>29</v>
      </c>
      <c r="Y17" s="229">
        <v>2.0500000000000001E-2</v>
      </c>
      <c r="Z17" s="228">
        <v>5.9</v>
      </c>
      <c r="AA17" s="228">
        <v>3.5</v>
      </c>
      <c r="AB17" s="228">
        <v>2.4</v>
      </c>
      <c r="AC17" s="229">
        <v>4.1000000000000003E-3</v>
      </c>
      <c r="AD17" s="228">
        <v>5.9</v>
      </c>
      <c r="AE17" s="228">
        <v>3.5</v>
      </c>
      <c r="AF17" s="228">
        <v>2.4</v>
      </c>
      <c r="AG17" s="229">
        <v>4.1000000000000003E-3</v>
      </c>
      <c r="AH17" s="228">
        <v>10.4</v>
      </c>
      <c r="AI17" s="228">
        <v>9.6</v>
      </c>
      <c r="AJ17" s="228">
        <v>0.8</v>
      </c>
      <c r="AK17" s="229">
        <v>7.3000000000000001E-3</v>
      </c>
      <c r="AL17" s="228">
        <v>18.600000000000001</v>
      </c>
      <c r="AM17" s="228">
        <v>10.6</v>
      </c>
      <c r="AN17" s="228">
        <v>8</v>
      </c>
      <c r="AO17" s="229">
        <v>1.2999999999999999E-2</v>
      </c>
      <c r="AP17" s="231">
        <v>1428.54</v>
      </c>
      <c r="AQ17" s="231">
        <v>1433.15</v>
      </c>
      <c r="AR17" s="228">
        <v>0</v>
      </c>
      <c r="AS17" s="228">
        <v>291</v>
      </c>
      <c r="AT17" s="228">
        <v>143</v>
      </c>
      <c r="AU17" s="228">
        <v>147</v>
      </c>
      <c r="AV17" s="229">
        <v>1.0276000000000001</v>
      </c>
      <c r="AW17" s="228">
        <v>272</v>
      </c>
      <c r="AX17" s="228">
        <v>132</v>
      </c>
      <c r="AY17" s="228">
        <v>139</v>
      </c>
      <c r="AZ17" s="229">
        <v>1.0548</v>
      </c>
      <c r="BA17" s="228">
        <v>17</v>
      </c>
      <c r="BB17" s="228">
        <v>11</v>
      </c>
      <c r="BC17" s="228">
        <v>7</v>
      </c>
      <c r="BD17" s="229">
        <v>0.61240000000000006</v>
      </c>
      <c r="BE17" s="228">
        <v>2</v>
      </c>
      <c r="BF17" s="228">
        <v>0</v>
      </c>
      <c r="BG17" s="228">
        <v>1</v>
      </c>
      <c r="BH17" s="229">
        <v>2.875</v>
      </c>
      <c r="BI17" s="228">
        <v>742</v>
      </c>
      <c r="BJ17" s="228">
        <v>327</v>
      </c>
      <c r="BK17" s="228">
        <v>416</v>
      </c>
      <c r="BL17" s="229">
        <v>1.2726999999999999</v>
      </c>
      <c r="BM17" s="228">
        <v>249</v>
      </c>
      <c r="BN17" s="228">
        <v>175</v>
      </c>
      <c r="BO17" s="228">
        <v>73</v>
      </c>
      <c r="BP17" s="229">
        <v>0.41739999999999999</v>
      </c>
      <c r="BQ17" s="230">
        <v>1282</v>
      </c>
      <c r="BR17" s="228">
        <v>645</v>
      </c>
      <c r="BS17" s="228">
        <v>636</v>
      </c>
      <c r="BT17" s="229">
        <v>0.98580000000000001</v>
      </c>
      <c r="BU17" s="230">
        <v>745561</v>
      </c>
      <c r="BV17" s="230">
        <v>596321</v>
      </c>
      <c r="BW17" s="230">
        <v>149240</v>
      </c>
      <c r="BX17" s="229">
        <v>0.25030000000000002</v>
      </c>
      <c r="BY17" s="230">
        <v>1248</v>
      </c>
      <c r="BZ17" s="230">
        <v>1218</v>
      </c>
      <c r="CA17" s="228">
        <v>30</v>
      </c>
      <c r="CB17" s="229">
        <v>2.46E-2</v>
      </c>
      <c r="CC17" s="230">
        <v>1209</v>
      </c>
      <c r="CD17" s="230">
        <v>1178</v>
      </c>
      <c r="CE17" s="228">
        <v>31</v>
      </c>
      <c r="CF17" s="229">
        <v>2.6100000000000002E-2</v>
      </c>
      <c r="CG17" s="228">
        <v>35</v>
      </c>
      <c r="CH17" s="228">
        <v>36</v>
      </c>
      <c r="CI17" s="228">
        <v>-1</v>
      </c>
      <c r="CJ17" s="229">
        <v>-1.5299999999999999E-2</v>
      </c>
      <c r="CK17" s="228">
        <v>4</v>
      </c>
      <c r="CL17" s="228">
        <v>4</v>
      </c>
      <c r="CM17" s="228">
        <v>0</v>
      </c>
      <c r="CN17" s="229">
        <v>-4.9200000000000001E-2</v>
      </c>
      <c r="CO17" s="228">
        <v>420</v>
      </c>
      <c r="CP17" s="228">
        <v>409</v>
      </c>
      <c r="CQ17" s="228">
        <v>11</v>
      </c>
      <c r="CR17" s="229">
        <v>2.8000000000000001E-2</v>
      </c>
      <c r="CS17" s="228">
        <v>197</v>
      </c>
      <c r="CT17" s="228">
        <v>197</v>
      </c>
      <c r="CU17" s="228">
        <v>0</v>
      </c>
      <c r="CV17" s="229">
        <v>2.5000000000000001E-3</v>
      </c>
      <c r="CW17" s="230">
        <v>1865</v>
      </c>
      <c r="CX17" s="230">
        <v>1823</v>
      </c>
      <c r="CY17" s="228">
        <v>42</v>
      </c>
      <c r="CZ17" s="229">
        <v>2.3E-2</v>
      </c>
      <c r="DA17" s="228">
        <v>26.46</v>
      </c>
      <c r="DB17" s="228">
        <v>27.1</v>
      </c>
      <c r="DC17" s="228">
        <v>-0.64</v>
      </c>
      <c r="DD17" s="228">
        <v>-0.64</v>
      </c>
      <c r="DE17" s="228">
        <v>33.71</v>
      </c>
      <c r="DF17" s="228">
        <v>33.72</v>
      </c>
      <c r="DG17" s="228">
        <v>-7.25</v>
      </c>
      <c r="DH17" s="228">
        <v>-0.01</v>
      </c>
      <c r="DI17" s="228">
        <v>26.51</v>
      </c>
      <c r="DJ17" s="228">
        <v>27.33</v>
      </c>
      <c r="DK17" s="228">
        <v>-0.82</v>
      </c>
      <c r="DL17" s="228">
        <v>-0.82</v>
      </c>
      <c r="DM17" s="228">
        <v>26.3</v>
      </c>
      <c r="DN17" s="228">
        <v>26.68</v>
      </c>
      <c r="DO17" s="228">
        <v>-0.38</v>
      </c>
      <c r="DP17" s="228">
        <v>-0.38</v>
      </c>
      <c r="DQ17" s="228">
        <v>0.47</v>
      </c>
      <c r="DR17" s="228">
        <v>0.48</v>
      </c>
      <c r="DS17" s="228">
        <v>-0.01</v>
      </c>
      <c r="DT17" s="229">
        <v>-2.0799999999999999E-2</v>
      </c>
      <c r="DU17" s="231">
        <v>1500</v>
      </c>
      <c r="DV17" s="231">
        <v>1400</v>
      </c>
      <c r="DW17" s="228">
        <v>0.33</v>
      </c>
      <c r="DX17" s="228">
        <v>0.54</v>
      </c>
      <c r="DY17" s="228">
        <v>-0.21</v>
      </c>
      <c r="DZ17" s="229">
        <v>-0.38890000000000002</v>
      </c>
      <c r="EA17" s="229">
        <v>3.1099999999999999E-2</v>
      </c>
      <c r="EB17" s="230">
        <v>276250</v>
      </c>
      <c r="EC17" s="229">
        <v>3.0999999999999999E-3</v>
      </c>
      <c r="ED17" s="229">
        <v>3.1099999999999999E-2</v>
      </c>
      <c r="EE17" s="228">
        <v>4.6100000000000003</v>
      </c>
      <c r="EF17" s="229">
        <v>3.2000000000000002E-3</v>
      </c>
      <c r="EG17" s="230">
        <v>423752</v>
      </c>
      <c r="EH17" s="230">
        <v>340120</v>
      </c>
      <c r="EI17" s="229">
        <v>0.24590000000000001</v>
      </c>
      <c r="EJ17" s="229">
        <v>0.56840000000000002</v>
      </c>
      <c r="EK17" s="228">
        <v>767.54</v>
      </c>
      <c r="EL17" s="228">
        <v>243.8</v>
      </c>
      <c r="EM17" s="228">
        <v>290.10000000000002</v>
      </c>
      <c r="EN17" s="228">
        <v>34.4</v>
      </c>
      <c r="EO17" s="231">
        <v>1301.43</v>
      </c>
      <c r="EP17" s="228">
        <v>650.65</v>
      </c>
      <c r="EQ17" s="228">
        <v>650.78</v>
      </c>
      <c r="ER17" s="229">
        <v>1.0002</v>
      </c>
      <c r="ES17" s="228">
        <v>435.69</v>
      </c>
      <c r="ET17" s="228">
        <v>190.53</v>
      </c>
      <c r="EU17" s="231">
        <v>1248.22</v>
      </c>
      <c r="EV17" s="231">
        <v>18495534</v>
      </c>
      <c r="EW17" s="231">
        <v>1874.44</v>
      </c>
      <c r="EX17" s="231">
        <v>1810.33</v>
      </c>
      <c r="EY17" s="228">
        <v>64.11</v>
      </c>
      <c r="EZ17" s="229">
        <v>3.5400000000000001E-2</v>
      </c>
      <c r="FA17" s="229">
        <v>0.70379999999999998</v>
      </c>
      <c r="FB17" s="227" t="s">
        <v>555</v>
      </c>
      <c r="FC17">
        <f t="shared" si="0"/>
        <v>39</v>
      </c>
    </row>
    <row r="18" spans="1:159" ht="17.25" thickBot="1" x14ac:dyDescent="0.3">
      <c r="A18" s="226">
        <v>45940</v>
      </c>
      <c r="B18" s="227" t="s">
        <v>172</v>
      </c>
      <c r="C18" s="227" t="s">
        <v>495</v>
      </c>
      <c r="D18" s="228">
        <v>1000</v>
      </c>
      <c r="E18" s="228">
        <v>18</v>
      </c>
      <c r="F18" s="228">
        <v>767.6</v>
      </c>
      <c r="G18" s="228">
        <v>762.65</v>
      </c>
      <c r="H18" s="228">
        <v>4.95</v>
      </c>
      <c r="I18" s="229">
        <v>6.4999999999999997E-3</v>
      </c>
      <c r="J18" s="228">
        <v>763.25</v>
      </c>
      <c r="K18" s="228">
        <v>760</v>
      </c>
      <c r="L18" s="228">
        <v>3.25</v>
      </c>
      <c r="M18" s="229">
        <v>4.3E-3</v>
      </c>
      <c r="N18" s="228">
        <v>767.6</v>
      </c>
      <c r="O18" s="228">
        <v>762.65</v>
      </c>
      <c r="P18" s="228">
        <v>4.95</v>
      </c>
      <c r="Q18" s="229">
        <v>6.4999999999999997E-3</v>
      </c>
      <c r="R18" s="228">
        <v>769.35</v>
      </c>
      <c r="S18" s="228">
        <v>764.65</v>
      </c>
      <c r="T18" s="228">
        <v>4.7</v>
      </c>
      <c r="U18" s="229">
        <v>6.1000000000000004E-3</v>
      </c>
      <c r="V18" s="228">
        <v>770.65</v>
      </c>
      <c r="W18" s="228">
        <v>764</v>
      </c>
      <c r="X18" s="228">
        <v>6.65</v>
      </c>
      <c r="Y18" s="229">
        <v>8.6999999999999994E-3</v>
      </c>
      <c r="Z18" s="228">
        <v>4.3499999999999996</v>
      </c>
      <c r="AA18" s="228">
        <v>2.65</v>
      </c>
      <c r="AB18" s="228">
        <v>1.7</v>
      </c>
      <c r="AC18" s="229">
        <v>5.7000000000000002E-3</v>
      </c>
      <c r="AD18" s="228">
        <v>4.3499999999999996</v>
      </c>
      <c r="AE18" s="228">
        <v>2.65</v>
      </c>
      <c r="AF18" s="228">
        <v>1.7</v>
      </c>
      <c r="AG18" s="229">
        <v>5.7000000000000002E-3</v>
      </c>
      <c r="AH18" s="228">
        <v>6.1</v>
      </c>
      <c r="AI18" s="228">
        <v>4.6500000000000004</v>
      </c>
      <c r="AJ18" s="228">
        <v>1.45</v>
      </c>
      <c r="AK18" s="229">
        <v>8.0000000000000002E-3</v>
      </c>
      <c r="AL18" s="228">
        <v>7.4</v>
      </c>
      <c r="AM18" s="228">
        <v>4</v>
      </c>
      <c r="AN18" s="228">
        <v>3.4</v>
      </c>
      <c r="AO18" s="229">
        <v>9.7000000000000003E-3</v>
      </c>
      <c r="AP18" s="228">
        <v>764.92</v>
      </c>
      <c r="AQ18" s="228">
        <v>765.38</v>
      </c>
      <c r="AR18" s="228">
        <v>0</v>
      </c>
      <c r="AS18" s="228">
        <v>259</v>
      </c>
      <c r="AT18" s="228">
        <v>229</v>
      </c>
      <c r="AU18" s="228">
        <v>30</v>
      </c>
      <c r="AV18" s="229">
        <v>0.13139999999999999</v>
      </c>
      <c r="AW18" s="228">
        <v>241</v>
      </c>
      <c r="AX18" s="228">
        <v>218</v>
      </c>
      <c r="AY18" s="228">
        <v>23</v>
      </c>
      <c r="AZ18" s="229">
        <v>0.10639999999999999</v>
      </c>
      <c r="BA18" s="228">
        <v>17</v>
      </c>
      <c r="BB18" s="228">
        <v>10</v>
      </c>
      <c r="BC18" s="228">
        <v>7</v>
      </c>
      <c r="BD18" s="229">
        <v>0.69920000000000004</v>
      </c>
      <c r="BE18" s="228">
        <v>1</v>
      </c>
      <c r="BF18" s="228">
        <v>1</v>
      </c>
      <c r="BG18" s="228">
        <v>0</v>
      </c>
      <c r="BH18" s="229">
        <v>-0.23080000000000001</v>
      </c>
      <c r="BI18" s="228">
        <v>893</v>
      </c>
      <c r="BJ18" s="228">
        <v>505</v>
      </c>
      <c r="BK18" s="228">
        <v>388</v>
      </c>
      <c r="BL18" s="229">
        <v>0.76919999999999999</v>
      </c>
      <c r="BM18" s="228">
        <v>270</v>
      </c>
      <c r="BN18" s="228">
        <v>224</v>
      </c>
      <c r="BO18" s="228">
        <v>46</v>
      </c>
      <c r="BP18" s="229">
        <v>0.2051</v>
      </c>
      <c r="BQ18" s="230">
        <v>1422</v>
      </c>
      <c r="BR18" s="228">
        <v>958</v>
      </c>
      <c r="BS18" s="228">
        <v>464</v>
      </c>
      <c r="BT18" s="229">
        <v>0.4849</v>
      </c>
      <c r="BU18" s="230">
        <v>985804</v>
      </c>
      <c r="BV18" s="230">
        <v>2021680</v>
      </c>
      <c r="BW18" s="230">
        <v>-1035876</v>
      </c>
      <c r="BX18" s="229">
        <v>-0.51239999999999997</v>
      </c>
      <c r="BY18" s="230">
        <v>1607</v>
      </c>
      <c r="BZ18" s="230">
        <v>1570</v>
      </c>
      <c r="CA18" s="228">
        <v>37</v>
      </c>
      <c r="CB18" s="229">
        <v>2.3699999999999999E-2</v>
      </c>
      <c r="CC18" s="230">
        <v>1576</v>
      </c>
      <c r="CD18" s="230">
        <v>1541</v>
      </c>
      <c r="CE18" s="228">
        <v>35</v>
      </c>
      <c r="CF18" s="229">
        <v>2.2700000000000001E-2</v>
      </c>
      <c r="CG18" s="228">
        <v>28</v>
      </c>
      <c r="CH18" s="228">
        <v>25</v>
      </c>
      <c r="CI18" s="228">
        <v>2</v>
      </c>
      <c r="CJ18" s="229">
        <v>9.7900000000000001E-2</v>
      </c>
      <c r="CK18" s="228">
        <v>4</v>
      </c>
      <c r="CL18" s="228">
        <v>4</v>
      </c>
      <c r="CM18" s="228">
        <v>0</v>
      </c>
      <c r="CN18" s="229">
        <v>-3.9199999999999999E-2</v>
      </c>
      <c r="CO18" s="228">
        <v>578</v>
      </c>
      <c r="CP18" s="228">
        <v>424</v>
      </c>
      <c r="CQ18" s="228">
        <v>154</v>
      </c>
      <c r="CR18" s="229">
        <v>0.3619</v>
      </c>
      <c r="CS18" s="228">
        <v>332</v>
      </c>
      <c r="CT18" s="228">
        <v>317</v>
      </c>
      <c r="CU18" s="228">
        <v>16</v>
      </c>
      <c r="CV18" s="229">
        <v>4.9200000000000001E-2</v>
      </c>
      <c r="CW18" s="230">
        <v>2517</v>
      </c>
      <c r="CX18" s="230">
        <v>2311</v>
      </c>
      <c r="CY18" s="228">
        <v>206</v>
      </c>
      <c r="CZ18" s="229">
        <v>8.9300000000000004E-2</v>
      </c>
      <c r="DA18" s="228">
        <v>33.46</v>
      </c>
      <c r="DB18" s="228">
        <v>30.69</v>
      </c>
      <c r="DC18" s="228">
        <v>2.77</v>
      </c>
      <c r="DD18" s="228">
        <v>2.77</v>
      </c>
      <c r="DE18" s="228">
        <v>36.020000000000003</v>
      </c>
      <c r="DF18" s="228">
        <v>36.1</v>
      </c>
      <c r="DG18" s="228">
        <v>-2.56</v>
      </c>
      <c r="DH18" s="228">
        <v>-0.08</v>
      </c>
      <c r="DI18" s="228">
        <v>33.61</v>
      </c>
      <c r="DJ18" s="228">
        <v>30.42</v>
      </c>
      <c r="DK18" s="228">
        <v>3.19</v>
      </c>
      <c r="DL18" s="228">
        <v>3.19</v>
      </c>
      <c r="DM18" s="228">
        <v>32.97</v>
      </c>
      <c r="DN18" s="228">
        <v>31.31</v>
      </c>
      <c r="DO18" s="228">
        <v>1.66</v>
      </c>
      <c r="DP18" s="228">
        <v>1.66</v>
      </c>
      <c r="DQ18" s="228">
        <v>0.56999999999999995</v>
      </c>
      <c r="DR18" s="228">
        <v>0.75</v>
      </c>
      <c r="DS18" s="228">
        <v>-0.18</v>
      </c>
      <c r="DT18" s="229">
        <v>-0.24</v>
      </c>
      <c r="DU18" s="228">
        <v>800</v>
      </c>
      <c r="DV18" s="228">
        <v>720</v>
      </c>
      <c r="DW18" s="228">
        <v>0.3</v>
      </c>
      <c r="DX18" s="228">
        <v>0.44</v>
      </c>
      <c r="DY18" s="228">
        <v>-0.14000000000000001</v>
      </c>
      <c r="DZ18" s="229">
        <v>-0.31819999999999998</v>
      </c>
      <c r="EA18" s="229">
        <v>1.95E-2</v>
      </c>
      <c r="EB18" s="230">
        <v>378000</v>
      </c>
      <c r="EC18" s="229">
        <v>2.3E-3</v>
      </c>
      <c r="ED18" s="229">
        <v>1.95E-2</v>
      </c>
      <c r="EE18" s="228">
        <v>0.46</v>
      </c>
      <c r="EF18" s="229">
        <v>5.9999999999999995E-4</v>
      </c>
      <c r="EG18" s="230">
        <v>507107</v>
      </c>
      <c r="EH18" s="230">
        <v>1254746</v>
      </c>
      <c r="EI18" s="229">
        <v>-0.5958</v>
      </c>
      <c r="EJ18" s="229">
        <v>0.51439999999999997</v>
      </c>
      <c r="EK18" s="228">
        <v>933.33</v>
      </c>
      <c r="EL18" s="228">
        <v>266.45999999999998</v>
      </c>
      <c r="EM18" s="228">
        <v>258.25</v>
      </c>
      <c r="EN18" s="228">
        <v>47.04</v>
      </c>
      <c r="EO18" s="231">
        <v>1458.04</v>
      </c>
      <c r="EP18" s="228">
        <v>975.18</v>
      </c>
      <c r="EQ18" s="228">
        <v>482.86</v>
      </c>
      <c r="ER18" s="229">
        <v>0.49519999999999997</v>
      </c>
      <c r="ES18" s="228">
        <v>589.01</v>
      </c>
      <c r="ET18" s="228">
        <v>310.94</v>
      </c>
      <c r="EU18" s="231">
        <v>1607.43</v>
      </c>
      <c r="EV18" s="231">
        <v>86234186</v>
      </c>
      <c r="EW18" s="231">
        <v>2507.39</v>
      </c>
      <c r="EX18" s="231">
        <v>2286.38</v>
      </c>
      <c r="EY18" s="228">
        <v>221.01</v>
      </c>
      <c r="EZ18" s="229">
        <v>9.6699999999999994E-2</v>
      </c>
      <c r="FA18" s="229">
        <v>0.38030000000000003</v>
      </c>
      <c r="FB18" s="227" t="s">
        <v>555</v>
      </c>
      <c r="FC18">
        <f t="shared" si="0"/>
        <v>31</v>
      </c>
    </row>
    <row r="19" spans="1:159" ht="17.25" thickBot="1" x14ac:dyDescent="0.3">
      <c r="A19" s="226">
        <v>45940</v>
      </c>
      <c r="B19" s="227" t="s">
        <v>170</v>
      </c>
      <c r="C19" s="227" t="s">
        <v>171</v>
      </c>
      <c r="D19" s="228">
        <v>550</v>
      </c>
      <c r="E19" s="228">
        <v>18</v>
      </c>
      <c r="F19" s="231">
        <v>1136.5</v>
      </c>
      <c r="G19" s="231">
        <v>1126.9000000000001</v>
      </c>
      <c r="H19" s="228">
        <v>9.6</v>
      </c>
      <c r="I19" s="229">
        <v>8.5000000000000006E-3</v>
      </c>
      <c r="J19" s="231">
        <v>1130.3</v>
      </c>
      <c r="K19" s="231">
        <v>1119.9000000000001</v>
      </c>
      <c r="L19" s="228">
        <v>10.4</v>
      </c>
      <c r="M19" s="229">
        <v>9.2999999999999992E-3</v>
      </c>
      <c r="N19" s="231">
        <v>1136.5</v>
      </c>
      <c r="O19" s="231">
        <v>1126.9000000000001</v>
      </c>
      <c r="P19" s="228">
        <v>9.6</v>
      </c>
      <c r="Q19" s="229">
        <v>8.5000000000000006E-3</v>
      </c>
      <c r="R19" s="231">
        <v>1141.4000000000001</v>
      </c>
      <c r="S19" s="231">
        <v>1131.2</v>
      </c>
      <c r="T19" s="228">
        <v>10.199999999999999</v>
      </c>
      <c r="U19" s="229">
        <v>8.9999999999999993E-3</v>
      </c>
      <c r="V19" s="231">
        <v>1148.4000000000001</v>
      </c>
      <c r="W19" s="231">
        <v>1142</v>
      </c>
      <c r="X19" s="228">
        <v>6.4</v>
      </c>
      <c r="Y19" s="229">
        <v>5.5999999999999999E-3</v>
      </c>
      <c r="Z19" s="228">
        <v>6.2</v>
      </c>
      <c r="AA19" s="228">
        <v>7</v>
      </c>
      <c r="AB19" s="228">
        <v>-0.8</v>
      </c>
      <c r="AC19" s="229">
        <v>5.4999999999999997E-3</v>
      </c>
      <c r="AD19" s="228">
        <v>6.2</v>
      </c>
      <c r="AE19" s="228">
        <v>7</v>
      </c>
      <c r="AF19" s="228">
        <v>-0.8</v>
      </c>
      <c r="AG19" s="229">
        <v>5.4999999999999997E-3</v>
      </c>
      <c r="AH19" s="228">
        <v>11.1</v>
      </c>
      <c r="AI19" s="228">
        <v>11.3</v>
      </c>
      <c r="AJ19" s="228">
        <v>-0.2</v>
      </c>
      <c r="AK19" s="229">
        <v>9.7999999999999997E-3</v>
      </c>
      <c r="AL19" s="228">
        <v>18.100000000000001</v>
      </c>
      <c r="AM19" s="228">
        <v>22.1</v>
      </c>
      <c r="AN19" s="228">
        <v>-4</v>
      </c>
      <c r="AO19" s="229">
        <v>1.6E-2</v>
      </c>
      <c r="AP19" s="231">
        <v>1137.9000000000001</v>
      </c>
      <c r="AQ19" s="231">
        <v>1141.45</v>
      </c>
      <c r="AR19" s="228">
        <v>0</v>
      </c>
      <c r="AS19" s="228">
        <v>363</v>
      </c>
      <c r="AT19" s="228">
        <v>776</v>
      </c>
      <c r="AU19" s="228">
        <v>-413</v>
      </c>
      <c r="AV19" s="229">
        <v>-0.53220000000000001</v>
      </c>
      <c r="AW19" s="228">
        <v>345</v>
      </c>
      <c r="AX19" s="228">
        <v>740</v>
      </c>
      <c r="AY19" s="228">
        <v>-396</v>
      </c>
      <c r="AZ19" s="229">
        <v>-0.53439999999999999</v>
      </c>
      <c r="BA19" s="228">
        <v>17</v>
      </c>
      <c r="BB19" s="228">
        <v>33</v>
      </c>
      <c r="BC19" s="228">
        <v>-16</v>
      </c>
      <c r="BD19" s="229">
        <v>-0.47560000000000002</v>
      </c>
      <c r="BE19" s="228">
        <v>1</v>
      </c>
      <c r="BF19" s="228">
        <v>3</v>
      </c>
      <c r="BG19" s="228">
        <v>-2</v>
      </c>
      <c r="BH19" s="229">
        <v>-0.61360000000000003</v>
      </c>
      <c r="BI19" s="230">
        <v>1109</v>
      </c>
      <c r="BJ19" s="230">
        <v>2768</v>
      </c>
      <c r="BK19" s="230">
        <v>-1659</v>
      </c>
      <c r="BL19" s="229">
        <v>-0.59950000000000003</v>
      </c>
      <c r="BM19" s="228">
        <v>503</v>
      </c>
      <c r="BN19" s="230">
        <v>1319</v>
      </c>
      <c r="BO19" s="228">
        <v>-816</v>
      </c>
      <c r="BP19" s="229">
        <v>-0.61860000000000004</v>
      </c>
      <c r="BQ19" s="230">
        <v>1975</v>
      </c>
      <c r="BR19" s="230">
        <v>4863</v>
      </c>
      <c r="BS19" s="230">
        <v>-2889</v>
      </c>
      <c r="BT19" s="229">
        <v>-0.59399999999999997</v>
      </c>
      <c r="BU19" s="230">
        <v>1495208</v>
      </c>
      <c r="BV19" s="230">
        <v>5051361</v>
      </c>
      <c r="BW19" s="230">
        <v>-3556153</v>
      </c>
      <c r="BX19" s="229">
        <v>-0.70399999999999996</v>
      </c>
      <c r="BY19" s="230">
        <v>2313</v>
      </c>
      <c r="BZ19" s="230">
        <v>2286</v>
      </c>
      <c r="CA19" s="228">
        <v>28</v>
      </c>
      <c r="CB19" s="229">
        <v>1.21E-2</v>
      </c>
      <c r="CC19" s="230">
        <v>2269</v>
      </c>
      <c r="CD19" s="230">
        <v>2243</v>
      </c>
      <c r="CE19" s="228">
        <v>25</v>
      </c>
      <c r="CF19" s="229">
        <v>1.1299999999999999E-2</v>
      </c>
      <c r="CG19" s="228">
        <v>42</v>
      </c>
      <c r="CH19" s="228">
        <v>40</v>
      </c>
      <c r="CI19" s="228">
        <v>2</v>
      </c>
      <c r="CJ19" s="229">
        <v>3.8600000000000002E-2</v>
      </c>
      <c r="CK19" s="228">
        <v>2</v>
      </c>
      <c r="CL19" s="228">
        <v>2</v>
      </c>
      <c r="CM19" s="228">
        <v>1</v>
      </c>
      <c r="CN19" s="229">
        <v>0.3448</v>
      </c>
      <c r="CO19" s="228">
        <v>428</v>
      </c>
      <c r="CP19" s="228">
        <v>383</v>
      </c>
      <c r="CQ19" s="228">
        <v>45</v>
      </c>
      <c r="CR19" s="229">
        <v>0.11650000000000001</v>
      </c>
      <c r="CS19" s="228">
        <v>325</v>
      </c>
      <c r="CT19" s="228">
        <v>312</v>
      </c>
      <c r="CU19" s="228">
        <v>13</v>
      </c>
      <c r="CV19" s="229">
        <v>4.1700000000000001E-2</v>
      </c>
      <c r="CW19" s="230">
        <v>3065</v>
      </c>
      <c r="CX19" s="230">
        <v>2980</v>
      </c>
      <c r="CY19" s="228">
        <v>85</v>
      </c>
      <c r="CZ19" s="229">
        <v>2.86E-2</v>
      </c>
      <c r="DA19" s="228">
        <v>28.02</v>
      </c>
      <c r="DB19" s="228">
        <v>29.15</v>
      </c>
      <c r="DC19" s="228">
        <v>-1.1299999999999999</v>
      </c>
      <c r="DD19" s="228">
        <v>-1.1299999999999999</v>
      </c>
      <c r="DE19" s="228">
        <v>35.06</v>
      </c>
      <c r="DF19" s="228">
        <v>35.130000000000003</v>
      </c>
      <c r="DG19" s="228">
        <v>-7.04</v>
      </c>
      <c r="DH19" s="228">
        <v>-7.0000000000000007E-2</v>
      </c>
      <c r="DI19" s="228">
        <v>27.56</v>
      </c>
      <c r="DJ19" s="228">
        <v>28.97</v>
      </c>
      <c r="DK19" s="228">
        <v>-1.41</v>
      </c>
      <c r="DL19" s="228">
        <v>-1.41</v>
      </c>
      <c r="DM19" s="228">
        <v>29.03</v>
      </c>
      <c r="DN19" s="228">
        <v>29.54</v>
      </c>
      <c r="DO19" s="228">
        <v>-0.51</v>
      </c>
      <c r="DP19" s="228">
        <v>-0.51</v>
      </c>
      <c r="DQ19" s="228">
        <v>0.76</v>
      </c>
      <c r="DR19" s="228">
        <v>0.81</v>
      </c>
      <c r="DS19" s="228">
        <v>-0.05</v>
      </c>
      <c r="DT19" s="229">
        <v>-6.1699999999999998E-2</v>
      </c>
      <c r="DU19" s="231">
        <v>1100</v>
      </c>
      <c r="DV19" s="231">
        <v>1100</v>
      </c>
      <c r="DW19" s="228">
        <v>0.45</v>
      </c>
      <c r="DX19" s="228">
        <v>0.48</v>
      </c>
      <c r="DY19" s="228">
        <v>-0.03</v>
      </c>
      <c r="DZ19" s="229">
        <v>-6.25E-2</v>
      </c>
      <c r="EA19" s="229">
        <v>1.9199999999999998E-2</v>
      </c>
      <c r="EB19" s="230">
        <v>371800</v>
      </c>
      <c r="EC19" s="229">
        <v>4.3E-3</v>
      </c>
      <c r="ED19" s="229">
        <v>1.9199999999999998E-2</v>
      </c>
      <c r="EE19" s="228">
        <v>3.55</v>
      </c>
      <c r="EF19" s="229">
        <v>3.0999999999999999E-3</v>
      </c>
      <c r="EG19" s="230">
        <v>624426</v>
      </c>
      <c r="EH19" s="230">
        <v>1940023</v>
      </c>
      <c r="EI19" s="229">
        <v>-0.67810000000000004</v>
      </c>
      <c r="EJ19" s="229">
        <v>0.41760000000000003</v>
      </c>
      <c r="EK19" s="231">
        <v>1152.3900000000001</v>
      </c>
      <c r="EL19" s="228">
        <v>491.79</v>
      </c>
      <c r="EM19" s="228">
        <v>363.68</v>
      </c>
      <c r="EN19" s="228">
        <v>45.9</v>
      </c>
      <c r="EO19" s="231">
        <v>2007.86</v>
      </c>
      <c r="EP19" s="231">
        <v>4877.62</v>
      </c>
      <c r="EQ19" s="231">
        <v>-2869.76</v>
      </c>
      <c r="ER19" s="229">
        <v>-0.58840000000000003</v>
      </c>
      <c r="ES19" s="228">
        <v>434.78</v>
      </c>
      <c r="ET19" s="228">
        <v>305.17</v>
      </c>
      <c r="EU19" s="231">
        <v>2313.42</v>
      </c>
      <c r="EV19" s="231">
        <v>41977935</v>
      </c>
      <c r="EW19" s="231">
        <v>3053.37</v>
      </c>
      <c r="EX19" s="231">
        <v>2946.99</v>
      </c>
      <c r="EY19" s="228">
        <v>106.38</v>
      </c>
      <c r="EZ19" s="229">
        <v>3.61E-2</v>
      </c>
      <c r="FA19" s="229">
        <v>0.64259999999999995</v>
      </c>
      <c r="FB19" s="227" t="s">
        <v>555</v>
      </c>
      <c r="FC19">
        <f t="shared" si="0"/>
        <v>44</v>
      </c>
    </row>
    <row r="20" spans="1:159" ht="17.25" thickBot="1" x14ac:dyDescent="0.3">
      <c r="A20" s="226">
        <v>45940</v>
      </c>
      <c r="B20" s="227" t="s">
        <v>172</v>
      </c>
      <c r="C20" s="227" t="s">
        <v>173</v>
      </c>
      <c r="D20" s="228">
        <v>625</v>
      </c>
      <c r="E20" s="228">
        <v>18</v>
      </c>
      <c r="F20" s="231">
        <v>1183.8</v>
      </c>
      <c r="G20" s="231">
        <v>1173.0999999999999</v>
      </c>
      <c r="H20" s="228">
        <v>10.7</v>
      </c>
      <c r="I20" s="229">
        <v>9.1000000000000004E-3</v>
      </c>
      <c r="J20" s="231">
        <v>1180.4000000000001</v>
      </c>
      <c r="K20" s="231">
        <v>1167.4000000000001</v>
      </c>
      <c r="L20" s="228">
        <v>13</v>
      </c>
      <c r="M20" s="229">
        <v>1.11E-2</v>
      </c>
      <c r="N20" s="231">
        <v>1183.8</v>
      </c>
      <c r="O20" s="231">
        <v>1173.0999999999999</v>
      </c>
      <c r="P20" s="228">
        <v>10.7</v>
      </c>
      <c r="Q20" s="229">
        <v>9.1000000000000004E-3</v>
      </c>
      <c r="R20" s="231">
        <v>1190.5999999999999</v>
      </c>
      <c r="S20" s="231">
        <v>1179.0999999999999</v>
      </c>
      <c r="T20" s="228">
        <v>11.5</v>
      </c>
      <c r="U20" s="229">
        <v>9.7999999999999997E-3</v>
      </c>
      <c r="V20" s="231">
        <v>1198.3</v>
      </c>
      <c r="W20" s="231">
        <v>1185.9000000000001</v>
      </c>
      <c r="X20" s="228">
        <v>12.4</v>
      </c>
      <c r="Y20" s="229">
        <v>1.0500000000000001E-2</v>
      </c>
      <c r="Z20" s="228">
        <v>3.4</v>
      </c>
      <c r="AA20" s="228">
        <v>5.7</v>
      </c>
      <c r="AB20" s="228">
        <v>-2.2999999999999998</v>
      </c>
      <c r="AC20" s="229">
        <v>2.8999999999999998E-3</v>
      </c>
      <c r="AD20" s="228">
        <v>3.4</v>
      </c>
      <c r="AE20" s="228">
        <v>5.7</v>
      </c>
      <c r="AF20" s="228">
        <v>-2.2999999999999998</v>
      </c>
      <c r="AG20" s="229">
        <v>2.8999999999999998E-3</v>
      </c>
      <c r="AH20" s="228">
        <v>10.199999999999999</v>
      </c>
      <c r="AI20" s="228">
        <v>11.7</v>
      </c>
      <c r="AJ20" s="228">
        <v>-1.5</v>
      </c>
      <c r="AK20" s="229">
        <v>8.6E-3</v>
      </c>
      <c r="AL20" s="228">
        <v>17.899999999999999</v>
      </c>
      <c r="AM20" s="228">
        <v>18.5</v>
      </c>
      <c r="AN20" s="228">
        <v>-0.6</v>
      </c>
      <c r="AO20" s="229">
        <v>1.52E-2</v>
      </c>
      <c r="AP20" s="231">
        <v>1188.2</v>
      </c>
      <c r="AQ20" s="231">
        <v>1193.92</v>
      </c>
      <c r="AR20" s="228">
        <v>0</v>
      </c>
      <c r="AS20" s="230">
        <v>1637</v>
      </c>
      <c r="AT20" s="230">
        <v>1527</v>
      </c>
      <c r="AU20" s="228">
        <v>110</v>
      </c>
      <c r="AV20" s="229">
        <v>7.2300000000000003E-2</v>
      </c>
      <c r="AW20" s="230">
        <v>1557</v>
      </c>
      <c r="AX20" s="230">
        <v>1468</v>
      </c>
      <c r="AY20" s="228">
        <v>89</v>
      </c>
      <c r="AZ20" s="229">
        <v>6.0499999999999998E-2</v>
      </c>
      <c r="BA20" s="228">
        <v>65</v>
      </c>
      <c r="BB20" s="228">
        <v>52</v>
      </c>
      <c r="BC20" s="228">
        <v>13</v>
      </c>
      <c r="BD20" s="229">
        <v>0.2397</v>
      </c>
      <c r="BE20" s="228">
        <v>15</v>
      </c>
      <c r="BF20" s="228">
        <v>6</v>
      </c>
      <c r="BG20" s="228">
        <v>9</v>
      </c>
      <c r="BH20" s="229">
        <v>1.4819</v>
      </c>
      <c r="BI20" s="230">
        <v>3390</v>
      </c>
      <c r="BJ20" s="230">
        <v>4038</v>
      </c>
      <c r="BK20" s="228">
        <v>-648</v>
      </c>
      <c r="BL20" s="229">
        <v>-0.16059999999999999</v>
      </c>
      <c r="BM20" s="230">
        <v>1984</v>
      </c>
      <c r="BN20" s="230">
        <v>2157</v>
      </c>
      <c r="BO20" s="228">
        <v>-173</v>
      </c>
      <c r="BP20" s="229">
        <v>-8.0399999999999999E-2</v>
      </c>
      <c r="BQ20" s="230">
        <v>7011</v>
      </c>
      <c r="BR20" s="230">
        <v>7722</v>
      </c>
      <c r="BS20" s="228">
        <v>-711</v>
      </c>
      <c r="BT20" s="229">
        <v>-9.2100000000000001E-2</v>
      </c>
      <c r="BU20" s="230">
        <v>7048509</v>
      </c>
      <c r="BV20" s="230">
        <v>7490388</v>
      </c>
      <c r="BW20" s="230">
        <v>-441879</v>
      </c>
      <c r="BX20" s="229">
        <v>-5.8999999999999997E-2</v>
      </c>
      <c r="BY20" s="230">
        <v>9763</v>
      </c>
      <c r="BZ20" s="230">
        <v>9882</v>
      </c>
      <c r="CA20" s="228">
        <v>-120</v>
      </c>
      <c r="CB20" s="229">
        <v>-1.21E-2</v>
      </c>
      <c r="CC20" s="230">
        <v>9587</v>
      </c>
      <c r="CD20" s="230">
        <v>9718</v>
      </c>
      <c r="CE20" s="228">
        <v>-131</v>
      </c>
      <c r="CF20" s="229">
        <v>-1.35E-2</v>
      </c>
      <c r="CG20" s="228">
        <v>155</v>
      </c>
      <c r="CH20" s="228">
        <v>152</v>
      </c>
      <c r="CI20" s="228">
        <v>3</v>
      </c>
      <c r="CJ20" s="229">
        <v>1.9400000000000001E-2</v>
      </c>
      <c r="CK20" s="228">
        <v>20</v>
      </c>
      <c r="CL20" s="228">
        <v>12</v>
      </c>
      <c r="CM20" s="228">
        <v>9</v>
      </c>
      <c r="CN20" s="229">
        <v>0.74050000000000005</v>
      </c>
      <c r="CO20" s="230">
        <v>3359</v>
      </c>
      <c r="CP20" s="230">
        <v>3524</v>
      </c>
      <c r="CQ20" s="228">
        <v>-165</v>
      </c>
      <c r="CR20" s="229">
        <v>-4.6899999999999997E-2</v>
      </c>
      <c r="CS20" s="230">
        <v>1524</v>
      </c>
      <c r="CT20" s="230">
        <v>1446</v>
      </c>
      <c r="CU20" s="228">
        <v>78</v>
      </c>
      <c r="CV20" s="229">
        <v>5.3600000000000002E-2</v>
      </c>
      <c r="CW20" s="230">
        <v>14645</v>
      </c>
      <c r="CX20" s="230">
        <v>14853</v>
      </c>
      <c r="CY20" s="228">
        <v>-208</v>
      </c>
      <c r="CZ20" s="229">
        <v>-1.4E-2</v>
      </c>
      <c r="DA20" s="228">
        <v>23.44</v>
      </c>
      <c r="DB20" s="228">
        <v>24.17</v>
      </c>
      <c r="DC20" s="228">
        <v>-0.73</v>
      </c>
      <c r="DD20" s="228">
        <v>-0.73</v>
      </c>
      <c r="DE20" s="228">
        <v>27.01</v>
      </c>
      <c r="DF20" s="228">
        <v>27.04</v>
      </c>
      <c r="DG20" s="228">
        <v>-3.57</v>
      </c>
      <c r="DH20" s="228">
        <v>-0.03</v>
      </c>
      <c r="DI20" s="228">
        <v>23.48</v>
      </c>
      <c r="DJ20" s="228">
        <v>24.18</v>
      </c>
      <c r="DK20" s="228">
        <v>-0.7</v>
      </c>
      <c r="DL20" s="228">
        <v>-0.7</v>
      </c>
      <c r="DM20" s="228">
        <v>23.37</v>
      </c>
      <c r="DN20" s="228">
        <v>24.17</v>
      </c>
      <c r="DO20" s="228">
        <v>-0.8</v>
      </c>
      <c r="DP20" s="228">
        <v>-0.8</v>
      </c>
      <c r="DQ20" s="228">
        <v>0.45</v>
      </c>
      <c r="DR20" s="228">
        <v>0.41</v>
      </c>
      <c r="DS20" s="228">
        <v>0.04</v>
      </c>
      <c r="DT20" s="229">
        <v>9.7600000000000006E-2</v>
      </c>
      <c r="DU20" s="231">
        <v>1250</v>
      </c>
      <c r="DV20" s="231">
        <v>1180</v>
      </c>
      <c r="DW20" s="228">
        <v>0.59</v>
      </c>
      <c r="DX20" s="228">
        <v>0.53</v>
      </c>
      <c r="DY20" s="228">
        <v>0.06</v>
      </c>
      <c r="DZ20" s="229">
        <v>0.1132</v>
      </c>
      <c r="EA20" s="229">
        <v>1.7999999999999999E-2</v>
      </c>
      <c r="EB20" s="230">
        <v>1386250</v>
      </c>
      <c r="EC20" s="229">
        <v>5.7000000000000002E-3</v>
      </c>
      <c r="ED20" s="229">
        <v>1.7999999999999999E-2</v>
      </c>
      <c r="EE20" s="228">
        <v>5.72</v>
      </c>
      <c r="EF20" s="229">
        <v>4.7999999999999996E-3</v>
      </c>
      <c r="EG20" s="230">
        <v>4892235</v>
      </c>
      <c r="EH20" s="230">
        <v>3993815</v>
      </c>
      <c r="EI20" s="229">
        <v>0.22500000000000001</v>
      </c>
      <c r="EJ20" s="229">
        <v>0.69410000000000005</v>
      </c>
      <c r="EK20" s="231">
        <v>3514.94</v>
      </c>
      <c r="EL20" s="231">
        <v>1962.27</v>
      </c>
      <c r="EM20" s="231">
        <v>1643.72</v>
      </c>
      <c r="EN20" s="228">
        <v>218.76</v>
      </c>
      <c r="EO20" s="231">
        <v>7120.93</v>
      </c>
      <c r="EP20" s="231">
        <v>7843.59</v>
      </c>
      <c r="EQ20" s="228">
        <v>-722.66</v>
      </c>
      <c r="ER20" s="229">
        <v>-9.2100000000000001E-2</v>
      </c>
      <c r="ES20" s="231">
        <v>3435.54</v>
      </c>
      <c r="ET20" s="231">
        <v>1470.63</v>
      </c>
      <c r="EU20" s="231">
        <v>9763.64</v>
      </c>
      <c r="EV20" s="231">
        <v>316147681</v>
      </c>
      <c r="EW20" s="231">
        <v>14669.81</v>
      </c>
      <c r="EX20" s="231">
        <v>14789.13</v>
      </c>
      <c r="EY20" s="228">
        <v>-119.32</v>
      </c>
      <c r="EZ20" s="229">
        <v>-8.0999999999999996E-3</v>
      </c>
      <c r="FA20" s="229">
        <v>0.39129999999999998</v>
      </c>
      <c r="FB20" s="227" t="s">
        <v>556</v>
      </c>
      <c r="FC20">
        <f t="shared" si="0"/>
        <v>176</v>
      </c>
    </row>
    <row r="21" spans="1:159" ht="17.25" thickBot="1" x14ac:dyDescent="0.3">
      <c r="A21" s="226">
        <v>45940</v>
      </c>
      <c r="B21" s="227" t="s">
        <v>162</v>
      </c>
      <c r="C21" s="227" t="s">
        <v>174</v>
      </c>
      <c r="D21" s="228">
        <v>75</v>
      </c>
      <c r="E21" s="228">
        <v>18</v>
      </c>
      <c r="F21" s="231">
        <v>8993.5</v>
      </c>
      <c r="G21" s="231">
        <v>8851</v>
      </c>
      <c r="H21" s="228">
        <v>142.5</v>
      </c>
      <c r="I21" s="229">
        <v>1.61E-2</v>
      </c>
      <c r="J21" s="231">
        <v>8946.5</v>
      </c>
      <c r="K21" s="231">
        <v>8810</v>
      </c>
      <c r="L21" s="228">
        <v>136.5</v>
      </c>
      <c r="M21" s="229">
        <v>1.55E-2</v>
      </c>
      <c r="N21" s="231">
        <v>8993.5</v>
      </c>
      <c r="O21" s="231">
        <v>8851</v>
      </c>
      <c r="P21" s="228">
        <v>142.5</v>
      </c>
      <c r="Q21" s="229">
        <v>1.61E-2</v>
      </c>
      <c r="R21" s="231">
        <v>9021.5</v>
      </c>
      <c r="S21" s="231">
        <v>8875.5</v>
      </c>
      <c r="T21" s="228">
        <v>146</v>
      </c>
      <c r="U21" s="229">
        <v>1.6400000000000001E-2</v>
      </c>
      <c r="V21" s="231">
        <v>9056</v>
      </c>
      <c r="W21" s="231">
        <v>8860</v>
      </c>
      <c r="X21" s="228">
        <v>196</v>
      </c>
      <c r="Y21" s="229">
        <v>2.2100000000000002E-2</v>
      </c>
      <c r="Z21" s="228">
        <v>47</v>
      </c>
      <c r="AA21" s="228">
        <v>41</v>
      </c>
      <c r="AB21" s="228">
        <v>6</v>
      </c>
      <c r="AC21" s="229">
        <v>5.3E-3</v>
      </c>
      <c r="AD21" s="228">
        <v>47</v>
      </c>
      <c r="AE21" s="228">
        <v>41</v>
      </c>
      <c r="AF21" s="228">
        <v>6</v>
      </c>
      <c r="AG21" s="229">
        <v>5.3E-3</v>
      </c>
      <c r="AH21" s="228">
        <v>75</v>
      </c>
      <c r="AI21" s="228">
        <v>65.5</v>
      </c>
      <c r="AJ21" s="228">
        <v>9.5</v>
      </c>
      <c r="AK21" s="229">
        <v>8.3999999999999995E-3</v>
      </c>
      <c r="AL21" s="228">
        <v>109.5</v>
      </c>
      <c r="AM21" s="228">
        <v>50</v>
      </c>
      <c r="AN21" s="228">
        <v>59.5</v>
      </c>
      <c r="AO21" s="229">
        <v>1.2200000000000001E-2</v>
      </c>
      <c r="AP21" s="231">
        <v>8953.86</v>
      </c>
      <c r="AQ21" s="231">
        <v>8969.58</v>
      </c>
      <c r="AR21" s="228">
        <v>0</v>
      </c>
      <c r="AS21" s="228">
        <v>547</v>
      </c>
      <c r="AT21" s="228">
        <v>300</v>
      </c>
      <c r="AU21" s="228">
        <v>246</v>
      </c>
      <c r="AV21" s="229">
        <v>0.82089999999999996</v>
      </c>
      <c r="AW21" s="228">
        <v>505</v>
      </c>
      <c r="AX21" s="228">
        <v>280</v>
      </c>
      <c r="AY21" s="228">
        <v>225</v>
      </c>
      <c r="AZ21" s="229">
        <v>0.80249999999999999</v>
      </c>
      <c r="BA21" s="228">
        <v>34</v>
      </c>
      <c r="BB21" s="228">
        <v>19</v>
      </c>
      <c r="BC21" s="228">
        <v>15</v>
      </c>
      <c r="BD21" s="229">
        <v>0.75349999999999995</v>
      </c>
      <c r="BE21" s="228">
        <v>7</v>
      </c>
      <c r="BF21" s="228">
        <v>0</v>
      </c>
      <c r="BG21" s="228">
        <v>7</v>
      </c>
      <c r="BH21" s="229">
        <v>20</v>
      </c>
      <c r="BI21" s="230">
        <v>3101</v>
      </c>
      <c r="BJ21" s="230">
        <v>1355</v>
      </c>
      <c r="BK21" s="230">
        <v>1747</v>
      </c>
      <c r="BL21" s="229">
        <v>1.2891999999999999</v>
      </c>
      <c r="BM21" s="230">
        <v>1135</v>
      </c>
      <c r="BN21" s="228">
        <v>662</v>
      </c>
      <c r="BO21" s="228">
        <v>473</v>
      </c>
      <c r="BP21" s="229">
        <v>0.71530000000000005</v>
      </c>
      <c r="BQ21" s="230">
        <v>4783</v>
      </c>
      <c r="BR21" s="230">
        <v>2316</v>
      </c>
      <c r="BS21" s="230">
        <v>2466</v>
      </c>
      <c r="BT21" s="229">
        <v>1.0646</v>
      </c>
      <c r="BU21" s="230">
        <v>239842</v>
      </c>
      <c r="BV21" s="230">
        <v>222350</v>
      </c>
      <c r="BW21" s="230">
        <v>17492</v>
      </c>
      <c r="BX21" s="229">
        <v>7.8700000000000006E-2</v>
      </c>
      <c r="BY21" s="230">
        <v>2804</v>
      </c>
      <c r="BZ21" s="230">
        <v>2798</v>
      </c>
      <c r="CA21" s="228">
        <v>6</v>
      </c>
      <c r="CB21" s="229">
        <v>2.0999999999999999E-3</v>
      </c>
      <c r="CC21" s="230">
        <v>2715</v>
      </c>
      <c r="CD21" s="230">
        <v>2717</v>
      </c>
      <c r="CE21" s="228">
        <v>-3</v>
      </c>
      <c r="CF21" s="229">
        <v>-1E-3</v>
      </c>
      <c r="CG21" s="228">
        <v>80</v>
      </c>
      <c r="CH21" s="228">
        <v>73</v>
      </c>
      <c r="CI21" s="228">
        <v>6</v>
      </c>
      <c r="CJ21" s="229">
        <v>8.5599999999999996E-2</v>
      </c>
      <c r="CK21" s="228">
        <v>10</v>
      </c>
      <c r="CL21" s="228">
        <v>8</v>
      </c>
      <c r="CM21" s="228">
        <v>2</v>
      </c>
      <c r="CN21" s="229">
        <v>0.307</v>
      </c>
      <c r="CO21" s="230">
        <v>1415</v>
      </c>
      <c r="CP21" s="230">
        <v>1459</v>
      </c>
      <c r="CQ21" s="228">
        <v>-44</v>
      </c>
      <c r="CR21" s="229">
        <v>-3.04E-2</v>
      </c>
      <c r="CS21" s="228">
        <v>950</v>
      </c>
      <c r="CT21" s="228">
        <v>850</v>
      </c>
      <c r="CU21" s="228">
        <v>100</v>
      </c>
      <c r="CV21" s="229">
        <v>0.11799999999999999</v>
      </c>
      <c r="CW21" s="230">
        <v>5169</v>
      </c>
      <c r="CX21" s="230">
        <v>5107</v>
      </c>
      <c r="CY21" s="228">
        <v>62</v>
      </c>
      <c r="CZ21" s="229">
        <v>1.21E-2</v>
      </c>
      <c r="DA21" s="228">
        <v>24.57</v>
      </c>
      <c r="DB21" s="228">
        <v>24.4</v>
      </c>
      <c r="DC21" s="228">
        <v>0.17</v>
      </c>
      <c r="DD21" s="228">
        <v>0.17</v>
      </c>
      <c r="DE21" s="228">
        <v>30.65</v>
      </c>
      <c r="DF21" s="228">
        <v>30.65</v>
      </c>
      <c r="DG21" s="228">
        <v>-6.08</v>
      </c>
      <c r="DH21" s="228">
        <v>0</v>
      </c>
      <c r="DI21" s="228">
        <v>24.5</v>
      </c>
      <c r="DJ21" s="228">
        <v>24.41</v>
      </c>
      <c r="DK21" s="228">
        <v>0.09</v>
      </c>
      <c r="DL21" s="228">
        <v>0.09</v>
      </c>
      <c r="DM21" s="228">
        <v>24.77</v>
      </c>
      <c r="DN21" s="228">
        <v>24.39</v>
      </c>
      <c r="DO21" s="228">
        <v>0.38</v>
      </c>
      <c r="DP21" s="228">
        <v>0.38</v>
      </c>
      <c r="DQ21" s="228">
        <v>0.67</v>
      </c>
      <c r="DR21" s="228">
        <v>0.57999999999999996</v>
      </c>
      <c r="DS21" s="228">
        <v>0.09</v>
      </c>
      <c r="DT21" s="229">
        <v>0.1552</v>
      </c>
      <c r="DU21" s="231">
        <v>9000</v>
      </c>
      <c r="DV21" s="231">
        <v>8500</v>
      </c>
      <c r="DW21" s="228">
        <v>0.37</v>
      </c>
      <c r="DX21" s="228">
        <v>0.49</v>
      </c>
      <c r="DY21" s="228">
        <v>-0.12</v>
      </c>
      <c r="DZ21" s="229">
        <v>-0.24490000000000001</v>
      </c>
      <c r="EA21" s="229">
        <v>3.1899999999999998E-2</v>
      </c>
      <c r="EB21" s="230">
        <v>90000</v>
      </c>
      <c r="EC21" s="229">
        <v>3.0999999999999999E-3</v>
      </c>
      <c r="ED21" s="229">
        <v>3.1899999999999998E-2</v>
      </c>
      <c r="EE21" s="228">
        <v>15.72</v>
      </c>
      <c r="EF21" s="229">
        <v>1.8E-3</v>
      </c>
      <c r="EG21" s="230">
        <v>109474</v>
      </c>
      <c r="EH21" s="230">
        <v>108669</v>
      </c>
      <c r="EI21" s="229">
        <v>7.4000000000000003E-3</v>
      </c>
      <c r="EJ21" s="229">
        <v>0.45639999999999997</v>
      </c>
      <c r="EK21" s="231">
        <v>3205.91</v>
      </c>
      <c r="EL21" s="231">
        <v>1104.25</v>
      </c>
      <c r="EM21" s="228">
        <v>544.27</v>
      </c>
      <c r="EN21" s="228">
        <v>72.17</v>
      </c>
      <c r="EO21" s="231">
        <v>4854.42</v>
      </c>
      <c r="EP21" s="231">
        <v>2319.4299999999998</v>
      </c>
      <c r="EQ21" s="231">
        <v>2534.9899999999998</v>
      </c>
      <c r="ER21" s="229">
        <v>1.0929</v>
      </c>
      <c r="ES21" s="231">
        <v>1459.1</v>
      </c>
      <c r="ET21" s="228">
        <v>896.6</v>
      </c>
      <c r="EU21" s="231">
        <v>2804.47</v>
      </c>
      <c r="EV21" s="231">
        <v>12547731</v>
      </c>
      <c r="EW21" s="231">
        <v>5160.17</v>
      </c>
      <c r="EX21" s="231">
        <v>5055.5600000000004</v>
      </c>
      <c r="EY21" s="228">
        <v>104.61</v>
      </c>
      <c r="EZ21" s="229">
        <v>2.07E-2</v>
      </c>
      <c r="FA21" s="229">
        <v>0.45810000000000001</v>
      </c>
      <c r="FB21" s="227" t="s">
        <v>555</v>
      </c>
      <c r="FC21">
        <f t="shared" si="0"/>
        <v>89</v>
      </c>
    </row>
    <row r="22" spans="1:159" ht="17.25" thickBot="1" x14ac:dyDescent="0.3">
      <c r="A22" s="226">
        <v>45940</v>
      </c>
      <c r="B22" s="227" t="s">
        <v>175</v>
      </c>
      <c r="C22" s="227" t="s">
        <v>176</v>
      </c>
      <c r="D22" s="228">
        <v>500</v>
      </c>
      <c r="E22" s="228">
        <v>18</v>
      </c>
      <c r="F22" s="231">
        <v>2015.7</v>
      </c>
      <c r="G22" s="231">
        <v>2025.1</v>
      </c>
      <c r="H22" s="228">
        <v>-9.4</v>
      </c>
      <c r="I22" s="229">
        <v>-4.5999999999999999E-3</v>
      </c>
      <c r="J22" s="231">
        <v>2004.3</v>
      </c>
      <c r="K22" s="231">
        <v>2014.6</v>
      </c>
      <c r="L22" s="228">
        <v>-10.3</v>
      </c>
      <c r="M22" s="229">
        <v>-5.1000000000000004E-3</v>
      </c>
      <c r="N22" s="231">
        <v>2015.7</v>
      </c>
      <c r="O22" s="231">
        <v>2025.1</v>
      </c>
      <c r="P22" s="228">
        <v>-9.4</v>
      </c>
      <c r="Q22" s="229">
        <v>-4.5999999999999999E-3</v>
      </c>
      <c r="R22" s="231">
        <v>2026.7</v>
      </c>
      <c r="S22" s="231">
        <v>2036.5</v>
      </c>
      <c r="T22" s="228">
        <v>-9.8000000000000007</v>
      </c>
      <c r="U22" s="229">
        <v>-4.7999999999999996E-3</v>
      </c>
      <c r="V22" s="231">
        <v>2041.5</v>
      </c>
      <c r="W22" s="231">
        <v>2045.3</v>
      </c>
      <c r="X22" s="228">
        <v>-3.8</v>
      </c>
      <c r="Y22" s="229">
        <v>-1.9E-3</v>
      </c>
      <c r="Z22" s="228">
        <v>11.4</v>
      </c>
      <c r="AA22" s="228">
        <v>10.5</v>
      </c>
      <c r="AB22" s="228">
        <v>0.9</v>
      </c>
      <c r="AC22" s="229">
        <v>5.7000000000000002E-3</v>
      </c>
      <c r="AD22" s="228">
        <v>11.4</v>
      </c>
      <c r="AE22" s="228">
        <v>10.5</v>
      </c>
      <c r="AF22" s="228">
        <v>0.9</v>
      </c>
      <c r="AG22" s="229">
        <v>5.7000000000000002E-3</v>
      </c>
      <c r="AH22" s="228">
        <v>22.4</v>
      </c>
      <c r="AI22" s="228">
        <v>21.9</v>
      </c>
      <c r="AJ22" s="228">
        <v>0.5</v>
      </c>
      <c r="AK22" s="229">
        <v>1.12E-2</v>
      </c>
      <c r="AL22" s="228">
        <v>37.200000000000003</v>
      </c>
      <c r="AM22" s="228">
        <v>30.7</v>
      </c>
      <c r="AN22" s="228">
        <v>6.5</v>
      </c>
      <c r="AO22" s="229">
        <v>1.8599999999999998E-2</v>
      </c>
      <c r="AP22" s="231">
        <v>2021.73</v>
      </c>
      <c r="AQ22" s="231">
        <v>2035.43</v>
      </c>
      <c r="AR22" s="228">
        <v>0</v>
      </c>
      <c r="AS22" s="228">
        <v>234</v>
      </c>
      <c r="AT22" s="228">
        <v>188</v>
      </c>
      <c r="AU22" s="228">
        <v>46</v>
      </c>
      <c r="AV22" s="229">
        <v>0.24690000000000001</v>
      </c>
      <c r="AW22" s="228">
        <v>210</v>
      </c>
      <c r="AX22" s="228">
        <v>174</v>
      </c>
      <c r="AY22" s="228">
        <v>36</v>
      </c>
      <c r="AZ22" s="229">
        <v>0.20569999999999999</v>
      </c>
      <c r="BA22" s="228">
        <v>20</v>
      </c>
      <c r="BB22" s="228">
        <v>13</v>
      </c>
      <c r="BC22" s="228">
        <v>7</v>
      </c>
      <c r="BD22" s="229">
        <v>0.55379999999999996</v>
      </c>
      <c r="BE22" s="228">
        <v>4</v>
      </c>
      <c r="BF22" s="228">
        <v>1</v>
      </c>
      <c r="BG22" s="228">
        <v>3</v>
      </c>
      <c r="BH22" s="229">
        <v>4.7142999999999997</v>
      </c>
      <c r="BI22" s="228">
        <v>709</v>
      </c>
      <c r="BJ22" s="228">
        <v>526</v>
      </c>
      <c r="BK22" s="228">
        <v>183</v>
      </c>
      <c r="BL22" s="229">
        <v>0.34689999999999999</v>
      </c>
      <c r="BM22" s="228">
        <v>360</v>
      </c>
      <c r="BN22" s="228">
        <v>348</v>
      </c>
      <c r="BO22" s="228">
        <v>12</v>
      </c>
      <c r="BP22" s="229">
        <v>3.3599999999999998E-2</v>
      </c>
      <c r="BQ22" s="230">
        <v>1303</v>
      </c>
      <c r="BR22" s="230">
        <v>1062</v>
      </c>
      <c r="BS22" s="228">
        <v>241</v>
      </c>
      <c r="BT22" s="229">
        <v>0.22650000000000001</v>
      </c>
      <c r="BU22" s="230">
        <v>790184</v>
      </c>
      <c r="BV22" s="230">
        <v>451880</v>
      </c>
      <c r="BW22" s="230">
        <v>338304</v>
      </c>
      <c r="BX22" s="229">
        <v>0.74870000000000003</v>
      </c>
      <c r="BY22" s="230">
        <v>3611</v>
      </c>
      <c r="BZ22" s="230">
        <v>3559</v>
      </c>
      <c r="CA22" s="228">
        <v>52</v>
      </c>
      <c r="CB22" s="229">
        <v>1.4500000000000001E-2</v>
      </c>
      <c r="CC22" s="230">
        <v>3559</v>
      </c>
      <c r="CD22" s="230">
        <v>3517</v>
      </c>
      <c r="CE22" s="228">
        <v>42</v>
      </c>
      <c r="CF22" s="229">
        <v>1.1900000000000001E-2</v>
      </c>
      <c r="CG22" s="228">
        <v>45</v>
      </c>
      <c r="CH22" s="228">
        <v>39</v>
      </c>
      <c r="CI22" s="228">
        <v>6</v>
      </c>
      <c r="CJ22" s="229">
        <v>0.1598</v>
      </c>
      <c r="CK22" s="228">
        <v>6</v>
      </c>
      <c r="CL22" s="228">
        <v>3</v>
      </c>
      <c r="CM22" s="228">
        <v>4</v>
      </c>
      <c r="CN22" s="229">
        <v>1.25</v>
      </c>
      <c r="CO22" s="230">
        <v>1025</v>
      </c>
      <c r="CP22" s="228">
        <v>962</v>
      </c>
      <c r="CQ22" s="228">
        <v>63</v>
      </c>
      <c r="CR22" s="229">
        <v>6.5500000000000003E-2</v>
      </c>
      <c r="CS22" s="228">
        <v>635</v>
      </c>
      <c r="CT22" s="228">
        <v>619</v>
      </c>
      <c r="CU22" s="228">
        <v>16</v>
      </c>
      <c r="CV22" s="229">
        <v>2.5899999999999999E-2</v>
      </c>
      <c r="CW22" s="230">
        <v>5271</v>
      </c>
      <c r="CX22" s="230">
        <v>5141</v>
      </c>
      <c r="CY22" s="228">
        <v>131</v>
      </c>
      <c r="CZ22" s="229">
        <v>2.5399999999999999E-2</v>
      </c>
      <c r="DA22" s="228">
        <v>22.62</v>
      </c>
      <c r="DB22" s="228">
        <v>22.56</v>
      </c>
      <c r="DC22" s="228">
        <v>0.06</v>
      </c>
      <c r="DD22" s="228">
        <v>0.06</v>
      </c>
      <c r="DE22" s="228">
        <v>28.11</v>
      </c>
      <c r="DF22" s="228">
        <v>28.17</v>
      </c>
      <c r="DG22" s="228">
        <v>-5.49</v>
      </c>
      <c r="DH22" s="228">
        <v>-0.06</v>
      </c>
      <c r="DI22" s="228">
        <v>22.53</v>
      </c>
      <c r="DJ22" s="228">
        <v>22.26</v>
      </c>
      <c r="DK22" s="228">
        <v>0.27</v>
      </c>
      <c r="DL22" s="228">
        <v>0.27</v>
      </c>
      <c r="DM22" s="228">
        <v>22.79</v>
      </c>
      <c r="DN22" s="228">
        <v>23.02</v>
      </c>
      <c r="DO22" s="228">
        <v>-0.23</v>
      </c>
      <c r="DP22" s="228">
        <v>-0.23</v>
      </c>
      <c r="DQ22" s="228">
        <v>0.62</v>
      </c>
      <c r="DR22" s="228">
        <v>0.64</v>
      </c>
      <c r="DS22" s="228">
        <v>-0.02</v>
      </c>
      <c r="DT22" s="229">
        <v>-3.1300000000000001E-2</v>
      </c>
      <c r="DU22" s="231">
        <v>2080</v>
      </c>
      <c r="DV22" s="231">
        <v>1800</v>
      </c>
      <c r="DW22" s="228">
        <v>0.51</v>
      </c>
      <c r="DX22" s="228">
        <v>0.66</v>
      </c>
      <c r="DY22" s="228">
        <v>-0.15</v>
      </c>
      <c r="DZ22" s="229">
        <v>-0.2273</v>
      </c>
      <c r="EA22" s="229">
        <v>1.43E-2</v>
      </c>
      <c r="EB22" s="230">
        <v>208000</v>
      </c>
      <c r="EC22" s="229">
        <v>5.4999999999999997E-3</v>
      </c>
      <c r="ED22" s="229">
        <v>1.43E-2</v>
      </c>
      <c r="EE22" s="228">
        <v>13.7</v>
      </c>
      <c r="EF22" s="229">
        <v>6.7999999999999996E-3</v>
      </c>
      <c r="EG22" s="230">
        <v>536869</v>
      </c>
      <c r="EH22" s="230">
        <v>229781</v>
      </c>
      <c r="EI22" s="229">
        <v>1.3364</v>
      </c>
      <c r="EJ22" s="229">
        <v>0.6794</v>
      </c>
      <c r="EK22" s="228">
        <v>735.84</v>
      </c>
      <c r="EL22" s="228">
        <v>359.09</v>
      </c>
      <c r="EM22" s="228">
        <v>235.01</v>
      </c>
      <c r="EN22" s="228">
        <v>26.07</v>
      </c>
      <c r="EO22" s="231">
        <v>1329.94</v>
      </c>
      <c r="EP22" s="231">
        <v>1083.47</v>
      </c>
      <c r="EQ22" s="228">
        <v>246.47</v>
      </c>
      <c r="ER22" s="229">
        <v>0.22750000000000001</v>
      </c>
      <c r="ES22" s="231">
        <v>1071.1300000000001</v>
      </c>
      <c r="ET22" s="228">
        <v>602.79</v>
      </c>
      <c r="EU22" s="231">
        <v>3610.95</v>
      </c>
      <c r="EV22" s="231">
        <v>65659712</v>
      </c>
      <c r="EW22" s="231">
        <v>5284.87</v>
      </c>
      <c r="EX22" s="231">
        <v>5169.7299999999996</v>
      </c>
      <c r="EY22" s="228">
        <v>115.14</v>
      </c>
      <c r="EZ22" s="229">
        <v>2.23E-2</v>
      </c>
      <c r="FA22" s="229">
        <v>0.39829999999999999</v>
      </c>
      <c r="FB22" s="227" t="s">
        <v>567</v>
      </c>
      <c r="FC22">
        <f t="shared" si="0"/>
        <v>52</v>
      </c>
    </row>
    <row r="23" spans="1:159" ht="17.25" thickBot="1" x14ac:dyDescent="0.3">
      <c r="A23" s="226">
        <v>45940</v>
      </c>
      <c r="B23" s="227" t="s">
        <v>175</v>
      </c>
      <c r="C23" s="227" t="s">
        <v>177</v>
      </c>
      <c r="D23" s="228">
        <v>750</v>
      </c>
      <c r="E23" s="228">
        <v>18</v>
      </c>
      <c r="F23" s="231">
        <v>1029.3</v>
      </c>
      <c r="G23" s="231">
        <v>1028.3499999999999</v>
      </c>
      <c r="H23" s="228">
        <v>0.95</v>
      </c>
      <c r="I23" s="229">
        <v>8.9999999999999998E-4</v>
      </c>
      <c r="J23" s="231">
        <v>1023.85</v>
      </c>
      <c r="K23" s="231">
        <v>1024.0999999999999</v>
      </c>
      <c r="L23" s="228">
        <v>-0.25</v>
      </c>
      <c r="M23" s="229">
        <v>-2.0000000000000001E-4</v>
      </c>
      <c r="N23" s="231">
        <v>1029.3</v>
      </c>
      <c r="O23" s="231">
        <v>1028.3499999999999</v>
      </c>
      <c r="P23" s="228">
        <v>0.95</v>
      </c>
      <c r="Q23" s="229">
        <v>8.9999999999999998E-4</v>
      </c>
      <c r="R23" s="231">
        <v>1034.8499999999999</v>
      </c>
      <c r="S23" s="231">
        <v>1033.5</v>
      </c>
      <c r="T23" s="228">
        <v>1.35</v>
      </c>
      <c r="U23" s="229">
        <v>1.2999999999999999E-3</v>
      </c>
      <c r="V23" s="231">
        <v>1040.75</v>
      </c>
      <c r="W23" s="231">
        <v>1039.3</v>
      </c>
      <c r="X23" s="228">
        <v>1.45</v>
      </c>
      <c r="Y23" s="229">
        <v>1.4E-3</v>
      </c>
      <c r="Z23" s="228">
        <v>5.45</v>
      </c>
      <c r="AA23" s="228">
        <v>4.25</v>
      </c>
      <c r="AB23" s="228">
        <v>1.2</v>
      </c>
      <c r="AC23" s="229">
        <v>5.3E-3</v>
      </c>
      <c r="AD23" s="228">
        <v>5.45</v>
      </c>
      <c r="AE23" s="228">
        <v>4.25</v>
      </c>
      <c r="AF23" s="228">
        <v>1.2</v>
      </c>
      <c r="AG23" s="229">
        <v>5.3E-3</v>
      </c>
      <c r="AH23" s="228">
        <v>11</v>
      </c>
      <c r="AI23" s="228">
        <v>9.4</v>
      </c>
      <c r="AJ23" s="228">
        <v>1.6</v>
      </c>
      <c r="AK23" s="229">
        <v>1.0699999999999999E-2</v>
      </c>
      <c r="AL23" s="228">
        <v>16.899999999999999</v>
      </c>
      <c r="AM23" s="228">
        <v>15.2</v>
      </c>
      <c r="AN23" s="228">
        <v>1.7</v>
      </c>
      <c r="AO23" s="229">
        <v>1.6500000000000001E-2</v>
      </c>
      <c r="AP23" s="231">
        <v>1028.95</v>
      </c>
      <c r="AQ23" s="231">
        <v>1034.33</v>
      </c>
      <c r="AR23" s="228">
        <v>0</v>
      </c>
      <c r="AS23" s="228">
        <v>430</v>
      </c>
      <c r="AT23" s="228">
        <v>407</v>
      </c>
      <c r="AU23" s="228">
        <v>24</v>
      </c>
      <c r="AV23" s="229">
        <v>5.8099999999999999E-2</v>
      </c>
      <c r="AW23" s="228">
        <v>378</v>
      </c>
      <c r="AX23" s="228">
        <v>364</v>
      </c>
      <c r="AY23" s="228">
        <v>14</v>
      </c>
      <c r="AZ23" s="229">
        <v>3.7900000000000003E-2</v>
      </c>
      <c r="BA23" s="228">
        <v>41</v>
      </c>
      <c r="BB23" s="228">
        <v>37</v>
      </c>
      <c r="BC23" s="228">
        <v>4</v>
      </c>
      <c r="BD23" s="229">
        <v>0.10970000000000001</v>
      </c>
      <c r="BE23" s="228">
        <v>12</v>
      </c>
      <c r="BF23" s="228">
        <v>6</v>
      </c>
      <c r="BG23" s="228">
        <v>6</v>
      </c>
      <c r="BH23" s="229">
        <v>0.98680000000000001</v>
      </c>
      <c r="BI23" s="230">
        <v>1655</v>
      </c>
      <c r="BJ23" s="230">
        <v>1133</v>
      </c>
      <c r="BK23" s="228">
        <v>522</v>
      </c>
      <c r="BL23" s="229">
        <v>0.4602</v>
      </c>
      <c r="BM23" s="228">
        <v>781</v>
      </c>
      <c r="BN23" s="228">
        <v>858</v>
      </c>
      <c r="BO23" s="228">
        <v>-76</v>
      </c>
      <c r="BP23" s="229">
        <v>-8.9099999999999999E-2</v>
      </c>
      <c r="BQ23" s="230">
        <v>2866</v>
      </c>
      <c r="BR23" s="230">
        <v>2398</v>
      </c>
      <c r="BS23" s="228">
        <v>469</v>
      </c>
      <c r="BT23" s="229">
        <v>0.19550000000000001</v>
      </c>
      <c r="BU23" s="230">
        <v>3901889</v>
      </c>
      <c r="BV23" s="230">
        <v>5050158</v>
      </c>
      <c r="BW23" s="230">
        <v>-1148269</v>
      </c>
      <c r="BX23" s="229">
        <v>-0.22739999999999999</v>
      </c>
      <c r="BY23" s="230">
        <v>9402</v>
      </c>
      <c r="BZ23" s="230">
        <v>9387</v>
      </c>
      <c r="CA23" s="228">
        <v>15</v>
      </c>
      <c r="CB23" s="229">
        <v>1.6000000000000001E-3</v>
      </c>
      <c r="CC23" s="230">
        <v>9256</v>
      </c>
      <c r="CD23" s="230">
        <v>9258</v>
      </c>
      <c r="CE23" s="228">
        <v>-2</v>
      </c>
      <c r="CF23" s="229">
        <v>-2.0000000000000001E-4</v>
      </c>
      <c r="CG23" s="228">
        <v>128</v>
      </c>
      <c r="CH23" s="228">
        <v>119</v>
      </c>
      <c r="CI23" s="228">
        <v>9</v>
      </c>
      <c r="CJ23" s="229">
        <v>7.9299999999999995E-2</v>
      </c>
      <c r="CK23" s="228">
        <v>18</v>
      </c>
      <c r="CL23" s="228">
        <v>11</v>
      </c>
      <c r="CM23" s="228">
        <v>7</v>
      </c>
      <c r="CN23" s="229">
        <v>0.6835</v>
      </c>
      <c r="CO23" s="230">
        <v>1912</v>
      </c>
      <c r="CP23" s="230">
        <v>1780</v>
      </c>
      <c r="CQ23" s="228">
        <v>133</v>
      </c>
      <c r="CR23" s="229">
        <v>7.46E-2</v>
      </c>
      <c r="CS23" s="230">
        <v>1370</v>
      </c>
      <c r="CT23" s="230">
        <v>1331</v>
      </c>
      <c r="CU23" s="228">
        <v>39</v>
      </c>
      <c r="CV23" s="229">
        <v>2.8899999999999999E-2</v>
      </c>
      <c r="CW23" s="230">
        <v>12684</v>
      </c>
      <c r="CX23" s="230">
        <v>12498</v>
      </c>
      <c r="CY23" s="228">
        <v>186</v>
      </c>
      <c r="CZ23" s="229">
        <v>1.49E-2</v>
      </c>
      <c r="DA23" s="228">
        <v>25.98</v>
      </c>
      <c r="DB23" s="228">
        <v>25.27</v>
      </c>
      <c r="DC23" s="228">
        <v>0.71</v>
      </c>
      <c r="DD23" s="228">
        <v>0.71</v>
      </c>
      <c r="DE23" s="228">
        <v>31.11</v>
      </c>
      <c r="DF23" s="228">
        <v>31.19</v>
      </c>
      <c r="DG23" s="228">
        <v>-5.13</v>
      </c>
      <c r="DH23" s="228">
        <v>-0.08</v>
      </c>
      <c r="DI23" s="228">
        <v>25.71</v>
      </c>
      <c r="DJ23" s="228">
        <v>24.93</v>
      </c>
      <c r="DK23" s="228">
        <v>0.78</v>
      </c>
      <c r="DL23" s="228">
        <v>0.78</v>
      </c>
      <c r="DM23" s="228">
        <v>26.55</v>
      </c>
      <c r="DN23" s="228">
        <v>25.73</v>
      </c>
      <c r="DO23" s="228">
        <v>0.82</v>
      </c>
      <c r="DP23" s="228">
        <v>0.82</v>
      </c>
      <c r="DQ23" s="228">
        <v>0.72</v>
      </c>
      <c r="DR23" s="228">
        <v>0.75</v>
      </c>
      <c r="DS23" s="228">
        <v>-0.03</v>
      </c>
      <c r="DT23" s="229">
        <v>-0.04</v>
      </c>
      <c r="DU23" s="231">
        <v>1020</v>
      </c>
      <c r="DV23" s="231">
        <v>1020</v>
      </c>
      <c r="DW23" s="228">
        <v>0.47</v>
      </c>
      <c r="DX23" s="228">
        <v>0.76</v>
      </c>
      <c r="DY23" s="228">
        <v>-0.28999999999999998</v>
      </c>
      <c r="DZ23" s="229">
        <v>-0.38159999999999999</v>
      </c>
      <c r="EA23" s="229">
        <v>1.5599999999999999E-2</v>
      </c>
      <c r="EB23" s="230">
        <v>1257750</v>
      </c>
      <c r="EC23" s="229">
        <v>5.4000000000000003E-3</v>
      </c>
      <c r="ED23" s="229">
        <v>1.5599999999999999E-2</v>
      </c>
      <c r="EE23" s="228">
        <v>5.38</v>
      </c>
      <c r="EF23" s="229">
        <v>5.1999999999999998E-3</v>
      </c>
      <c r="EG23" s="230">
        <v>2225878</v>
      </c>
      <c r="EH23" s="230">
        <v>2322329</v>
      </c>
      <c r="EI23" s="229">
        <v>-4.1500000000000002E-2</v>
      </c>
      <c r="EJ23" s="229">
        <v>0.57050000000000001</v>
      </c>
      <c r="EK23" s="231">
        <v>1709.24</v>
      </c>
      <c r="EL23" s="228">
        <v>769.85</v>
      </c>
      <c r="EM23" s="228">
        <v>430.58</v>
      </c>
      <c r="EN23" s="228">
        <v>112.15</v>
      </c>
      <c r="EO23" s="231">
        <v>2909.67</v>
      </c>
      <c r="EP23" s="231">
        <v>2418.7399999999998</v>
      </c>
      <c r="EQ23" s="228">
        <v>490.93</v>
      </c>
      <c r="ER23" s="229">
        <v>0.20300000000000001</v>
      </c>
      <c r="ES23" s="231">
        <v>1948.14</v>
      </c>
      <c r="ET23" s="231">
        <v>1292.6500000000001</v>
      </c>
      <c r="EU23" s="231">
        <v>9402.7800000000007</v>
      </c>
      <c r="EV23" s="231">
        <v>281116345</v>
      </c>
      <c r="EW23" s="231">
        <v>12643.57</v>
      </c>
      <c r="EX23" s="231">
        <v>12448.55</v>
      </c>
      <c r="EY23" s="228">
        <v>195.02</v>
      </c>
      <c r="EZ23" s="229">
        <v>1.5699999999999999E-2</v>
      </c>
      <c r="FA23" s="229">
        <v>0.43840000000000001</v>
      </c>
      <c r="FB23" s="227" t="s">
        <v>555</v>
      </c>
      <c r="FC23">
        <f t="shared" si="0"/>
        <v>146</v>
      </c>
    </row>
    <row r="24" spans="1:159" ht="17.25" thickBot="1" x14ac:dyDescent="0.3">
      <c r="A24" s="226">
        <v>45940</v>
      </c>
      <c r="B24" s="227" t="s">
        <v>172</v>
      </c>
      <c r="C24" s="227" t="s">
        <v>179</v>
      </c>
      <c r="D24" s="228">
        <v>3600</v>
      </c>
      <c r="E24" s="228">
        <v>18</v>
      </c>
      <c r="F24" s="228">
        <v>170.24</v>
      </c>
      <c r="G24" s="228">
        <v>164.19</v>
      </c>
      <c r="H24" s="228">
        <v>6.05</v>
      </c>
      <c r="I24" s="229">
        <v>3.6799999999999999E-2</v>
      </c>
      <c r="J24" s="228">
        <v>169.32</v>
      </c>
      <c r="K24" s="228">
        <v>163.30000000000001</v>
      </c>
      <c r="L24" s="228">
        <v>6.02</v>
      </c>
      <c r="M24" s="229">
        <v>3.6900000000000002E-2</v>
      </c>
      <c r="N24" s="228">
        <v>170.24</v>
      </c>
      <c r="O24" s="228">
        <v>164.19</v>
      </c>
      <c r="P24" s="228">
        <v>6.05</v>
      </c>
      <c r="Q24" s="229">
        <v>3.6799999999999999E-2</v>
      </c>
      <c r="R24" s="228">
        <v>171.02</v>
      </c>
      <c r="S24" s="228">
        <v>165.11</v>
      </c>
      <c r="T24" s="228">
        <v>5.91</v>
      </c>
      <c r="U24" s="229">
        <v>3.5799999999999998E-2</v>
      </c>
      <c r="V24" s="228">
        <v>171.89</v>
      </c>
      <c r="W24" s="228">
        <v>166.01</v>
      </c>
      <c r="X24" s="228">
        <v>5.88</v>
      </c>
      <c r="Y24" s="229">
        <v>3.5400000000000001E-2</v>
      </c>
      <c r="Z24" s="228">
        <v>0.92</v>
      </c>
      <c r="AA24" s="228">
        <v>0.89</v>
      </c>
      <c r="AB24" s="228">
        <v>0.03</v>
      </c>
      <c r="AC24" s="229">
        <v>5.4000000000000003E-3</v>
      </c>
      <c r="AD24" s="228">
        <v>0.92</v>
      </c>
      <c r="AE24" s="228">
        <v>0.89</v>
      </c>
      <c r="AF24" s="228">
        <v>0.03</v>
      </c>
      <c r="AG24" s="229">
        <v>5.4000000000000003E-3</v>
      </c>
      <c r="AH24" s="228">
        <v>1.7</v>
      </c>
      <c r="AI24" s="228">
        <v>1.81</v>
      </c>
      <c r="AJ24" s="228">
        <v>-0.11</v>
      </c>
      <c r="AK24" s="229">
        <v>0.01</v>
      </c>
      <c r="AL24" s="228">
        <v>2.57</v>
      </c>
      <c r="AM24" s="228">
        <v>2.71</v>
      </c>
      <c r="AN24" s="228">
        <v>-0.14000000000000001</v>
      </c>
      <c r="AO24" s="229">
        <v>1.52E-2</v>
      </c>
      <c r="AP24" s="228">
        <v>168.27</v>
      </c>
      <c r="AQ24" s="228">
        <v>168.73</v>
      </c>
      <c r="AR24" s="228">
        <v>0</v>
      </c>
      <c r="AS24" s="228">
        <v>485</v>
      </c>
      <c r="AT24" s="228">
        <v>188</v>
      </c>
      <c r="AU24" s="228">
        <v>296</v>
      </c>
      <c r="AV24" s="229">
        <v>1.5751999999999999</v>
      </c>
      <c r="AW24" s="228">
        <v>435</v>
      </c>
      <c r="AX24" s="228">
        <v>168</v>
      </c>
      <c r="AY24" s="228">
        <v>267</v>
      </c>
      <c r="AZ24" s="229">
        <v>1.5933999999999999</v>
      </c>
      <c r="BA24" s="228">
        <v>44</v>
      </c>
      <c r="BB24" s="228">
        <v>19</v>
      </c>
      <c r="BC24" s="228">
        <v>25</v>
      </c>
      <c r="BD24" s="229">
        <v>1.3774999999999999</v>
      </c>
      <c r="BE24" s="228">
        <v>6</v>
      </c>
      <c r="BF24" s="228">
        <v>2</v>
      </c>
      <c r="BG24" s="228">
        <v>4</v>
      </c>
      <c r="BH24" s="229">
        <v>1.9032</v>
      </c>
      <c r="BI24" s="230">
        <v>1017</v>
      </c>
      <c r="BJ24" s="228">
        <v>310</v>
      </c>
      <c r="BK24" s="228">
        <v>707</v>
      </c>
      <c r="BL24" s="229">
        <v>2.2841</v>
      </c>
      <c r="BM24" s="228">
        <v>494</v>
      </c>
      <c r="BN24" s="228">
        <v>125</v>
      </c>
      <c r="BO24" s="228">
        <v>370</v>
      </c>
      <c r="BP24" s="229">
        <v>2.9666000000000001</v>
      </c>
      <c r="BQ24" s="230">
        <v>1996</v>
      </c>
      <c r="BR24" s="228">
        <v>622</v>
      </c>
      <c r="BS24" s="230">
        <v>1373</v>
      </c>
      <c r="BT24" s="229">
        <v>2.2065000000000001</v>
      </c>
      <c r="BU24" s="230">
        <v>10977244</v>
      </c>
      <c r="BV24" s="230">
        <v>4867413</v>
      </c>
      <c r="BW24" s="230">
        <v>6109831</v>
      </c>
      <c r="BX24" s="229">
        <v>1.2553000000000001</v>
      </c>
      <c r="BY24" s="230">
        <v>1646</v>
      </c>
      <c r="BZ24" s="230">
        <v>1660</v>
      </c>
      <c r="CA24" s="228">
        <v>-13</v>
      </c>
      <c r="CB24" s="229">
        <v>-8.0999999999999996E-3</v>
      </c>
      <c r="CC24" s="230">
        <v>1542</v>
      </c>
      <c r="CD24" s="230">
        <v>1553</v>
      </c>
      <c r="CE24" s="228">
        <v>-11</v>
      </c>
      <c r="CF24" s="229">
        <v>-7.1999999999999998E-3</v>
      </c>
      <c r="CG24" s="228">
        <v>95</v>
      </c>
      <c r="CH24" s="228">
        <v>98</v>
      </c>
      <c r="CI24" s="228">
        <v>-3</v>
      </c>
      <c r="CJ24" s="229">
        <v>-2.9899999999999999E-2</v>
      </c>
      <c r="CK24" s="228">
        <v>9</v>
      </c>
      <c r="CL24" s="228">
        <v>8</v>
      </c>
      <c r="CM24" s="228">
        <v>1</v>
      </c>
      <c r="CN24" s="229">
        <v>8.9599999999999999E-2</v>
      </c>
      <c r="CO24" s="228">
        <v>540</v>
      </c>
      <c r="CP24" s="228">
        <v>530</v>
      </c>
      <c r="CQ24" s="228">
        <v>10</v>
      </c>
      <c r="CR24" s="229">
        <v>1.9400000000000001E-2</v>
      </c>
      <c r="CS24" s="228">
        <v>458</v>
      </c>
      <c r="CT24" s="228">
        <v>433</v>
      </c>
      <c r="CU24" s="228">
        <v>25</v>
      </c>
      <c r="CV24" s="229">
        <v>5.74E-2</v>
      </c>
      <c r="CW24" s="230">
        <v>2645</v>
      </c>
      <c r="CX24" s="230">
        <v>2623</v>
      </c>
      <c r="CY24" s="228">
        <v>22</v>
      </c>
      <c r="CZ24" s="229">
        <v>8.3000000000000001E-3</v>
      </c>
      <c r="DA24" s="228">
        <v>35.71</v>
      </c>
      <c r="DB24" s="228">
        <v>35.590000000000003</v>
      </c>
      <c r="DC24" s="228">
        <v>0.12</v>
      </c>
      <c r="DD24" s="228">
        <v>0.12</v>
      </c>
      <c r="DE24" s="228">
        <v>42.14</v>
      </c>
      <c r="DF24" s="228">
        <v>41.96</v>
      </c>
      <c r="DG24" s="228">
        <v>-6.43</v>
      </c>
      <c r="DH24" s="228">
        <v>0.18</v>
      </c>
      <c r="DI24" s="228">
        <v>35.18</v>
      </c>
      <c r="DJ24" s="228">
        <v>35.51</v>
      </c>
      <c r="DK24" s="228">
        <v>-0.33</v>
      </c>
      <c r="DL24" s="228">
        <v>-0.33</v>
      </c>
      <c r="DM24" s="228">
        <v>36.79</v>
      </c>
      <c r="DN24" s="228">
        <v>35.79</v>
      </c>
      <c r="DO24" s="228">
        <v>1</v>
      </c>
      <c r="DP24" s="228">
        <v>1</v>
      </c>
      <c r="DQ24" s="228">
        <v>0.85</v>
      </c>
      <c r="DR24" s="228">
        <v>0.82</v>
      </c>
      <c r="DS24" s="228">
        <v>0.03</v>
      </c>
      <c r="DT24" s="229">
        <v>3.6600000000000001E-2</v>
      </c>
      <c r="DU24" s="228">
        <v>170</v>
      </c>
      <c r="DV24" s="228">
        <v>150</v>
      </c>
      <c r="DW24" s="228">
        <v>0.49</v>
      </c>
      <c r="DX24" s="228">
        <v>0.4</v>
      </c>
      <c r="DY24" s="228">
        <v>0.09</v>
      </c>
      <c r="DZ24" s="229">
        <v>0.22500000000000001</v>
      </c>
      <c r="EA24" s="229">
        <v>6.3299999999999995E-2</v>
      </c>
      <c r="EB24" s="230">
        <v>6253200</v>
      </c>
      <c r="EC24" s="229">
        <v>4.5999999999999999E-3</v>
      </c>
      <c r="ED24" s="229">
        <v>6.3299999999999995E-2</v>
      </c>
      <c r="EE24" s="228">
        <v>0.46</v>
      </c>
      <c r="EF24" s="229">
        <v>2.7000000000000001E-3</v>
      </c>
      <c r="EG24" s="230">
        <v>5295362</v>
      </c>
      <c r="EH24" s="230">
        <v>2213822</v>
      </c>
      <c r="EI24" s="229">
        <v>1.3919999999999999</v>
      </c>
      <c r="EJ24" s="229">
        <v>0.4824</v>
      </c>
      <c r="EK24" s="231">
        <v>1050.6300000000001</v>
      </c>
      <c r="EL24" s="228">
        <v>477.05</v>
      </c>
      <c r="EM24" s="228">
        <v>479.08</v>
      </c>
      <c r="EN24" s="228">
        <v>42.58</v>
      </c>
      <c r="EO24" s="231">
        <v>2006.76</v>
      </c>
      <c r="EP24" s="228">
        <v>610.88</v>
      </c>
      <c r="EQ24" s="231">
        <v>1395.88</v>
      </c>
      <c r="ER24" s="229">
        <v>2.2850000000000001</v>
      </c>
      <c r="ES24" s="228">
        <v>546.07000000000005</v>
      </c>
      <c r="ET24" s="228">
        <v>428.3</v>
      </c>
      <c r="EU24" s="231">
        <v>1646.92</v>
      </c>
      <c r="EV24" s="231">
        <v>142752962</v>
      </c>
      <c r="EW24" s="231">
        <v>2621.29</v>
      </c>
      <c r="EX24" s="231">
        <v>2536.46</v>
      </c>
      <c r="EY24" s="228">
        <v>84.83</v>
      </c>
      <c r="EZ24" s="229">
        <v>3.3399999999999999E-2</v>
      </c>
      <c r="FA24" s="229">
        <v>1.0883</v>
      </c>
      <c r="FB24" s="227" t="s">
        <v>556</v>
      </c>
      <c r="FC24">
        <f t="shared" si="0"/>
        <v>104</v>
      </c>
    </row>
    <row r="25" spans="1:159" ht="17.25" thickBot="1" x14ac:dyDescent="0.3">
      <c r="A25" s="226">
        <v>45940</v>
      </c>
      <c r="B25" s="227" t="s">
        <v>172</v>
      </c>
      <c r="C25" s="227" t="s">
        <v>180</v>
      </c>
      <c r="D25" s="228">
        <v>2925</v>
      </c>
      <c r="E25" s="228">
        <v>18</v>
      </c>
      <c r="F25" s="228">
        <v>267.64999999999998</v>
      </c>
      <c r="G25" s="228">
        <v>264.95</v>
      </c>
      <c r="H25" s="228">
        <v>2.7</v>
      </c>
      <c r="I25" s="229">
        <v>1.0200000000000001E-2</v>
      </c>
      <c r="J25" s="228">
        <v>266.95</v>
      </c>
      <c r="K25" s="228">
        <v>264.14999999999998</v>
      </c>
      <c r="L25" s="228">
        <v>2.8</v>
      </c>
      <c r="M25" s="229">
        <v>1.06E-2</v>
      </c>
      <c r="N25" s="228">
        <v>267.64999999999998</v>
      </c>
      <c r="O25" s="228">
        <v>264.95</v>
      </c>
      <c r="P25" s="228">
        <v>2.7</v>
      </c>
      <c r="Q25" s="229">
        <v>1.0200000000000001E-2</v>
      </c>
      <c r="R25" s="228">
        <v>269.10000000000002</v>
      </c>
      <c r="S25" s="228">
        <v>266.25</v>
      </c>
      <c r="T25" s="228">
        <v>2.85</v>
      </c>
      <c r="U25" s="229">
        <v>1.0699999999999999E-2</v>
      </c>
      <c r="V25" s="228">
        <v>270.85000000000002</v>
      </c>
      <c r="W25" s="228">
        <v>268</v>
      </c>
      <c r="X25" s="228">
        <v>2.85</v>
      </c>
      <c r="Y25" s="229">
        <v>1.06E-2</v>
      </c>
      <c r="Z25" s="228">
        <v>0.7</v>
      </c>
      <c r="AA25" s="228">
        <v>0.8</v>
      </c>
      <c r="AB25" s="228">
        <v>-0.1</v>
      </c>
      <c r="AC25" s="229">
        <v>2.5999999999999999E-3</v>
      </c>
      <c r="AD25" s="228">
        <v>0.7</v>
      </c>
      <c r="AE25" s="228">
        <v>0.8</v>
      </c>
      <c r="AF25" s="228">
        <v>-0.1</v>
      </c>
      <c r="AG25" s="229">
        <v>2.5999999999999999E-3</v>
      </c>
      <c r="AH25" s="228">
        <v>2.15</v>
      </c>
      <c r="AI25" s="228">
        <v>2.1</v>
      </c>
      <c r="AJ25" s="228">
        <v>0.05</v>
      </c>
      <c r="AK25" s="229">
        <v>8.0999999999999996E-3</v>
      </c>
      <c r="AL25" s="228">
        <v>3.9</v>
      </c>
      <c r="AM25" s="228">
        <v>3.85</v>
      </c>
      <c r="AN25" s="228">
        <v>0.05</v>
      </c>
      <c r="AO25" s="229">
        <v>1.46E-2</v>
      </c>
      <c r="AP25" s="228">
        <v>267.89</v>
      </c>
      <c r="AQ25" s="228">
        <v>269.07</v>
      </c>
      <c r="AR25" s="228">
        <v>0</v>
      </c>
      <c r="AS25" s="228">
        <v>618</v>
      </c>
      <c r="AT25" s="228">
        <v>451</v>
      </c>
      <c r="AU25" s="228">
        <v>167</v>
      </c>
      <c r="AV25" s="229">
        <v>0.36959999999999998</v>
      </c>
      <c r="AW25" s="228">
        <v>575</v>
      </c>
      <c r="AX25" s="228">
        <v>433</v>
      </c>
      <c r="AY25" s="228">
        <v>141</v>
      </c>
      <c r="AZ25" s="229">
        <v>0.32629999999999998</v>
      </c>
      <c r="BA25" s="228">
        <v>40</v>
      </c>
      <c r="BB25" s="228">
        <v>16</v>
      </c>
      <c r="BC25" s="228">
        <v>24</v>
      </c>
      <c r="BD25" s="229">
        <v>1.5048999999999999</v>
      </c>
      <c r="BE25" s="228">
        <v>3</v>
      </c>
      <c r="BF25" s="228">
        <v>2</v>
      </c>
      <c r="BG25" s="228">
        <v>1</v>
      </c>
      <c r="BH25" s="229">
        <v>0.69569999999999999</v>
      </c>
      <c r="BI25" s="230">
        <v>2181</v>
      </c>
      <c r="BJ25" s="230">
        <v>1157</v>
      </c>
      <c r="BK25" s="230">
        <v>1024</v>
      </c>
      <c r="BL25" s="229">
        <v>0.88490000000000002</v>
      </c>
      <c r="BM25" s="228">
        <v>903</v>
      </c>
      <c r="BN25" s="228">
        <v>522</v>
      </c>
      <c r="BO25" s="228">
        <v>381</v>
      </c>
      <c r="BP25" s="229">
        <v>0.73089999999999999</v>
      </c>
      <c r="BQ25" s="230">
        <v>3702</v>
      </c>
      <c r="BR25" s="230">
        <v>2130</v>
      </c>
      <c r="BS25" s="230">
        <v>1572</v>
      </c>
      <c r="BT25" s="229">
        <v>0.73799999999999999</v>
      </c>
      <c r="BU25" s="230">
        <v>10278296</v>
      </c>
      <c r="BV25" s="230">
        <v>5584868</v>
      </c>
      <c r="BW25" s="230">
        <v>4693428</v>
      </c>
      <c r="BX25" s="229">
        <v>0.84040000000000004</v>
      </c>
      <c r="BY25" s="230">
        <v>3422</v>
      </c>
      <c r="BZ25" s="230">
        <v>3472</v>
      </c>
      <c r="CA25" s="228">
        <v>-50</v>
      </c>
      <c r="CB25" s="229">
        <v>-1.4500000000000001E-2</v>
      </c>
      <c r="CC25" s="230">
        <v>3356</v>
      </c>
      <c r="CD25" s="230">
        <v>3407</v>
      </c>
      <c r="CE25" s="228">
        <v>-51</v>
      </c>
      <c r="CF25" s="229">
        <v>-1.4999999999999999E-2</v>
      </c>
      <c r="CG25" s="228">
        <v>61</v>
      </c>
      <c r="CH25" s="228">
        <v>60</v>
      </c>
      <c r="CI25" s="228">
        <v>1</v>
      </c>
      <c r="CJ25" s="229">
        <v>1.43E-2</v>
      </c>
      <c r="CK25" s="228">
        <v>5</v>
      </c>
      <c r="CL25" s="228">
        <v>5</v>
      </c>
      <c r="CM25" s="228">
        <v>0</v>
      </c>
      <c r="CN25" s="229">
        <v>0</v>
      </c>
      <c r="CO25" s="230">
        <v>1124</v>
      </c>
      <c r="CP25" s="230">
        <v>1099</v>
      </c>
      <c r="CQ25" s="228">
        <v>25</v>
      </c>
      <c r="CR25" s="229">
        <v>2.3E-2</v>
      </c>
      <c r="CS25" s="228">
        <v>861</v>
      </c>
      <c r="CT25" s="228">
        <v>842</v>
      </c>
      <c r="CU25" s="228">
        <v>19</v>
      </c>
      <c r="CV25" s="229">
        <v>2.29E-2</v>
      </c>
      <c r="CW25" s="230">
        <v>5407</v>
      </c>
      <c r="CX25" s="230">
        <v>5413</v>
      </c>
      <c r="CY25" s="228">
        <v>-6</v>
      </c>
      <c r="CZ25" s="229">
        <v>-1E-3</v>
      </c>
      <c r="DA25" s="228">
        <v>26.2</v>
      </c>
      <c r="DB25" s="228">
        <v>26.44</v>
      </c>
      <c r="DC25" s="228">
        <v>-0.24</v>
      </c>
      <c r="DD25" s="228">
        <v>-0.24</v>
      </c>
      <c r="DE25" s="228">
        <v>35.58</v>
      </c>
      <c r="DF25" s="228">
        <v>35.64</v>
      </c>
      <c r="DG25" s="228">
        <v>-9.3800000000000008</v>
      </c>
      <c r="DH25" s="228">
        <v>-0.06</v>
      </c>
      <c r="DI25" s="228">
        <v>26.25</v>
      </c>
      <c r="DJ25" s="228">
        <v>26.38</v>
      </c>
      <c r="DK25" s="228">
        <v>-0.13</v>
      </c>
      <c r="DL25" s="228">
        <v>-0.13</v>
      </c>
      <c r="DM25" s="228">
        <v>26.06</v>
      </c>
      <c r="DN25" s="228">
        <v>26.58</v>
      </c>
      <c r="DO25" s="228">
        <v>-0.52</v>
      </c>
      <c r="DP25" s="228">
        <v>-0.52</v>
      </c>
      <c r="DQ25" s="228">
        <v>0.77</v>
      </c>
      <c r="DR25" s="228">
        <v>0.77</v>
      </c>
      <c r="DS25" s="228">
        <v>0</v>
      </c>
      <c r="DT25" s="229">
        <v>0</v>
      </c>
      <c r="DU25" s="228">
        <v>285</v>
      </c>
      <c r="DV25" s="228">
        <v>240</v>
      </c>
      <c r="DW25" s="228">
        <v>0.41</v>
      </c>
      <c r="DX25" s="228">
        <v>0.45</v>
      </c>
      <c r="DY25" s="228">
        <v>-0.04</v>
      </c>
      <c r="DZ25" s="229">
        <v>-8.8900000000000007E-2</v>
      </c>
      <c r="EA25" s="229">
        <v>1.9400000000000001E-2</v>
      </c>
      <c r="EB25" s="230">
        <v>2445300</v>
      </c>
      <c r="EC25" s="229">
        <v>5.4000000000000003E-3</v>
      </c>
      <c r="ED25" s="229">
        <v>1.9400000000000001E-2</v>
      </c>
      <c r="EE25" s="228">
        <v>1.18</v>
      </c>
      <c r="EF25" s="229">
        <v>4.4000000000000003E-3</v>
      </c>
      <c r="EG25" s="230">
        <v>4546342</v>
      </c>
      <c r="EH25" s="230">
        <v>2541468</v>
      </c>
      <c r="EI25" s="229">
        <v>0.78890000000000005</v>
      </c>
      <c r="EJ25" s="229">
        <v>0.44230000000000003</v>
      </c>
      <c r="EK25" s="231">
        <v>2268.04</v>
      </c>
      <c r="EL25" s="228">
        <v>895.26</v>
      </c>
      <c r="EM25" s="228">
        <v>618.45000000000005</v>
      </c>
      <c r="EN25" s="228">
        <v>79.22</v>
      </c>
      <c r="EO25" s="231">
        <v>3781.75</v>
      </c>
      <c r="EP25" s="231">
        <v>2144.62</v>
      </c>
      <c r="EQ25" s="231">
        <v>1637.13</v>
      </c>
      <c r="ER25" s="229">
        <v>0.76339999999999997</v>
      </c>
      <c r="ES25" s="231">
        <v>1130.57</v>
      </c>
      <c r="ET25" s="228">
        <v>818.39</v>
      </c>
      <c r="EU25" s="231">
        <v>3422.42</v>
      </c>
      <c r="EV25" s="231">
        <v>257509827</v>
      </c>
      <c r="EW25" s="231">
        <v>5371.39</v>
      </c>
      <c r="EX25" s="231">
        <v>5334.49</v>
      </c>
      <c r="EY25" s="228">
        <v>36.9</v>
      </c>
      <c r="EZ25" s="229">
        <v>6.8999999999999999E-3</v>
      </c>
      <c r="FA25" s="229">
        <v>0.78459999999999996</v>
      </c>
      <c r="FB25" s="227" t="s">
        <v>556</v>
      </c>
      <c r="FC25">
        <f t="shared" si="0"/>
        <v>66</v>
      </c>
    </row>
    <row r="26" spans="1:159" ht="17.25" thickBot="1" x14ac:dyDescent="0.3">
      <c r="A26" s="226">
        <v>45940</v>
      </c>
      <c r="B26" s="227" t="s">
        <v>172</v>
      </c>
      <c r="C26" s="227" t="s">
        <v>603</v>
      </c>
      <c r="D26" s="228">
        <v>5200</v>
      </c>
      <c r="E26" s="228">
        <v>18</v>
      </c>
      <c r="F26" s="228">
        <v>127.3</v>
      </c>
      <c r="G26" s="228">
        <v>126.53</v>
      </c>
      <c r="H26" s="228">
        <v>0.77</v>
      </c>
      <c r="I26" s="229">
        <v>6.1000000000000004E-3</v>
      </c>
      <c r="J26" s="228">
        <v>126.77</v>
      </c>
      <c r="K26" s="228">
        <v>125.79</v>
      </c>
      <c r="L26" s="228">
        <v>0.98</v>
      </c>
      <c r="M26" s="229">
        <v>7.7999999999999996E-3</v>
      </c>
      <c r="N26" s="228">
        <v>127.3</v>
      </c>
      <c r="O26" s="228">
        <v>126.53</v>
      </c>
      <c r="P26" s="228">
        <v>0.77</v>
      </c>
      <c r="Q26" s="229">
        <v>6.1000000000000004E-3</v>
      </c>
      <c r="R26" s="228">
        <v>128.07</v>
      </c>
      <c r="S26" s="228">
        <v>127.19</v>
      </c>
      <c r="T26" s="228">
        <v>0.88</v>
      </c>
      <c r="U26" s="229">
        <v>6.8999999999999999E-3</v>
      </c>
      <c r="V26" s="228">
        <v>128.77000000000001</v>
      </c>
      <c r="W26" s="228">
        <v>127.98</v>
      </c>
      <c r="X26" s="228">
        <v>0.79</v>
      </c>
      <c r="Y26" s="229">
        <v>6.1999999999999998E-3</v>
      </c>
      <c r="Z26" s="228">
        <v>0.53</v>
      </c>
      <c r="AA26" s="228">
        <v>0.74</v>
      </c>
      <c r="AB26" s="228">
        <v>-0.21</v>
      </c>
      <c r="AC26" s="229">
        <v>4.1999999999999997E-3</v>
      </c>
      <c r="AD26" s="228">
        <v>0.53</v>
      </c>
      <c r="AE26" s="228">
        <v>0.74</v>
      </c>
      <c r="AF26" s="228">
        <v>-0.21</v>
      </c>
      <c r="AG26" s="229">
        <v>4.1999999999999997E-3</v>
      </c>
      <c r="AH26" s="228">
        <v>1.3</v>
      </c>
      <c r="AI26" s="228">
        <v>1.4</v>
      </c>
      <c r="AJ26" s="228">
        <v>-0.1</v>
      </c>
      <c r="AK26" s="229">
        <v>1.03E-2</v>
      </c>
      <c r="AL26" s="228">
        <v>2</v>
      </c>
      <c r="AM26" s="228">
        <v>2.19</v>
      </c>
      <c r="AN26" s="228">
        <v>-0.19</v>
      </c>
      <c r="AO26" s="229">
        <v>1.5800000000000002E-2</v>
      </c>
      <c r="AP26" s="228">
        <v>127.6</v>
      </c>
      <c r="AQ26" s="228">
        <v>128.33000000000001</v>
      </c>
      <c r="AR26" s="228">
        <v>0</v>
      </c>
      <c r="AS26" s="228">
        <v>208</v>
      </c>
      <c r="AT26" s="228">
        <v>95</v>
      </c>
      <c r="AU26" s="228">
        <v>113</v>
      </c>
      <c r="AV26" s="229">
        <v>1.1948000000000001</v>
      </c>
      <c r="AW26" s="228">
        <v>188</v>
      </c>
      <c r="AX26" s="228">
        <v>87</v>
      </c>
      <c r="AY26" s="228">
        <v>101</v>
      </c>
      <c r="AZ26" s="229">
        <v>1.1629</v>
      </c>
      <c r="BA26" s="228">
        <v>18</v>
      </c>
      <c r="BB26" s="228">
        <v>7</v>
      </c>
      <c r="BC26" s="228">
        <v>11</v>
      </c>
      <c r="BD26" s="229">
        <v>1.5283</v>
      </c>
      <c r="BE26" s="228">
        <v>2</v>
      </c>
      <c r="BF26" s="228">
        <v>1</v>
      </c>
      <c r="BG26" s="228">
        <v>1</v>
      </c>
      <c r="BH26" s="229">
        <v>1.75</v>
      </c>
      <c r="BI26" s="228">
        <v>334</v>
      </c>
      <c r="BJ26" s="228">
        <v>168</v>
      </c>
      <c r="BK26" s="228">
        <v>166</v>
      </c>
      <c r="BL26" s="229">
        <v>0.98740000000000006</v>
      </c>
      <c r="BM26" s="228">
        <v>115</v>
      </c>
      <c r="BN26" s="228">
        <v>55</v>
      </c>
      <c r="BO26" s="228">
        <v>59</v>
      </c>
      <c r="BP26" s="229">
        <v>1.0742</v>
      </c>
      <c r="BQ26" s="228">
        <v>657</v>
      </c>
      <c r="BR26" s="228">
        <v>318</v>
      </c>
      <c r="BS26" s="228">
        <v>339</v>
      </c>
      <c r="BT26" s="229">
        <v>1.0643</v>
      </c>
      <c r="BU26" s="230">
        <v>9051785</v>
      </c>
      <c r="BV26" s="230">
        <v>4773959</v>
      </c>
      <c r="BW26" s="230">
        <v>4277826</v>
      </c>
      <c r="BX26" s="229">
        <v>0.89610000000000001</v>
      </c>
      <c r="BY26" s="228">
        <v>903</v>
      </c>
      <c r="BZ26" s="228">
        <v>904</v>
      </c>
      <c r="CA26" s="228">
        <v>-1</v>
      </c>
      <c r="CB26" s="229">
        <v>-1.2999999999999999E-3</v>
      </c>
      <c r="CC26" s="228">
        <v>862</v>
      </c>
      <c r="CD26" s="228">
        <v>867</v>
      </c>
      <c r="CE26" s="228">
        <v>-5</v>
      </c>
      <c r="CF26" s="229">
        <v>-5.7000000000000002E-3</v>
      </c>
      <c r="CG26" s="228">
        <v>36</v>
      </c>
      <c r="CH26" s="228">
        <v>33</v>
      </c>
      <c r="CI26" s="228">
        <v>4</v>
      </c>
      <c r="CJ26" s="229">
        <v>0.1109</v>
      </c>
      <c r="CK26" s="228">
        <v>4</v>
      </c>
      <c r="CL26" s="228">
        <v>4</v>
      </c>
      <c r="CM26" s="228">
        <v>0</v>
      </c>
      <c r="CN26" s="229">
        <v>3.2800000000000003E-2</v>
      </c>
      <c r="CO26" s="228">
        <v>330</v>
      </c>
      <c r="CP26" s="228">
        <v>313</v>
      </c>
      <c r="CQ26" s="228">
        <v>17</v>
      </c>
      <c r="CR26" s="229">
        <v>5.5899999999999998E-2</v>
      </c>
      <c r="CS26" s="228">
        <v>214</v>
      </c>
      <c r="CT26" s="228">
        <v>197</v>
      </c>
      <c r="CU26" s="228">
        <v>16</v>
      </c>
      <c r="CV26" s="229">
        <v>8.2199999999999995E-2</v>
      </c>
      <c r="CW26" s="230">
        <v>1446</v>
      </c>
      <c r="CX26" s="230">
        <v>1414</v>
      </c>
      <c r="CY26" s="228">
        <v>33</v>
      </c>
      <c r="CZ26" s="229">
        <v>2.3E-2</v>
      </c>
      <c r="DA26" s="228">
        <v>27.7</v>
      </c>
      <c r="DB26" s="228">
        <v>28.95</v>
      </c>
      <c r="DC26" s="228">
        <v>-1.25</v>
      </c>
      <c r="DD26" s="228">
        <v>-1.25</v>
      </c>
      <c r="DE26" s="228">
        <v>39.53</v>
      </c>
      <c r="DF26" s="228">
        <v>39.619999999999997</v>
      </c>
      <c r="DG26" s="228">
        <v>-11.83</v>
      </c>
      <c r="DH26" s="228">
        <v>-0.09</v>
      </c>
      <c r="DI26" s="228">
        <v>27.61</v>
      </c>
      <c r="DJ26" s="228">
        <v>28.96</v>
      </c>
      <c r="DK26" s="228">
        <v>-1.35</v>
      </c>
      <c r="DL26" s="228">
        <v>-1.35</v>
      </c>
      <c r="DM26" s="228">
        <v>27.97</v>
      </c>
      <c r="DN26" s="228">
        <v>28.93</v>
      </c>
      <c r="DO26" s="228">
        <v>-0.96</v>
      </c>
      <c r="DP26" s="228">
        <v>-0.96</v>
      </c>
      <c r="DQ26" s="228">
        <v>0.65</v>
      </c>
      <c r="DR26" s="228">
        <v>0.63</v>
      </c>
      <c r="DS26" s="228">
        <v>0.02</v>
      </c>
      <c r="DT26" s="229">
        <v>3.1699999999999999E-2</v>
      </c>
      <c r="DU26" s="228">
        <v>130</v>
      </c>
      <c r="DV26" s="228">
        <v>125</v>
      </c>
      <c r="DW26" s="228">
        <v>0.34</v>
      </c>
      <c r="DX26" s="228">
        <v>0.33</v>
      </c>
      <c r="DY26" s="228">
        <v>0.01</v>
      </c>
      <c r="DZ26" s="229">
        <v>3.0300000000000001E-2</v>
      </c>
      <c r="EA26" s="229">
        <v>4.4999999999999998E-2</v>
      </c>
      <c r="EB26" s="230">
        <v>2896400</v>
      </c>
      <c r="EC26" s="229">
        <v>6.0000000000000001E-3</v>
      </c>
      <c r="ED26" s="229">
        <v>4.4999999999999998E-2</v>
      </c>
      <c r="EE26" s="228">
        <v>0.73</v>
      </c>
      <c r="EF26" s="229">
        <v>5.7000000000000002E-3</v>
      </c>
      <c r="EG26" s="230">
        <v>4189291</v>
      </c>
      <c r="EH26" s="230">
        <v>2145993</v>
      </c>
      <c r="EI26" s="229">
        <v>0.95209999999999995</v>
      </c>
      <c r="EJ26" s="229">
        <v>0.46279999999999999</v>
      </c>
      <c r="EK26" s="228">
        <v>346.18</v>
      </c>
      <c r="EL26" s="228">
        <v>113.76</v>
      </c>
      <c r="EM26" s="228">
        <v>208.67</v>
      </c>
      <c r="EN26" s="228">
        <v>27.32</v>
      </c>
      <c r="EO26" s="228">
        <v>668.61</v>
      </c>
      <c r="EP26" s="228">
        <v>321.83</v>
      </c>
      <c r="EQ26" s="228">
        <v>346.77</v>
      </c>
      <c r="ER26" s="229">
        <v>1.0774999999999999</v>
      </c>
      <c r="ES26" s="228">
        <v>334.39</v>
      </c>
      <c r="ET26" s="228">
        <v>200.39</v>
      </c>
      <c r="EU26" s="228">
        <v>903.05</v>
      </c>
      <c r="EV26" s="231">
        <v>181770921</v>
      </c>
      <c r="EW26" s="231">
        <v>1437.83</v>
      </c>
      <c r="EX26" s="231">
        <v>1398.67</v>
      </c>
      <c r="EY26" s="228">
        <v>39.159999999999997</v>
      </c>
      <c r="EZ26" s="229">
        <v>2.8000000000000001E-2</v>
      </c>
      <c r="FA26" s="229">
        <v>0.62509999999999999</v>
      </c>
      <c r="FB26" s="227" t="s">
        <v>556</v>
      </c>
      <c r="FC26">
        <f t="shared" si="0"/>
        <v>41</v>
      </c>
    </row>
    <row r="27" spans="1:159" ht="17.25" thickBot="1" x14ac:dyDescent="0.3">
      <c r="A27" s="226">
        <v>45940</v>
      </c>
      <c r="B27" s="227" t="s">
        <v>181</v>
      </c>
      <c r="C27" s="227" t="s">
        <v>182</v>
      </c>
      <c r="D27" s="228">
        <v>35</v>
      </c>
      <c r="E27" s="228">
        <v>18</v>
      </c>
      <c r="F27" s="231">
        <v>56862.2</v>
      </c>
      <c r="G27" s="231">
        <v>56413.2</v>
      </c>
      <c r="H27" s="228">
        <v>449</v>
      </c>
      <c r="I27" s="229">
        <v>8.0000000000000002E-3</v>
      </c>
      <c r="J27" s="231">
        <v>56609.75</v>
      </c>
      <c r="K27" s="231">
        <v>56192.05</v>
      </c>
      <c r="L27" s="228">
        <v>417.7</v>
      </c>
      <c r="M27" s="229">
        <v>7.4000000000000003E-3</v>
      </c>
      <c r="N27" s="231">
        <v>56862.2</v>
      </c>
      <c r="O27" s="231">
        <v>56413.2</v>
      </c>
      <c r="P27" s="228">
        <v>449</v>
      </c>
      <c r="Q27" s="229">
        <v>8.0000000000000002E-3</v>
      </c>
      <c r="R27" s="231">
        <v>57152</v>
      </c>
      <c r="S27" s="231">
        <v>56714.8</v>
      </c>
      <c r="T27" s="228">
        <v>437.2</v>
      </c>
      <c r="U27" s="229">
        <v>7.7000000000000002E-3</v>
      </c>
      <c r="V27" s="231">
        <v>57500.2</v>
      </c>
      <c r="W27" s="231">
        <v>57061.2</v>
      </c>
      <c r="X27" s="228">
        <v>439</v>
      </c>
      <c r="Y27" s="229">
        <v>7.7000000000000002E-3</v>
      </c>
      <c r="Z27" s="228">
        <v>252.45</v>
      </c>
      <c r="AA27" s="228">
        <v>221.15</v>
      </c>
      <c r="AB27" s="228">
        <v>31.3</v>
      </c>
      <c r="AC27" s="229">
        <v>4.4999999999999997E-3</v>
      </c>
      <c r="AD27" s="228">
        <v>252.45</v>
      </c>
      <c r="AE27" s="228">
        <v>221.15</v>
      </c>
      <c r="AF27" s="228">
        <v>31.3</v>
      </c>
      <c r="AG27" s="229">
        <v>4.4999999999999997E-3</v>
      </c>
      <c r="AH27" s="228">
        <v>542.25</v>
      </c>
      <c r="AI27" s="228">
        <v>522.75</v>
      </c>
      <c r="AJ27" s="228">
        <v>19.5</v>
      </c>
      <c r="AK27" s="229">
        <v>9.5999999999999992E-3</v>
      </c>
      <c r="AL27" s="228">
        <v>890.45</v>
      </c>
      <c r="AM27" s="228">
        <v>869.15</v>
      </c>
      <c r="AN27" s="228">
        <v>21.3</v>
      </c>
      <c r="AO27" s="229">
        <v>1.5699999999999999E-2</v>
      </c>
      <c r="AP27" s="231">
        <v>56825.26</v>
      </c>
      <c r="AQ27" s="231">
        <v>57104.19</v>
      </c>
      <c r="AR27" s="228">
        <v>0</v>
      </c>
      <c r="AS27" s="230">
        <v>6213</v>
      </c>
      <c r="AT27" s="230">
        <v>4351</v>
      </c>
      <c r="AU27" s="230">
        <v>1862</v>
      </c>
      <c r="AV27" s="229">
        <v>0.42799999999999999</v>
      </c>
      <c r="AW27" s="230">
        <v>5393</v>
      </c>
      <c r="AX27" s="230">
        <v>4014</v>
      </c>
      <c r="AY27" s="230">
        <v>1379</v>
      </c>
      <c r="AZ27" s="229">
        <v>0.34339999999999998</v>
      </c>
      <c r="BA27" s="228">
        <v>549</v>
      </c>
      <c r="BB27" s="228">
        <v>259</v>
      </c>
      <c r="BC27" s="228">
        <v>290</v>
      </c>
      <c r="BD27" s="229">
        <v>1.1174999999999999</v>
      </c>
      <c r="BE27" s="228">
        <v>271</v>
      </c>
      <c r="BF27" s="228">
        <v>77</v>
      </c>
      <c r="BG27" s="228">
        <v>194</v>
      </c>
      <c r="BH27" s="229">
        <v>2.5194000000000001</v>
      </c>
      <c r="BI27" s="230">
        <v>372116</v>
      </c>
      <c r="BJ27" s="230">
        <v>253457</v>
      </c>
      <c r="BK27" s="230">
        <v>118659</v>
      </c>
      <c r="BL27" s="229">
        <v>0.46820000000000001</v>
      </c>
      <c r="BM27" s="230">
        <v>305034</v>
      </c>
      <c r="BN27" s="230">
        <v>226023</v>
      </c>
      <c r="BO27" s="230">
        <v>79011</v>
      </c>
      <c r="BP27" s="229">
        <v>0.34960000000000002</v>
      </c>
      <c r="BQ27" s="230">
        <v>683363</v>
      </c>
      <c r="BR27" s="230">
        <v>483831</v>
      </c>
      <c r="BS27" s="230">
        <v>199532</v>
      </c>
      <c r="BT27" s="229">
        <v>0.41239999999999999</v>
      </c>
      <c r="BU27" s="228">
        <v>0</v>
      </c>
      <c r="BV27" s="228">
        <v>0</v>
      </c>
      <c r="BW27" s="228">
        <v>0</v>
      </c>
      <c r="BX27" s="229">
        <v>0</v>
      </c>
      <c r="BY27" s="230">
        <v>11203</v>
      </c>
      <c r="BZ27" s="230">
        <v>10783</v>
      </c>
      <c r="CA27" s="228">
        <v>420</v>
      </c>
      <c r="CB27" s="229">
        <v>3.8899999999999997E-2</v>
      </c>
      <c r="CC27" s="230">
        <v>9892</v>
      </c>
      <c r="CD27" s="230">
        <v>9560</v>
      </c>
      <c r="CE27" s="228">
        <v>332</v>
      </c>
      <c r="CF27" s="229">
        <v>3.4700000000000002E-2</v>
      </c>
      <c r="CG27" s="230">
        <v>1059</v>
      </c>
      <c r="CH27" s="228">
        <v>980</v>
      </c>
      <c r="CI27" s="228">
        <v>79</v>
      </c>
      <c r="CJ27" s="229">
        <v>8.0699999999999994E-2</v>
      </c>
      <c r="CK27" s="228">
        <v>252</v>
      </c>
      <c r="CL27" s="228">
        <v>243</v>
      </c>
      <c r="CM27" s="228">
        <v>9</v>
      </c>
      <c r="CN27" s="229">
        <v>3.85E-2</v>
      </c>
      <c r="CO27" s="230">
        <v>101940</v>
      </c>
      <c r="CP27" s="230">
        <v>99704</v>
      </c>
      <c r="CQ27" s="230">
        <v>2236</v>
      </c>
      <c r="CR27" s="229">
        <v>2.24E-2</v>
      </c>
      <c r="CS27" s="230">
        <v>116628</v>
      </c>
      <c r="CT27" s="230">
        <v>107436</v>
      </c>
      <c r="CU27" s="230">
        <v>9192</v>
      </c>
      <c r="CV27" s="229">
        <v>8.5599999999999996E-2</v>
      </c>
      <c r="CW27" s="230">
        <v>229771</v>
      </c>
      <c r="CX27" s="230">
        <v>217923</v>
      </c>
      <c r="CY27" s="230">
        <v>11848</v>
      </c>
      <c r="CZ27" s="229">
        <v>5.4399999999999997E-2</v>
      </c>
      <c r="DA27" s="228">
        <v>11.23</v>
      </c>
      <c r="DB27" s="228">
        <v>11.13</v>
      </c>
      <c r="DC27" s="228">
        <v>0.1</v>
      </c>
      <c r="DD27" s="228">
        <v>0.1</v>
      </c>
      <c r="DE27" s="228">
        <v>17.32</v>
      </c>
      <c r="DF27" s="228">
        <v>17.329999999999998</v>
      </c>
      <c r="DG27" s="228">
        <v>-6.09</v>
      </c>
      <c r="DH27" s="228">
        <v>-0.01</v>
      </c>
      <c r="DI27" s="228">
        <v>10.26</v>
      </c>
      <c r="DJ27" s="228">
        <v>10.41</v>
      </c>
      <c r="DK27" s="228">
        <v>-0.15</v>
      </c>
      <c r="DL27" s="228">
        <v>-0.15</v>
      </c>
      <c r="DM27" s="228">
        <v>12.4</v>
      </c>
      <c r="DN27" s="228">
        <v>11.93</v>
      </c>
      <c r="DO27" s="228">
        <v>0.47</v>
      </c>
      <c r="DP27" s="228">
        <v>0.47</v>
      </c>
      <c r="DQ27" s="228">
        <v>1.1399999999999999</v>
      </c>
      <c r="DR27" s="228">
        <v>1.08</v>
      </c>
      <c r="DS27" s="228">
        <v>0.06</v>
      </c>
      <c r="DT27" s="229">
        <v>5.5599999999999997E-2</v>
      </c>
      <c r="DU27" s="231">
        <v>57000</v>
      </c>
      <c r="DV27" s="231">
        <v>55000</v>
      </c>
      <c r="DW27" s="228">
        <v>0.82</v>
      </c>
      <c r="DX27" s="228">
        <v>0.89</v>
      </c>
      <c r="DY27" s="228">
        <v>-7.0000000000000007E-2</v>
      </c>
      <c r="DZ27" s="229">
        <v>-7.8700000000000006E-2</v>
      </c>
      <c r="EA27" s="229">
        <v>0.11700000000000001</v>
      </c>
      <c r="EB27" s="230">
        <v>214970</v>
      </c>
      <c r="EC27" s="229">
        <v>5.1000000000000004E-3</v>
      </c>
      <c r="ED27" s="229">
        <v>0.11700000000000001</v>
      </c>
      <c r="EE27" s="228">
        <v>278.93</v>
      </c>
      <c r="EF27" s="229">
        <v>4.8999999999999998E-3</v>
      </c>
      <c r="EG27" s="228">
        <v>0</v>
      </c>
      <c r="EH27" s="228">
        <v>0</v>
      </c>
      <c r="EI27" s="229">
        <v>0</v>
      </c>
      <c r="EJ27" s="229">
        <v>0</v>
      </c>
      <c r="EK27" s="231">
        <v>379573.22</v>
      </c>
      <c r="EL27" s="231">
        <v>297912.21999999997</v>
      </c>
      <c r="EM27" s="231">
        <v>6214.35</v>
      </c>
      <c r="EN27" s="228">
        <v>0</v>
      </c>
      <c r="EO27" s="231">
        <v>683699.79</v>
      </c>
      <c r="EP27" s="231">
        <v>481090.29</v>
      </c>
      <c r="EQ27" s="231">
        <v>202609.51</v>
      </c>
      <c r="ER27" s="229">
        <v>0.42109999999999997</v>
      </c>
      <c r="ES27" s="231">
        <v>102984.07</v>
      </c>
      <c r="ET27" s="231">
        <v>111839.84</v>
      </c>
      <c r="EU27" s="231">
        <v>11210.93</v>
      </c>
      <c r="EV27" s="228">
        <v>0</v>
      </c>
      <c r="EW27" s="231">
        <v>226034.84</v>
      </c>
      <c r="EX27" s="231">
        <v>213909.72</v>
      </c>
      <c r="EY27" s="231">
        <v>12125.12</v>
      </c>
      <c r="EZ27" s="229">
        <v>5.67E-2</v>
      </c>
      <c r="FA27" s="229">
        <v>0</v>
      </c>
      <c r="FB27" s="227" t="s">
        <v>555</v>
      </c>
      <c r="FC27">
        <f t="shared" si="0"/>
        <v>1311</v>
      </c>
    </row>
    <row r="28" spans="1:159" ht="17.25" thickBot="1" x14ac:dyDescent="0.3">
      <c r="A28" s="226">
        <v>45940</v>
      </c>
      <c r="B28" s="227" t="s">
        <v>184</v>
      </c>
      <c r="C28" s="227" t="s">
        <v>673</v>
      </c>
      <c r="D28" s="228">
        <v>325</v>
      </c>
      <c r="E28" s="228">
        <v>18</v>
      </c>
      <c r="F28" s="231">
        <v>1539.7</v>
      </c>
      <c r="G28" s="231">
        <v>1524.9</v>
      </c>
      <c r="H28" s="228">
        <v>14.8</v>
      </c>
      <c r="I28" s="229">
        <v>9.7000000000000003E-3</v>
      </c>
      <c r="J28" s="231">
        <v>1537.1</v>
      </c>
      <c r="K28" s="231">
        <v>1520.3</v>
      </c>
      <c r="L28" s="228">
        <v>16.8</v>
      </c>
      <c r="M28" s="229">
        <v>1.11E-2</v>
      </c>
      <c r="N28" s="231">
        <v>1539.7</v>
      </c>
      <c r="O28" s="231">
        <v>1524.9</v>
      </c>
      <c r="P28" s="228">
        <v>14.8</v>
      </c>
      <c r="Q28" s="229">
        <v>9.7000000000000003E-3</v>
      </c>
      <c r="R28" s="231">
        <v>1547.6</v>
      </c>
      <c r="S28" s="231">
        <v>1532.8</v>
      </c>
      <c r="T28" s="228">
        <v>14.8</v>
      </c>
      <c r="U28" s="229">
        <v>9.7000000000000003E-3</v>
      </c>
      <c r="V28" s="231">
        <v>1554.8</v>
      </c>
      <c r="W28" s="231">
        <v>1540.8</v>
      </c>
      <c r="X28" s="228">
        <v>14</v>
      </c>
      <c r="Y28" s="229">
        <v>9.1000000000000004E-3</v>
      </c>
      <c r="Z28" s="228">
        <v>2.6</v>
      </c>
      <c r="AA28" s="228">
        <v>4.5999999999999996</v>
      </c>
      <c r="AB28" s="228">
        <v>-2</v>
      </c>
      <c r="AC28" s="229">
        <v>1.6999999999999999E-3</v>
      </c>
      <c r="AD28" s="228">
        <v>2.6</v>
      </c>
      <c r="AE28" s="228">
        <v>4.5999999999999996</v>
      </c>
      <c r="AF28" s="228">
        <v>-2</v>
      </c>
      <c r="AG28" s="229">
        <v>1.6999999999999999E-3</v>
      </c>
      <c r="AH28" s="228">
        <v>10.5</v>
      </c>
      <c r="AI28" s="228">
        <v>12.5</v>
      </c>
      <c r="AJ28" s="228">
        <v>-2</v>
      </c>
      <c r="AK28" s="229">
        <v>6.7999999999999996E-3</v>
      </c>
      <c r="AL28" s="228">
        <v>17.7</v>
      </c>
      <c r="AM28" s="228">
        <v>20.5</v>
      </c>
      <c r="AN28" s="228">
        <v>-2.8</v>
      </c>
      <c r="AO28" s="229">
        <v>1.15E-2</v>
      </c>
      <c r="AP28" s="231">
        <v>1534.78</v>
      </c>
      <c r="AQ28" s="231">
        <v>1541.49</v>
      </c>
      <c r="AR28" s="228">
        <v>0</v>
      </c>
      <c r="AS28" s="228">
        <v>144</v>
      </c>
      <c r="AT28" s="228">
        <v>151</v>
      </c>
      <c r="AU28" s="228">
        <v>-8</v>
      </c>
      <c r="AV28" s="229">
        <v>-5.1299999999999998E-2</v>
      </c>
      <c r="AW28" s="228">
        <v>132</v>
      </c>
      <c r="AX28" s="228">
        <v>141</v>
      </c>
      <c r="AY28" s="228">
        <v>-9</v>
      </c>
      <c r="AZ28" s="229">
        <v>-6.5299999999999997E-2</v>
      </c>
      <c r="BA28" s="228">
        <v>11</v>
      </c>
      <c r="BB28" s="228">
        <v>10</v>
      </c>
      <c r="BC28" s="228">
        <v>0</v>
      </c>
      <c r="BD28" s="229">
        <v>4.48E-2</v>
      </c>
      <c r="BE28" s="228">
        <v>1</v>
      </c>
      <c r="BF28" s="228">
        <v>0</v>
      </c>
      <c r="BG28" s="228">
        <v>1</v>
      </c>
      <c r="BH28" s="229">
        <v>2.8571</v>
      </c>
      <c r="BI28" s="228">
        <v>606</v>
      </c>
      <c r="BJ28" s="228">
        <v>538</v>
      </c>
      <c r="BK28" s="228">
        <v>68</v>
      </c>
      <c r="BL28" s="229">
        <v>0.1268</v>
      </c>
      <c r="BM28" s="228">
        <v>193</v>
      </c>
      <c r="BN28" s="228">
        <v>118</v>
      </c>
      <c r="BO28" s="228">
        <v>75</v>
      </c>
      <c r="BP28" s="229">
        <v>0.63370000000000004</v>
      </c>
      <c r="BQ28" s="228">
        <v>943</v>
      </c>
      <c r="BR28" s="228">
        <v>808</v>
      </c>
      <c r="BS28" s="228">
        <v>135</v>
      </c>
      <c r="BT28" s="229">
        <v>0.16769999999999999</v>
      </c>
      <c r="BU28" s="230">
        <v>1263803</v>
      </c>
      <c r="BV28" s="230">
        <v>878013</v>
      </c>
      <c r="BW28" s="230">
        <v>385790</v>
      </c>
      <c r="BX28" s="229">
        <v>0.43940000000000001</v>
      </c>
      <c r="BY28" s="228">
        <v>692</v>
      </c>
      <c r="BZ28" s="228">
        <v>707</v>
      </c>
      <c r="CA28" s="228">
        <v>-15</v>
      </c>
      <c r="CB28" s="229">
        <v>-2.06E-2</v>
      </c>
      <c r="CC28" s="228">
        <v>652</v>
      </c>
      <c r="CD28" s="228">
        <v>667</v>
      </c>
      <c r="CE28" s="228">
        <v>-16</v>
      </c>
      <c r="CF28" s="229">
        <v>-2.3599999999999999E-2</v>
      </c>
      <c r="CG28" s="228">
        <v>36</v>
      </c>
      <c r="CH28" s="228">
        <v>35</v>
      </c>
      <c r="CI28" s="228">
        <v>1</v>
      </c>
      <c r="CJ28" s="229">
        <v>2.69E-2</v>
      </c>
      <c r="CK28" s="228">
        <v>4</v>
      </c>
      <c r="CL28" s="228">
        <v>4</v>
      </c>
      <c r="CM28" s="228">
        <v>0</v>
      </c>
      <c r="CN28" s="229">
        <v>6.0199999999999997E-2</v>
      </c>
      <c r="CO28" s="228">
        <v>514</v>
      </c>
      <c r="CP28" s="228">
        <v>539</v>
      </c>
      <c r="CQ28" s="228">
        <v>-25</v>
      </c>
      <c r="CR28" s="229">
        <v>-4.5499999999999999E-2</v>
      </c>
      <c r="CS28" s="228">
        <v>304</v>
      </c>
      <c r="CT28" s="228">
        <v>300</v>
      </c>
      <c r="CU28" s="228">
        <v>4</v>
      </c>
      <c r="CV28" s="229">
        <v>1.23E-2</v>
      </c>
      <c r="CW28" s="230">
        <v>1511</v>
      </c>
      <c r="CX28" s="230">
        <v>1546</v>
      </c>
      <c r="CY28" s="228">
        <v>-35</v>
      </c>
      <c r="CZ28" s="229">
        <v>-2.29E-2</v>
      </c>
      <c r="DA28" s="228">
        <v>33.97</v>
      </c>
      <c r="DB28" s="228">
        <v>34.97</v>
      </c>
      <c r="DC28" s="228">
        <v>-1</v>
      </c>
      <c r="DD28" s="228">
        <v>-1</v>
      </c>
      <c r="DE28" s="228">
        <v>53.33</v>
      </c>
      <c r="DF28" s="228">
        <v>53.45</v>
      </c>
      <c r="DG28" s="228">
        <v>-19.36</v>
      </c>
      <c r="DH28" s="228">
        <v>-0.12</v>
      </c>
      <c r="DI28" s="228">
        <v>34.270000000000003</v>
      </c>
      <c r="DJ28" s="228">
        <v>35.130000000000003</v>
      </c>
      <c r="DK28" s="228">
        <v>-0.86</v>
      </c>
      <c r="DL28" s="228">
        <v>-0.86</v>
      </c>
      <c r="DM28" s="228">
        <v>33.020000000000003</v>
      </c>
      <c r="DN28" s="228">
        <v>34.25</v>
      </c>
      <c r="DO28" s="228">
        <v>-1.23</v>
      </c>
      <c r="DP28" s="228">
        <v>-1.23</v>
      </c>
      <c r="DQ28" s="228">
        <v>0.59</v>
      </c>
      <c r="DR28" s="228">
        <v>0.56000000000000005</v>
      </c>
      <c r="DS28" s="228">
        <v>0.03</v>
      </c>
      <c r="DT28" s="229">
        <v>5.3600000000000002E-2</v>
      </c>
      <c r="DU28" s="231">
        <v>1600</v>
      </c>
      <c r="DV28" s="231">
        <v>1450</v>
      </c>
      <c r="DW28" s="228">
        <v>0.32</v>
      </c>
      <c r="DX28" s="228">
        <v>0.22</v>
      </c>
      <c r="DY28" s="228">
        <v>0.1</v>
      </c>
      <c r="DZ28" s="229">
        <v>0.45450000000000002</v>
      </c>
      <c r="EA28" s="229">
        <v>5.8799999999999998E-2</v>
      </c>
      <c r="EB28" s="230">
        <v>256425</v>
      </c>
      <c r="EC28" s="229">
        <v>5.1000000000000004E-3</v>
      </c>
      <c r="ED28" s="229">
        <v>5.8799999999999998E-2</v>
      </c>
      <c r="EE28" s="228">
        <v>6.71</v>
      </c>
      <c r="EF28" s="229">
        <v>4.4000000000000003E-3</v>
      </c>
      <c r="EG28" s="230">
        <v>534084</v>
      </c>
      <c r="EH28" s="230">
        <v>272380</v>
      </c>
      <c r="EI28" s="229">
        <v>0.96079999999999999</v>
      </c>
      <c r="EJ28" s="229">
        <v>0.42259999999999998</v>
      </c>
      <c r="EK28" s="228">
        <v>637.98</v>
      </c>
      <c r="EL28" s="228">
        <v>190.8</v>
      </c>
      <c r="EM28" s="228">
        <v>143.16999999999999</v>
      </c>
      <c r="EN28" s="228">
        <v>35.93</v>
      </c>
      <c r="EO28" s="228">
        <v>971.94</v>
      </c>
      <c r="EP28" s="228">
        <v>825.68</v>
      </c>
      <c r="EQ28" s="228">
        <v>146.27000000000001</v>
      </c>
      <c r="ER28" s="229">
        <v>0.17710000000000001</v>
      </c>
      <c r="ES28" s="228">
        <v>543.69000000000005</v>
      </c>
      <c r="ET28" s="228">
        <v>296.47000000000003</v>
      </c>
      <c r="EU28" s="228">
        <v>692.54</v>
      </c>
      <c r="EV28" s="231">
        <v>13786716</v>
      </c>
      <c r="EW28" s="231">
        <v>1532.7</v>
      </c>
      <c r="EX28" s="231">
        <v>1562.31</v>
      </c>
      <c r="EY28" s="228">
        <v>-29.61</v>
      </c>
      <c r="EZ28" s="229">
        <v>-1.9E-2</v>
      </c>
      <c r="FA28" s="229">
        <v>0.7117</v>
      </c>
      <c r="FB28" s="227" t="s">
        <v>556</v>
      </c>
      <c r="FC28">
        <f t="shared" si="0"/>
        <v>40</v>
      </c>
    </row>
    <row r="29" spans="1:159" s="195" customFormat="1" ht="17.25" thickBot="1" x14ac:dyDescent="0.3">
      <c r="A29" s="226">
        <v>45940</v>
      </c>
      <c r="B29" s="227" t="s">
        <v>184</v>
      </c>
      <c r="C29" s="227" t="s">
        <v>185</v>
      </c>
      <c r="D29" s="228">
        <v>2850</v>
      </c>
      <c r="E29" s="228">
        <v>18</v>
      </c>
      <c r="F29" s="228">
        <v>414.95</v>
      </c>
      <c r="G29" s="228">
        <v>411.65</v>
      </c>
      <c r="H29" s="228">
        <v>3.3</v>
      </c>
      <c r="I29" s="229">
        <v>8.0000000000000002E-3</v>
      </c>
      <c r="J29" s="228">
        <v>413.5</v>
      </c>
      <c r="K29" s="228">
        <v>409.35</v>
      </c>
      <c r="L29" s="228">
        <v>4.1500000000000004</v>
      </c>
      <c r="M29" s="229">
        <v>1.01E-2</v>
      </c>
      <c r="N29" s="228">
        <v>414.95</v>
      </c>
      <c r="O29" s="228">
        <v>411.65</v>
      </c>
      <c r="P29" s="228">
        <v>3.3</v>
      </c>
      <c r="Q29" s="229">
        <v>8.0000000000000002E-3</v>
      </c>
      <c r="R29" s="228">
        <v>417.5</v>
      </c>
      <c r="S29" s="228">
        <v>413.65</v>
      </c>
      <c r="T29" s="228">
        <v>3.85</v>
      </c>
      <c r="U29" s="229">
        <v>9.2999999999999992E-3</v>
      </c>
      <c r="V29" s="228">
        <v>419.8</v>
      </c>
      <c r="W29" s="228">
        <v>416.2</v>
      </c>
      <c r="X29" s="228">
        <v>3.6</v>
      </c>
      <c r="Y29" s="229">
        <v>8.6E-3</v>
      </c>
      <c r="Z29" s="228">
        <v>1.45</v>
      </c>
      <c r="AA29" s="228">
        <v>2.2999999999999998</v>
      </c>
      <c r="AB29" s="228">
        <v>-0.85</v>
      </c>
      <c r="AC29" s="229">
        <v>3.5000000000000001E-3</v>
      </c>
      <c r="AD29" s="228">
        <v>1.45</v>
      </c>
      <c r="AE29" s="228">
        <v>2.2999999999999998</v>
      </c>
      <c r="AF29" s="228">
        <v>-0.85</v>
      </c>
      <c r="AG29" s="229">
        <v>3.5000000000000001E-3</v>
      </c>
      <c r="AH29" s="228">
        <v>4</v>
      </c>
      <c r="AI29" s="228">
        <v>4.3</v>
      </c>
      <c r="AJ29" s="228">
        <v>-0.3</v>
      </c>
      <c r="AK29" s="229">
        <v>9.7000000000000003E-3</v>
      </c>
      <c r="AL29" s="228">
        <v>6.3</v>
      </c>
      <c r="AM29" s="228">
        <v>6.85</v>
      </c>
      <c r="AN29" s="228">
        <v>-0.55000000000000004</v>
      </c>
      <c r="AO29" s="229">
        <v>1.52E-2</v>
      </c>
      <c r="AP29" s="228">
        <v>415.66</v>
      </c>
      <c r="AQ29" s="228">
        <v>417.96</v>
      </c>
      <c r="AR29" s="228">
        <v>0</v>
      </c>
      <c r="AS29" s="230">
        <v>1092</v>
      </c>
      <c r="AT29" s="228">
        <v>831</v>
      </c>
      <c r="AU29" s="228">
        <v>261</v>
      </c>
      <c r="AV29" s="229">
        <v>0.3145</v>
      </c>
      <c r="AW29" s="228">
        <v>964</v>
      </c>
      <c r="AX29" s="228">
        <v>715</v>
      </c>
      <c r="AY29" s="228">
        <v>249</v>
      </c>
      <c r="AZ29" s="229">
        <v>0.34849999999999998</v>
      </c>
      <c r="BA29" s="228">
        <v>103</v>
      </c>
      <c r="BB29" s="228">
        <v>100</v>
      </c>
      <c r="BC29" s="228">
        <v>2</v>
      </c>
      <c r="BD29" s="229">
        <v>2.4799999999999999E-2</v>
      </c>
      <c r="BE29" s="228">
        <v>25</v>
      </c>
      <c r="BF29" s="228">
        <v>16</v>
      </c>
      <c r="BG29" s="228">
        <v>10</v>
      </c>
      <c r="BH29" s="229">
        <v>0.61650000000000005</v>
      </c>
      <c r="BI29" s="230">
        <v>4191</v>
      </c>
      <c r="BJ29" s="230">
        <v>3010</v>
      </c>
      <c r="BK29" s="230">
        <v>1181</v>
      </c>
      <c r="BL29" s="229">
        <v>0.39229999999999998</v>
      </c>
      <c r="BM29" s="230">
        <v>2033</v>
      </c>
      <c r="BN29" s="230">
        <v>1507</v>
      </c>
      <c r="BO29" s="228">
        <v>526</v>
      </c>
      <c r="BP29" s="229">
        <v>0.34899999999999998</v>
      </c>
      <c r="BQ29" s="230">
        <v>7316</v>
      </c>
      <c r="BR29" s="230">
        <v>5348</v>
      </c>
      <c r="BS29" s="230">
        <v>1968</v>
      </c>
      <c r="BT29" s="229">
        <v>0.36799999999999999</v>
      </c>
      <c r="BU29" s="230">
        <v>14753237</v>
      </c>
      <c r="BV29" s="230">
        <v>10034475</v>
      </c>
      <c r="BW29" s="230">
        <v>4718762</v>
      </c>
      <c r="BX29" s="229">
        <v>0.4703</v>
      </c>
      <c r="BY29" s="230">
        <v>4535</v>
      </c>
      <c r="BZ29" s="230">
        <v>4588</v>
      </c>
      <c r="CA29" s="228">
        <v>-53</v>
      </c>
      <c r="CB29" s="229">
        <v>-1.17E-2</v>
      </c>
      <c r="CC29" s="230">
        <v>4236</v>
      </c>
      <c r="CD29" s="230">
        <v>4304</v>
      </c>
      <c r="CE29" s="228">
        <v>-69</v>
      </c>
      <c r="CF29" s="229">
        <v>-1.6E-2</v>
      </c>
      <c r="CG29" s="228">
        <v>251</v>
      </c>
      <c r="CH29" s="228">
        <v>243</v>
      </c>
      <c r="CI29" s="228">
        <v>8</v>
      </c>
      <c r="CJ29" s="229">
        <v>3.3599999999999998E-2</v>
      </c>
      <c r="CK29" s="228">
        <v>48</v>
      </c>
      <c r="CL29" s="228">
        <v>41</v>
      </c>
      <c r="CM29" s="228">
        <v>7</v>
      </c>
      <c r="CN29" s="229">
        <v>0.17580000000000001</v>
      </c>
      <c r="CO29" s="230">
        <v>2568</v>
      </c>
      <c r="CP29" s="230">
        <v>2558</v>
      </c>
      <c r="CQ29" s="228">
        <v>10</v>
      </c>
      <c r="CR29" s="229">
        <v>3.8E-3</v>
      </c>
      <c r="CS29" s="230">
        <v>1633</v>
      </c>
      <c r="CT29" s="230">
        <v>1641</v>
      </c>
      <c r="CU29" s="228">
        <v>-8</v>
      </c>
      <c r="CV29" s="229">
        <v>-4.7999999999999996E-3</v>
      </c>
      <c r="CW29" s="230">
        <v>8735</v>
      </c>
      <c r="CX29" s="230">
        <v>8787</v>
      </c>
      <c r="CY29" s="228">
        <v>-52</v>
      </c>
      <c r="CZ29" s="229">
        <v>-5.8999999999999999E-3</v>
      </c>
      <c r="DA29" s="228">
        <v>22.49</v>
      </c>
      <c r="DB29" s="228">
        <v>23.22</v>
      </c>
      <c r="DC29" s="228">
        <v>-0.73</v>
      </c>
      <c r="DD29" s="228">
        <v>-0.73</v>
      </c>
      <c r="DE29" s="228">
        <v>37.869999999999997</v>
      </c>
      <c r="DF29" s="228">
        <v>37.94</v>
      </c>
      <c r="DG29" s="228">
        <v>-15.38</v>
      </c>
      <c r="DH29" s="228">
        <v>-7.0000000000000007E-2</v>
      </c>
      <c r="DI29" s="228">
        <v>22.62</v>
      </c>
      <c r="DJ29" s="228">
        <v>23.15</v>
      </c>
      <c r="DK29" s="228">
        <v>-0.53</v>
      </c>
      <c r="DL29" s="228">
        <v>-0.53</v>
      </c>
      <c r="DM29" s="228">
        <v>22.22</v>
      </c>
      <c r="DN29" s="228">
        <v>23.35</v>
      </c>
      <c r="DO29" s="228">
        <v>-1.1299999999999999</v>
      </c>
      <c r="DP29" s="228">
        <v>-1.1299999999999999</v>
      </c>
      <c r="DQ29" s="228">
        <v>0.64</v>
      </c>
      <c r="DR29" s="228">
        <v>0.64</v>
      </c>
      <c r="DS29" s="228">
        <v>0</v>
      </c>
      <c r="DT29" s="229">
        <v>0</v>
      </c>
      <c r="DU29" s="228">
        <v>420</v>
      </c>
      <c r="DV29" s="228">
        <v>410</v>
      </c>
      <c r="DW29" s="228">
        <v>0.49</v>
      </c>
      <c r="DX29" s="228">
        <v>0.5</v>
      </c>
      <c r="DY29" s="228">
        <v>-0.01</v>
      </c>
      <c r="DZ29" s="229">
        <v>-0.02</v>
      </c>
      <c r="EA29" s="229">
        <v>6.6000000000000003E-2</v>
      </c>
      <c r="EB29" s="230">
        <v>6837150</v>
      </c>
      <c r="EC29" s="229">
        <v>6.1000000000000004E-3</v>
      </c>
      <c r="ED29" s="229">
        <v>6.6000000000000003E-2</v>
      </c>
      <c r="EE29" s="228">
        <v>2.2999999999999998</v>
      </c>
      <c r="EF29" s="229">
        <v>5.4999999999999997E-3</v>
      </c>
      <c r="EG29" s="230">
        <v>7764795</v>
      </c>
      <c r="EH29" s="230">
        <v>5362559</v>
      </c>
      <c r="EI29" s="229">
        <v>0.44800000000000001</v>
      </c>
      <c r="EJ29" s="229">
        <v>0.52629999999999999</v>
      </c>
      <c r="EK29" s="231">
        <v>4330.74</v>
      </c>
      <c r="EL29" s="231">
        <v>2003.49</v>
      </c>
      <c r="EM29" s="231">
        <v>1094.52</v>
      </c>
      <c r="EN29" s="228">
        <v>74.08</v>
      </c>
      <c r="EO29" s="231">
        <v>7428.75</v>
      </c>
      <c r="EP29" s="231">
        <v>5364.36</v>
      </c>
      <c r="EQ29" s="231">
        <v>2064.39</v>
      </c>
      <c r="ER29" s="229">
        <v>0.38479999999999998</v>
      </c>
      <c r="ES29" s="231">
        <v>2630.44</v>
      </c>
      <c r="ET29" s="231">
        <v>1561.53</v>
      </c>
      <c r="EU29" s="231">
        <v>4536.8100000000004</v>
      </c>
      <c r="EV29" s="231">
        <v>535778534</v>
      </c>
      <c r="EW29" s="231">
        <v>8728.7800000000007</v>
      </c>
      <c r="EX29" s="231">
        <v>8734.09</v>
      </c>
      <c r="EY29" s="228">
        <v>-5.31</v>
      </c>
      <c r="EZ29" s="229">
        <v>-5.9999999999999995E-4</v>
      </c>
      <c r="FA29" s="229">
        <v>0.39290000000000003</v>
      </c>
      <c r="FB29" s="227" t="s">
        <v>556</v>
      </c>
      <c r="FC29" s="195">
        <f t="shared" si="0"/>
        <v>299</v>
      </c>
    </row>
    <row r="30" spans="1:159" ht="17.25" thickBot="1" x14ac:dyDescent="0.3">
      <c r="A30" s="226">
        <v>45940</v>
      </c>
      <c r="B30" s="227" t="s">
        <v>162</v>
      </c>
      <c r="C30" s="227" t="s">
        <v>187</v>
      </c>
      <c r="D30" s="228">
        <v>500</v>
      </c>
      <c r="E30" s="228">
        <v>18</v>
      </c>
      <c r="F30" s="231">
        <v>1214.8</v>
      </c>
      <c r="G30" s="231">
        <v>1206.4000000000001</v>
      </c>
      <c r="H30" s="228">
        <v>8.4</v>
      </c>
      <c r="I30" s="229">
        <v>7.0000000000000001E-3</v>
      </c>
      <c r="J30" s="231">
        <v>1220</v>
      </c>
      <c r="K30" s="231">
        <v>1209.3</v>
      </c>
      <c r="L30" s="228">
        <v>10.7</v>
      </c>
      <c r="M30" s="229">
        <v>8.8000000000000005E-3</v>
      </c>
      <c r="N30" s="231">
        <v>1214.8</v>
      </c>
      <c r="O30" s="231">
        <v>1206.4000000000001</v>
      </c>
      <c r="P30" s="228">
        <v>8.4</v>
      </c>
      <c r="Q30" s="229">
        <v>7.0000000000000001E-3</v>
      </c>
      <c r="R30" s="231">
        <v>1213.2</v>
      </c>
      <c r="S30" s="231">
        <v>1204.3</v>
      </c>
      <c r="T30" s="228">
        <v>8.9</v>
      </c>
      <c r="U30" s="229">
        <v>7.4000000000000003E-3</v>
      </c>
      <c r="V30" s="231">
        <v>1207</v>
      </c>
      <c r="W30" s="231">
        <v>1204.2</v>
      </c>
      <c r="X30" s="228">
        <v>2.8</v>
      </c>
      <c r="Y30" s="229">
        <v>2.3E-3</v>
      </c>
      <c r="Z30" s="228">
        <v>-5.2</v>
      </c>
      <c r="AA30" s="228">
        <v>-2.9</v>
      </c>
      <c r="AB30" s="228">
        <v>-2.2999999999999998</v>
      </c>
      <c r="AC30" s="229">
        <v>-4.3E-3</v>
      </c>
      <c r="AD30" s="228">
        <v>-5.2</v>
      </c>
      <c r="AE30" s="228">
        <v>-2.9</v>
      </c>
      <c r="AF30" s="228">
        <v>-2.2999999999999998</v>
      </c>
      <c r="AG30" s="229">
        <v>-4.3E-3</v>
      </c>
      <c r="AH30" s="228">
        <v>-6.8</v>
      </c>
      <c r="AI30" s="228">
        <v>-5</v>
      </c>
      <c r="AJ30" s="228">
        <v>-1.8</v>
      </c>
      <c r="AK30" s="229">
        <v>-5.5999999999999999E-3</v>
      </c>
      <c r="AL30" s="228">
        <v>-13</v>
      </c>
      <c r="AM30" s="228">
        <v>-5.0999999999999996</v>
      </c>
      <c r="AN30" s="228">
        <v>-7.9</v>
      </c>
      <c r="AO30" s="229">
        <v>-1.0699999999999999E-2</v>
      </c>
      <c r="AP30" s="231">
        <v>1215.83</v>
      </c>
      <c r="AQ30" s="231">
        <v>1212.3599999999999</v>
      </c>
      <c r="AR30" s="228">
        <v>0</v>
      </c>
      <c r="AS30" s="228">
        <v>183</v>
      </c>
      <c r="AT30" s="228">
        <v>219</v>
      </c>
      <c r="AU30" s="228">
        <v>-36</v>
      </c>
      <c r="AV30" s="229">
        <v>-0.1636</v>
      </c>
      <c r="AW30" s="228">
        <v>163</v>
      </c>
      <c r="AX30" s="228">
        <v>203</v>
      </c>
      <c r="AY30" s="228">
        <v>-41</v>
      </c>
      <c r="AZ30" s="229">
        <v>-0.1993</v>
      </c>
      <c r="BA30" s="228">
        <v>19</v>
      </c>
      <c r="BB30" s="228">
        <v>13</v>
      </c>
      <c r="BC30" s="228">
        <v>7</v>
      </c>
      <c r="BD30" s="229">
        <v>0.53369999999999995</v>
      </c>
      <c r="BE30" s="228">
        <v>1</v>
      </c>
      <c r="BF30" s="228">
        <v>3</v>
      </c>
      <c r="BG30" s="228">
        <v>-2</v>
      </c>
      <c r="BH30" s="229">
        <v>-0.71740000000000004</v>
      </c>
      <c r="BI30" s="228">
        <v>400</v>
      </c>
      <c r="BJ30" s="228">
        <v>335</v>
      </c>
      <c r="BK30" s="228">
        <v>65</v>
      </c>
      <c r="BL30" s="229">
        <v>0.19370000000000001</v>
      </c>
      <c r="BM30" s="228">
        <v>140</v>
      </c>
      <c r="BN30" s="228">
        <v>144</v>
      </c>
      <c r="BO30" s="228">
        <v>-4</v>
      </c>
      <c r="BP30" s="229">
        <v>-2.6200000000000001E-2</v>
      </c>
      <c r="BQ30" s="228">
        <v>723</v>
      </c>
      <c r="BR30" s="228">
        <v>698</v>
      </c>
      <c r="BS30" s="228">
        <v>25</v>
      </c>
      <c r="BT30" s="229">
        <v>3.6400000000000002E-2</v>
      </c>
      <c r="BU30" s="230">
        <v>435241</v>
      </c>
      <c r="BV30" s="230">
        <v>485835</v>
      </c>
      <c r="BW30" s="230">
        <v>-50594</v>
      </c>
      <c r="BX30" s="229">
        <v>-0.1041</v>
      </c>
      <c r="BY30" s="230">
        <v>1343</v>
      </c>
      <c r="BZ30" s="230">
        <v>1324</v>
      </c>
      <c r="CA30" s="228">
        <v>19</v>
      </c>
      <c r="CB30" s="229">
        <v>1.4E-2</v>
      </c>
      <c r="CC30" s="230">
        <v>1285</v>
      </c>
      <c r="CD30" s="230">
        <v>1275</v>
      </c>
      <c r="CE30" s="228">
        <v>10</v>
      </c>
      <c r="CF30" s="229">
        <v>7.7000000000000002E-3</v>
      </c>
      <c r="CG30" s="228">
        <v>52</v>
      </c>
      <c r="CH30" s="228">
        <v>44</v>
      </c>
      <c r="CI30" s="228">
        <v>8</v>
      </c>
      <c r="CJ30" s="229">
        <v>0.18640000000000001</v>
      </c>
      <c r="CK30" s="228">
        <v>6</v>
      </c>
      <c r="CL30" s="228">
        <v>5</v>
      </c>
      <c r="CM30" s="228">
        <v>1</v>
      </c>
      <c r="CN30" s="229">
        <v>0.10589999999999999</v>
      </c>
      <c r="CO30" s="228">
        <v>397</v>
      </c>
      <c r="CP30" s="228">
        <v>392</v>
      </c>
      <c r="CQ30" s="228">
        <v>5</v>
      </c>
      <c r="CR30" s="229">
        <v>1.24E-2</v>
      </c>
      <c r="CS30" s="228">
        <v>255</v>
      </c>
      <c r="CT30" s="228">
        <v>264</v>
      </c>
      <c r="CU30" s="228">
        <v>-9</v>
      </c>
      <c r="CV30" s="229">
        <v>-3.2899999999999999E-2</v>
      </c>
      <c r="CW30" s="230">
        <v>1995</v>
      </c>
      <c r="CX30" s="230">
        <v>1980</v>
      </c>
      <c r="CY30" s="228">
        <v>15</v>
      </c>
      <c r="CZ30" s="229">
        <v>7.4000000000000003E-3</v>
      </c>
      <c r="DA30" s="228">
        <v>28.12</v>
      </c>
      <c r="DB30" s="228">
        <v>28.27</v>
      </c>
      <c r="DC30" s="228">
        <v>-0.15</v>
      </c>
      <c r="DD30" s="228">
        <v>-0.15</v>
      </c>
      <c r="DE30" s="228">
        <v>38.65</v>
      </c>
      <c r="DF30" s="228">
        <v>38.729999999999997</v>
      </c>
      <c r="DG30" s="228">
        <v>-10.53</v>
      </c>
      <c r="DH30" s="228">
        <v>-0.08</v>
      </c>
      <c r="DI30" s="228">
        <v>28.07</v>
      </c>
      <c r="DJ30" s="228">
        <v>28.17</v>
      </c>
      <c r="DK30" s="228">
        <v>-0.1</v>
      </c>
      <c r="DL30" s="228">
        <v>-0.1</v>
      </c>
      <c r="DM30" s="228">
        <v>28.25</v>
      </c>
      <c r="DN30" s="228">
        <v>28.5</v>
      </c>
      <c r="DO30" s="228">
        <v>-0.25</v>
      </c>
      <c r="DP30" s="228">
        <v>-0.25</v>
      </c>
      <c r="DQ30" s="228">
        <v>0.64</v>
      </c>
      <c r="DR30" s="228">
        <v>0.67</v>
      </c>
      <c r="DS30" s="228">
        <v>-0.03</v>
      </c>
      <c r="DT30" s="229">
        <v>-4.48E-2</v>
      </c>
      <c r="DU30" s="231">
        <v>1220</v>
      </c>
      <c r="DV30" s="231">
        <v>1200</v>
      </c>
      <c r="DW30" s="228">
        <v>0.35</v>
      </c>
      <c r="DX30" s="228">
        <v>0.43</v>
      </c>
      <c r="DY30" s="228">
        <v>-0.08</v>
      </c>
      <c r="DZ30" s="229">
        <v>-0.186</v>
      </c>
      <c r="EA30" s="229">
        <v>4.2799999999999998E-2</v>
      </c>
      <c r="EB30" s="230">
        <v>402000</v>
      </c>
      <c r="EC30" s="229">
        <v>-1.2999999999999999E-3</v>
      </c>
      <c r="ED30" s="229">
        <v>4.2799999999999998E-2</v>
      </c>
      <c r="EE30" s="228">
        <v>-3.47</v>
      </c>
      <c r="EF30" s="229">
        <v>-2.8999999999999998E-3</v>
      </c>
      <c r="EG30" s="230">
        <v>215037</v>
      </c>
      <c r="EH30" s="230">
        <v>146866</v>
      </c>
      <c r="EI30" s="229">
        <v>0.4642</v>
      </c>
      <c r="EJ30" s="229">
        <v>0.49409999999999998</v>
      </c>
      <c r="EK30" s="228">
        <v>419.5</v>
      </c>
      <c r="EL30" s="228">
        <v>137.94999999999999</v>
      </c>
      <c r="EM30" s="228">
        <v>182.98</v>
      </c>
      <c r="EN30" s="228">
        <v>37.659999999999997</v>
      </c>
      <c r="EO30" s="228">
        <v>740.44</v>
      </c>
      <c r="EP30" s="228">
        <v>702.7</v>
      </c>
      <c r="EQ30" s="228">
        <v>37.729999999999997</v>
      </c>
      <c r="ER30" s="229">
        <v>5.3699999999999998E-2</v>
      </c>
      <c r="ES30" s="228">
        <v>411.99</v>
      </c>
      <c r="ET30" s="228">
        <v>248.95</v>
      </c>
      <c r="EU30" s="231">
        <v>1342.55</v>
      </c>
      <c r="EV30" s="231">
        <v>35155737</v>
      </c>
      <c r="EW30" s="231">
        <v>2003.49</v>
      </c>
      <c r="EX30" s="231">
        <v>1978.53</v>
      </c>
      <c r="EY30" s="228">
        <v>24.96</v>
      </c>
      <c r="EZ30" s="229">
        <v>1.26E-2</v>
      </c>
      <c r="FA30" s="229">
        <v>0.4672</v>
      </c>
      <c r="FB30" s="227" t="s">
        <v>555</v>
      </c>
      <c r="FC30">
        <f t="shared" si="0"/>
        <v>58</v>
      </c>
    </row>
    <row r="31" spans="1:159" ht="17.25" thickBot="1" x14ac:dyDescent="0.3">
      <c r="A31" s="226">
        <v>45940</v>
      </c>
      <c r="B31" s="227" t="s">
        <v>188</v>
      </c>
      <c r="C31" s="227" t="s">
        <v>189</v>
      </c>
      <c r="D31" s="228">
        <v>475</v>
      </c>
      <c r="E31" s="228">
        <v>18</v>
      </c>
      <c r="F31" s="231">
        <v>1950.5</v>
      </c>
      <c r="G31" s="231">
        <v>1948.7</v>
      </c>
      <c r="H31" s="228">
        <v>1.8</v>
      </c>
      <c r="I31" s="229">
        <v>8.9999999999999998E-4</v>
      </c>
      <c r="J31" s="231">
        <v>1939.9</v>
      </c>
      <c r="K31" s="231">
        <v>1942</v>
      </c>
      <c r="L31" s="228">
        <v>-2.1</v>
      </c>
      <c r="M31" s="229">
        <v>-1.1000000000000001E-3</v>
      </c>
      <c r="N31" s="231">
        <v>1950.5</v>
      </c>
      <c r="O31" s="231">
        <v>1948.7</v>
      </c>
      <c r="P31" s="228">
        <v>1.8</v>
      </c>
      <c r="Q31" s="229">
        <v>8.9999999999999998E-4</v>
      </c>
      <c r="R31" s="231">
        <v>1961.2</v>
      </c>
      <c r="S31" s="231">
        <v>1960.2</v>
      </c>
      <c r="T31" s="228">
        <v>1</v>
      </c>
      <c r="U31" s="229">
        <v>5.0000000000000001E-4</v>
      </c>
      <c r="V31" s="231">
        <v>1971.3</v>
      </c>
      <c r="W31" s="231">
        <v>1970</v>
      </c>
      <c r="X31" s="228">
        <v>1.3</v>
      </c>
      <c r="Y31" s="229">
        <v>6.9999999999999999E-4</v>
      </c>
      <c r="Z31" s="228">
        <v>10.6</v>
      </c>
      <c r="AA31" s="228">
        <v>6.7</v>
      </c>
      <c r="AB31" s="228">
        <v>3.9</v>
      </c>
      <c r="AC31" s="229">
        <v>5.4999999999999997E-3</v>
      </c>
      <c r="AD31" s="228">
        <v>10.6</v>
      </c>
      <c r="AE31" s="228">
        <v>6.7</v>
      </c>
      <c r="AF31" s="228">
        <v>3.9</v>
      </c>
      <c r="AG31" s="229">
        <v>5.4999999999999997E-3</v>
      </c>
      <c r="AH31" s="228">
        <v>21.3</v>
      </c>
      <c r="AI31" s="228">
        <v>18.2</v>
      </c>
      <c r="AJ31" s="228">
        <v>3.1</v>
      </c>
      <c r="AK31" s="229">
        <v>1.0999999999999999E-2</v>
      </c>
      <c r="AL31" s="228">
        <v>31.4</v>
      </c>
      <c r="AM31" s="228">
        <v>28</v>
      </c>
      <c r="AN31" s="228">
        <v>3.4</v>
      </c>
      <c r="AO31" s="229">
        <v>1.6199999999999999E-2</v>
      </c>
      <c r="AP31" s="231">
        <v>1951.05</v>
      </c>
      <c r="AQ31" s="231">
        <v>1961.69</v>
      </c>
      <c r="AR31" s="228">
        <v>0</v>
      </c>
      <c r="AS31" s="228">
        <v>848</v>
      </c>
      <c r="AT31" s="228">
        <v>802</v>
      </c>
      <c r="AU31" s="228">
        <v>46</v>
      </c>
      <c r="AV31" s="229">
        <v>5.7299999999999997E-2</v>
      </c>
      <c r="AW31" s="228">
        <v>628</v>
      </c>
      <c r="AX31" s="228">
        <v>759</v>
      </c>
      <c r="AY31" s="228">
        <v>-131</v>
      </c>
      <c r="AZ31" s="229">
        <v>-0.17299999999999999</v>
      </c>
      <c r="BA31" s="228">
        <v>51</v>
      </c>
      <c r="BB31" s="228">
        <v>40</v>
      </c>
      <c r="BC31" s="228">
        <v>11</v>
      </c>
      <c r="BD31" s="229">
        <v>0.26619999999999999</v>
      </c>
      <c r="BE31" s="228">
        <v>170</v>
      </c>
      <c r="BF31" s="228">
        <v>3</v>
      </c>
      <c r="BG31" s="228">
        <v>167</v>
      </c>
      <c r="BH31" s="229">
        <v>56.218800000000002</v>
      </c>
      <c r="BI31" s="230">
        <v>2153</v>
      </c>
      <c r="BJ31" s="230">
        <v>3523</v>
      </c>
      <c r="BK31" s="230">
        <v>-1370</v>
      </c>
      <c r="BL31" s="229">
        <v>-0.38879999999999998</v>
      </c>
      <c r="BM31" s="230">
        <v>1098</v>
      </c>
      <c r="BN31" s="230">
        <v>1828</v>
      </c>
      <c r="BO31" s="228">
        <v>-730</v>
      </c>
      <c r="BP31" s="229">
        <v>-0.39950000000000002</v>
      </c>
      <c r="BQ31" s="230">
        <v>4099</v>
      </c>
      <c r="BR31" s="230">
        <v>6153</v>
      </c>
      <c r="BS31" s="230">
        <v>-2054</v>
      </c>
      <c r="BT31" s="229">
        <v>-0.33379999999999999</v>
      </c>
      <c r="BU31" s="230">
        <v>2589697</v>
      </c>
      <c r="BV31" s="230">
        <v>4352327</v>
      </c>
      <c r="BW31" s="230">
        <v>-1762630</v>
      </c>
      <c r="BX31" s="229">
        <v>-0.40500000000000003</v>
      </c>
      <c r="BY31" s="230">
        <v>9712</v>
      </c>
      <c r="BZ31" s="230">
        <v>9578</v>
      </c>
      <c r="CA31" s="228">
        <v>134</v>
      </c>
      <c r="CB31" s="229">
        <v>1.4E-2</v>
      </c>
      <c r="CC31" s="230">
        <v>9103</v>
      </c>
      <c r="CD31" s="230">
        <v>9152</v>
      </c>
      <c r="CE31" s="228">
        <v>-49</v>
      </c>
      <c r="CF31" s="229">
        <v>-5.4000000000000003E-3</v>
      </c>
      <c r="CG31" s="228">
        <v>117</v>
      </c>
      <c r="CH31" s="228">
        <v>97</v>
      </c>
      <c r="CI31" s="228">
        <v>20</v>
      </c>
      <c r="CJ31" s="229">
        <v>0.20569999999999999</v>
      </c>
      <c r="CK31" s="228">
        <v>492</v>
      </c>
      <c r="CL31" s="228">
        <v>328</v>
      </c>
      <c r="CM31" s="228">
        <v>163</v>
      </c>
      <c r="CN31" s="229">
        <v>0.49719999999999998</v>
      </c>
      <c r="CO31" s="230">
        <v>2489</v>
      </c>
      <c r="CP31" s="230">
        <v>2194</v>
      </c>
      <c r="CQ31" s="228">
        <v>295</v>
      </c>
      <c r="CR31" s="229">
        <v>0.13450000000000001</v>
      </c>
      <c r="CS31" s="230">
        <v>1189</v>
      </c>
      <c r="CT31" s="230">
        <v>1149</v>
      </c>
      <c r="CU31" s="228">
        <v>40</v>
      </c>
      <c r="CV31" s="229">
        <v>3.4599999999999999E-2</v>
      </c>
      <c r="CW31" s="230">
        <v>13390</v>
      </c>
      <c r="CX31" s="230">
        <v>12921</v>
      </c>
      <c r="CY31" s="228">
        <v>469</v>
      </c>
      <c r="CZ31" s="229">
        <v>3.6299999999999999E-2</v>
      </c>
      <c r="DA31" s="228">
        <v>14.25</v>
      </c>
      <c r="DB31" s="228">
        <v>15.07</v>
      </c>
      <c r="DC31" s="228">
        <v>-0.82</v>
      </c>
      <c r="DD31" s="228">
        <v>-0.82</v>
      </c>
      <c r="DE31" s="228">
        <v>24.76</v>
      </c>
      <c r="DF31" s="228">
        <v>24.82</v>
      </c>
      <c r="DG31" s="228">
        <v>-10.51</v>
      </c>
      <c r="DH31" s="228">
        <v>-0.06</v>
      </c>
      <c r="DI31" s="228">
        <v>13.93</v>
      </c>
      <c r="DJ31" s="228">
        <v>14.82</v>
      </c>
      <c r="DK31" s="228">
        <v>-0.89</v>
      </c>
      <c r="DL31" s="228">
        <v>-0.89</v>
      </c>
      <c r="DM31" s="228">
        <v>14.88</v>
      </c>
      <c r="DN31" s="228">
        <v>15.55</v>
      </c>
      <c r="DO31" s="228">
        <v>-0.67</v>
      </c>
      <c r="DP31" s="228">
        <v>-0.67</v>
      </c>
      <c r="DQ31" s="228">
        <v>0.48</v>
      </c>
      <c r="DR31" s="228">
        <v>0.52</v>
      </c>
      <c r="DS31" s="228">
        <v>-0.04</v>
      </c>
      <c r="DT31" s="229">
        <v>-7.6899999999999996E-2</v>
      </c>
      <c r="DU31" s="231">
        <v>1960</v>
      </c>
      <c r="DV31" s="231">
        <v>1900</v>
      </c>
      <c r="DW31" s="228">
        <v>0.51</v>
      </c>
      <c r="DX31" s="228">
        <v>0.52</v>
      </c>
      <c r="DY31" s="228">
        <v>-0.01</v>
      </c>
      <c r="DZ31" s="229">
        <v>-1.9199999999999998E-2</v>
      </c>
      <c r="EA31" s="229">
        <v>6.2700000000000006E-2</v>
      </c>
      <c r="EB31" s="230">
        <v>2182150</v>
      </c>
      <c r="EC31" s="229">
        <v>5.4999999999999997E-3</v>
      </c>
      <c r="ED31" s="229">
        <v>6.2700000000000006E-2</v>
      </c>
      <c r="EE31" s="228">
        <v>10.64</v>
      </c>
      <c r="EF31" s="229">
        <v>5.4999999999999997E-3</v>
      </c>
      <c r="EG31" s="230">
        <v>1725638</v>
      </c>
      <c r="EH31" s="230">
        <v>2480893</v>
      </c>
      <c r="EI31" s="229">
        <v>-0.3044</v>
      </c>
      <c r="EJ31" s="229">
        <v>0.6663</v>
      </c>
      <c r="EK31" s="231">
        <v>2200.3000000000002</v>
      </c>
      <c r="EL31" s="231">
        <v>1088.53</v>
      </c>
      <c r="EM31" s="228">
        <v>850.85</v>
      </c>
      <c r="EN31" s="228">
        <v>121.91</v>
      </c>
      <c r="EO31" s="231">
        <v>4139.68</v>
      </c>
      <c r="EP31" s="231">
        <v>6221.01</v>
      </c>
      <c r="EQ31" s="231">
        <v>-2081.33</v>
      </c>
      <c r="ER31" s="229">
        <v>-0.33460000000000001</v>
      </c>
      <c r="ES31" s="231">
        <v>2519.52</v>
      </c>
      <c r="ET31" s="231">
        <v>1145.45</v>
      </c>
      <c r="EU31" s="231">
        <v>9717.51</v>
      </c>
      <c r="EV31" s="231">
        <v>314058656</v>
      </c>
      <c r="EW31" s="231">
        <v>13382.48</v>
      </c>
      <c r="EX31" s="231">
        <v>12900.73</v>
      </c>
      <c r="EY31" s="228">
        <v>481.75</v>
      </c>
      <c r="EZ31" s="229">
        <v>3.73E-2</v>
      </c>
      <c r="FA31" s="229">
        <v>0.21859999999999999</v>
      </c>
      <c r="FB31" s="227" t="s">
        <v>555</v>
      </c>
      <c r="FC31">
        <f t="shared" si="0"/>
        <v>609</v>
      </c>
    </row>
    <row r="32" spans="1:159" ht="17.25" thickBot="1" x14ac:dyDescent="0.3">
      <c r="A32" s="226">
        <v>45940</v>
      </c>
      <c r="B32" s="227" t="s">
        <v>184</v>
      </c>
      <c r="C32" s="227" t="s">
        <v>190</v>
      </c>
      <c r="D32" s="228">
        <v>2625</v>
      </c>
      <c r="E32" s="228">
        <v>18</v>
      </c>
      <c r="F32" s="228">
        <v>240.26</v>
      </c>
      <c r="G32" s="228">
        <v>240.47</v>
      </c>
      <c r="H32" s="228">
        <v>-0.21</v>
      </c>
      <c r="I32" s="229">
        <v>-8.9999999999999998E-4</v>
      </c>
      <c r="J32" s="228">
        <v>239.64</v>
      </c>
      <c r="K32" s="228">
        <v>239.04</v>
      </c>
      <c r="L32" s="228">
        <v>0.6</v>
      </c>
      <c r="M32" s="229">
        <v>2.5000000000000001E-3</v>
      </c>
      <c r="N32" s="228">
        <v>240.26</v>
      </c>
      <c r="O32" s="228">
        <v>240.47</v>
      </c>
      <c r="P32" s="228">
        <v>-0.21</v>
      </c>
      <c r="Q32" s="229">
        <v>-8.9999999999999998E-4</v>
      </c>
      <c r="R32" s="228">
        <v>241.86</v>
      </c>
      <c r="S32" s="228">
        <v>241.87</v>
      </c>
      <c r="T32" s="228">
        <v>-0.01</v>
      </c>
      <c r="U32" s="229">
        <v>0</v>
      </c>
      <c r="V32" s="228">
        <v>243.04</v>
      </c>
      <c r="W32" s="228">
        <v>243.28</v>
      </c>
      <c r="X32" s="228">
        <v>-0.24</v>
      </c>
      <c r="Y32" s="229">
        <v>-1E-3</v>
      </c>
      <c r="Z32" s="228">
        <v>0.62</v>
      </c>
      <c r="AA32" s="228">
        <v>1.43</v>
      </c>
      <c r="AB32" s="228">
        <v>-0.81</v>
      </c>
      <c r="AC32" s="229">
        <v>2.5999999999999999E-3</v>
      </c>
      <c r="AD32" s="228">
        <v>0.62</v>
      </c>
      <c r="AE32" s="228">
        <v>1.43</v>
      </c>
      <c r="AF32" s="228">
        <v>-0.81</v>
      </c>
      <c r="AG32" s="229">
        <v>2.5999999999999999E-3</v>
      </c>
      <c r="AH32" s="228">
        <v>2.2200000000000002</v>
      </c>
      <c r="AI32" s="228">
        <v>2.83</v>
      </c>
      <c r="AJ32" s="228">
        <v>-0.61</v>
      </c>
      <c r="AK32" s="229">
        <v>9.2999999999999992E-3</v>
      </c>
      <c r="AL32" s="228">
        <v>3.4</v>
      </c>
      <c r="AM32" s="228">
        <v>4.24</v>
      </c>
      <c r="AN32" s="228">
        <v>-0.84</v>
      </c>
      <c r="AO32" s="229">
        <v>1.4200000000000001E-2</v>
      </c>
      <c r="AP32" s="228">
        <v>241.75</v>
      </c>
      <c r="AQ32" s="228">
        <v>243.19</v>
      </c>
      <c r="AR32" s="228">
        <v>0</v>
      </c>
      <c r="AS32" s="228">
        <v>247</v>
      </c>
      <c r="AT32" s="228">
        <v>197</v>
      </c>
      <c r="AU32" s="228">
        <v>50</v>
      </c>
      <c r="AV32" s="229">
        <v>0.254</v>
      </c>
      <c r="AW32" s="228">
        <v>234</v>
      </c>
      <c r="AX32" s="228">
        <v>187</v>
      </c>
      <c r="AY32" s="228">
        <v>47</v>
      </c>
      <c r="AZ32" s="229">
        <v>0.24970000000000001</v>
      </c>
      <c r="BA32" s="228">
        <v>11</v>
      </c>
      <c r="BB32" s="228">
        <v>8</v>
      </c>
      <c r="BC32" s="228">
        <v>3</v>
      </c>
      <c r="BD32" s="229">
        <v>0.38100000000000001</v>
      </c>
      <c r="BE32" s="228">
        <v>1</v>
      </c>
      <c r="BF32" s="228">
        <v>1</v>
      </c>
      <c r="BG32" s="228">
        <v>0</v>
      </c>
      <c r="BH32" s="229">
        <v>0.1</v>
      </c>
      <c r="BI32" s="228">
        <v>560</v>
      </c>
      <c r="BJ32" s="228">
        <v>391</v>
      </c>
      <c r="BK32" s="228">
        <v>170</v>
      </c>
      <c r="BL32" s="229">
        <v>0.43480000000000002</v>
      </c>
      <c r="BM32" s="228">
        <v>305</v>
      </c>
      <c r="BN32" s="228">
        <v>201</v>
      </c>
      <c r="BO32" s="228">
        <v>104</v>
      </c>
      <c r="BP32" s="229">
        <v>0.51839999999999997</v>
      </c>
      <c r="BQ32" s="230">
        <v>1112</v>
      </c>
      <c r="BR32" s="228">
        <v>788</v>
      </c>
      <c r="BS32" s="228">
        <v>324</v>
      </c>
      <c r="BT32" s="229">
        <v>0.41099999999999998</v>
      </c>
      <c r="BU32" s="230">
        <v>7260553</v>
      </c>
      <c r="BV32" s="230">
        <v>4484864</v>
      </c>
      <c r="BW32" s="230">
        <v>2775689</v>
      </c>
      <c r="BX32" s="229">
        <v>0.61890000000000001</v>
      </c>
      <c r="BY32" s="230">
        <v>1381</v>
      </c>
      <c r="BZ32" s="230">
        <v>1396</v>
      </c>
      <c r="CA32" s="228">
        <v>-14</v>
      </c>
      <c r="CB32" s="229">
        <v>-1.03E-2</v>
      </c>
      <c r="CC32" s="230">
        <v>1335</v>
      </c>
      <c r="CD32" s="230">
        <v>1352</v>
      </c>
      <c r="CE32" s="228">
        <v>-18</v>
      </c>
      <c r="CF32" s="229">
        <v>-1.2999999999999999E-2</v>
      </c>
      <c r="CG32" s="228">
        <v>40</v>
      </c>
      <c r="CH32" s="228">
        <v>38</v>
      </c>
      <c r="CI32" s="228">
        <v>3</v>
      </c>
      <c r="CJ32" s="229">
        <v>6.7100000000000007E-2</v>
      </c>
      <c r="CK32" s="228">
        <v>6</v>
      </c>
      <c r="CL32" s="228">
        <v>6</v>
      </c>
      <c r="CM32" s="228">
        <v>1</v>
      </c>
      <c r="CN32" s="229">
        <v>9.5699999999999993E-2</v>
      </c>
      <c r="CO32" s="228">
        <v>514</v>
      </c>
      <c r="CP32" s="228">
        <v>503</v>
      </c>
      <c r="CQ32" s="228">
        <v>11</v>
      </c>
      <c r="CR32" s="229">
        <v>2.2100000000000002E-2</v>
      </c>
      <c r="CS32" s="228">
        <v>361</v>
      </c>
      <c r="CT32" s="228">
        <v>352</v>
      </c>
      <c r="CU32" s="228">
        <v>9</v>
      </c>
      <c r="CV32" s="229">
        <v>2.6499999999999999E-2</v>
      </c>
      <c r="CW32" s="230">
        <v>2257</v>
      </c>
      <c r="CX32" s="230">
        <v>2251</v>
      </c>
      <c r="CY32" s="228">
        <v>6</v>
      </c>
      <c r="CZ32" s="229">
        <v>2.7000000000000001E-3</v>
      </c>
      <c r="DA32" s="228">
        <v>27.9</v>
      </c>
      <c r="DB32" s="228">
        <v>28.74</v>
      </c>
      <c r="DC32" s="228">
        <v>-0.84</v>
      </c>
      <c r="DD32" s="228">
        <v>-0.84</v>
      </c>
      <c r="DE32" s="228">
        <v>46.12</v>
      </c>
      <c r="DF32" s="228">
        <v>46.24</v>
      </c>
      <c r="DG32" s="228">
        <v>-18.22</v>
      </c>
      <c r="DH32" s="228">
        <v>-0.12</v>
      </c>
      <c r="DI32" s="228">
        <v>28.16</v>
      </c>
      <c r="DJ32" s="228">
        <v>28.92</v>
      </c>
      <c r="DK32" s="228">
        <v>-0.76</v>
      </c>
      <c r="DL32" s="228">
        <v>-0.76</v>
      </c>
      <c r="DM32" s="228">
        <v>27.42</v>
      </c>
      <c r="DN32" s="228">
        <v>28.41</v>
      </c>
      <c r="DO32" s="228">
        <v>-0.99</v>
      </c>
      <c r="DP32" s="228">
        <v>-0.99</v>
      </c>
      <c r="DQ32" s="228">
        <v>0.7</v>
      </c>
      <c r="DR32" s="228">
        <v>0.7</v>
      </c>
      <c r="DS32" s="228">
        <v>0</v>
      </c>
      <c r="DT32" s="229">
        <v>0</v>
      </c>
      <c r="DU32" s="228">
        <v>250</v>
      </c>
      <c r="DV32" s="228">
        <v>240</v>
      </c>
      <c r="DW32" s="228">
        <v>0.54</v>
      </c>
      <c r="DX32" s="228">
        <v>0.51</v>
      </c>
      <c r="DY32" s="228">
        <v>0.03</v>
      </c>
      <c r="DZ32" s="229">
        <v>5.8799999999999998E-2</v>
      </c>
      <c r="EA32" s="229">
        <v>3.3700000000000001E-2</v>
      </c>
      <c r="EB32" s="230">
        <v>1811250</v>
      </c>
      <c r="EC32" s="229">
        <v>6.7000000000000002E-3</v>
      </c>
      <c r="ED32" s="229">
        <v>3.3700000000000001E-2</v>
      </c>
      <c r="EE32" s="228">
        <v>1.44</v>
      </c>
      <c r="EF32" s="229">
        <v>6.0000000000000001E-3</v>
      </c>
      <c r="EG32" s="230">
        <v>3535256</v>
      </c>
      <c r="EH32" s="230">
        <v>2175230</v>
      </c>
      <c r="EI32" s="229">
        <v>0.62519999999999998</v>
      </c>
      <c r="EJ32" s="229">
        <v>0.4869</v>
      </c>
      <c r="EK32" s="228">
        <v>586.03</v>
      </c>
      <c r="EL32" s="228">
        <v>309.08</v>
      </c>
      <c r="EM32" s="228">
        <v>248.21</v>
      </c>
      <c r="EN32" s="228">
        <v>37.54</v>
      </c>
      <c r="EO32" s="231">
        <v>1143.33</v>
      </c>
      <c r="EP32" s="228">
        <v>807.87</v>
      </c>
      <c r="EQ32" s="228">
        <v>335.46</v>
      </c>
      <c r="ER32" s="229">
        <v>0.41520000000000001</v>
      </c>
      <c r="ES32" s="228">
        <v>533.45000000000005</v>
      </c>
      <c r="ET32" s="228">
        <v>354.35</v>
      </c>
      <c r="EU32" s="231">
        <v>1381.79</v>
      </c>
      <c r="EV32" s="231">
        <v>169029877</v>
      </c>
      <c r="EW32" s="231">
        <v>2269.59</v>
      </c>
      <c r="EX32" s="231">
        <v>2264.54</v>
      </c>
      <c r="EY32" s="228">
        <v>5.05</v>
      </c>
      <c r="EZ32" s="229">
        <v>2.2000000000000001E-3</v>
      </c>
      <c r="FA32" s="229">
        <v>0.55569999999999997</v>
      </c>
      <c r="FB32" s="227" t="s">
        <v>568</v>
      </c>
      <c r="FC32">
        <f t="shared" si="0"/>
        <v>46</v>
      </c>
    </row>
    <row r="33" spans="1:159" ht="17.25" thickBot="1" x14ac:dyDescent="0.3">
      <c r="A33" s="226">
        <v>45940</v>
      </c>
      <c r="B33" s="227" t="s">
        <v>170</v>
      </c>
      <c r="C33" s="227" t="s">
        <v>191</v>
      </c>
      <c r="D33" s="228">
        <v>2500</v>
      </c>
      <c r="E33" s="228">
        <v>18</v>
      </c>
      <c r="F33" s="228">
        <v>354.7</v>
      </c>
      <c r="G33" s="228">
        <v>354.25</v>
      </c>
      <c r="H33" s="228">
        <v>0.45</v>
      </c>
      <c r="I33" s="229">
        <v>1.2999999999999999E-3</v>
      </c>
      <c r="J33" s="228">
        <v>353.45</v>
      </c>
      <c r="K33" s="228">
        <v>352.5</v>
      </c>
      <c r="L33" s="228">
        <v>0.95</v>
      </c>
      <c r="M33" s="229">
        <v>2.7000000000000001E-3</v>
      </c>
      <c r="N33" s="228">
        <v>354.7</v>
      </c>
      <c r="O33" s="228">
        <v>354.25</v>
      </c>
      <c r="P33" s="228">
        <v>0.45</v>
      </c>
      <c r="Q33" s="229">
        <v>1.2999999999999999E-3</v>
      </c>
      <c r="R33" s="228">
        <v>356.8</v>
      </c>
      <c r="S33" s="228">
        <v>356.2</v>
      </c>
      <c r="T33" s="228">
        <v>0.6</v>
      </c>
      <c r="U33" s="229">
        <v>1.6999999999999999E-3</v>
      </c>
      <c r="V33" s="228">
        <v>361</v>
      </c>
      <c r="W33" s="228">
        <v>358.2</v>
      </c>
      <c r="X33" s="228">
        <v>2.8</v>
      </c>
      <c r="Y33" s="229">
        <v>7.7999999999999996E-3</v>
      </c>
      <c r="Z33" s="228">
        <v>1.25</v>
      </c>
      <c r="AA33" s="228">
        <v>1.75</v>
      </c>
      <c r="AB33" s="228">
        <v>-0.5</v>
      </c>
      <c r="AC33" s="229">
        <v>3.5000000000000001E-3</v>
      </c>
      <c r="AD33" s="228">
        <v>1.25</v>
      </c>
      <c r="AE33" s="228">
        <v>1.75</v>
      </c>
      <c r="AF33" s="228">
        <v>-0.5</v>
      </c>
      <c r="AG33" s="229">
        <v>3.5000000000000001E-3</v>
      </c>
      <c r="AH33" s="228">
        <v>3.35</v>
      </c>
      <c r="AI33" s="228">
        <v>3.7</v>
      </c>
      <c r="AJ33" s="228">
        <v>-0.35</v>
      </c>
      <c r="AK33" s="229">
        <v>9.4999999999999998E-3</v>
      </c>
      <c r="AL33" s="228">
        <v>7.55</v>
      </c>
      <c r="AM33" s="228">
        <v>5.7</v>
      </c>
      <c r="AN33" s="228">
        <v>1.85</v>
      </c>
      <c r="AO33" s="229">
        <v>2.1399999999999999E-2</v>
      </c>
      <c r="AP33" s="228">
        <v>355.38</v>
      </c>
      <c r="AQ33" s="228">
        <v>357.89</v>
      </c>
      <c r="AR33" s="228">
        <v>0</v>
      </c>
      <c r="AS33" s="228">
        <v>379</v>
      </c>
      <c r="AT33" s="228">
        <v>216</v>
      </c>
      <c r="AU33" s="228">
        <v>162</v>
      </c>
      <c r="AV33" s="229">
        <v>0.74929999999999997</v>
      </c>
      <c r="AW33" s="228">
        <v>332</v>
      </c>
      <c r="AX33" s="228">
        <v>203</v>
      </c>
      <c r="AY33" s="228">
        <v>129</v>
      </c>
      <c r="AZ33" s="229">
        <v>0.63239999999999996</v>
      </c>
      <c r="BA33" s="228">
        <v>44</v>
      </c>
      <c r="BB33" s="228">
        <v>11</v>
      </c>
      <c r="BC33" s="228">
        <v>33</v>
      </c>
      <c r="BD33" s="229">
        <v>3.0488</v>
      </c>
      <c r="BE33" s="228">
        <v>3</v>
      </c>
      <c r="BF33" s="228">
        <v>2</v>
      </c>
      <c r="BG33" s="228">
        <v>0</v>
      </c>
      <c r="BH33" s="229">
        <v>0.16</v>
      </c>
      <c r="BI33" s="230">
        <v>1222</v>
      </c>
      <c r="BJ33" s="228">
        <v>684</v>
      </c>
      <c r="BK33" s="228">
        <v>538</v>
      </c>
      <c r="BL33" s="229">
        <v>0.78559999999999997</v>
      </c>
      <c r="BM33" s="228">
        <v>482</v>
      </c>
      <c r="BN33" s="228">
        <v>225</v>
      </c>
      <c r="BO33" s="228">
        <v>256</v>
      </c>
      <c r="BP33" s="229">
        <v>1.1369</v>
      </c>
      <c r="BQ33" s="230">
        <v>2082</v>
      </c>
      <c r="BR33" s="230">
        <v>1126</v>
      </c>
      <c r="BS33" s="228">
        <v>956</v>
      </c>
      <c r="BT33" s="229">
        <v>0.84889999999999999</v>
      </c>
      <c r="BU33" s="230">
        <v>2169278</v>
      </c>
      <c r="BV33" s="230">
        <v>2714503</v>
      </c>
      <c r="BW33" s="230">
        <v>-545225</v>
      </c>
      <c r="BX33" s="229">
        <v>-0.2009</v>
      </c>
      <c r="BY33" s="230">
        <v>1501</v>
      </c>
      <c r="BZ33" s="230">
        <v>1463</v>
      </c>
      <c r="CA33" s="228">
        <v>37</v>
      </c>
      <c r="CB33" s="229">
        <v>2.5399999999999999E-2</v>
      </c>
      <c r="CC33" s="230">
        <v>1442</v>
      </c>
      <c r="CD33" s="230">
        <v>1421</v>
      </c>
      <c r="CE33" s="228">
        <v>20</v>
      </c>
      <c r="CF33" s="229">
        <v>1.44E-2</v>
      </c>
      <c r="CG33" s="228">
        <v>54</v>
      </c>
      <c r="CH33" s="228">
        <v>38</v>
      </c>
      <c r="CI33" s="228">
        <v>16</v>
      </c>
      <c r="CJ33" s="229">
        <v>0.42130000000000001</v>
      </c>
      <c r="CK33" s="228">
        <v>4</v>
      </c>
      <c r="CL33" s="228">
        <v>4</v>
      </c>
      <c r="CM33" s="228">
        <v>1</v>
      </c>
      <c r="CN33" s="229">
        <v>0.16669999999999999</v>
      </c>
      <c r="CO33" s="228">
        <v>539</v>
      </c>
      <c r="CP33" s="228">
        <v>517</v>
      </c>
      <c r="CQ33" s="228">
        <v>22</v>
      </c>
      <c r="CR33" s="229">
        <v>4.3400000000000001E-2</v>
      </c>
      <c r="CS33" s="228">
        <v>342</v>
      </c>
      <c r="CT33" s="228">
        <v>324</v>
      </c>
      <c r="CU33" s="228">
        <v>18</v>
      </c>
      <c r="CV33" s="229">
        <v>5.4699999999999999E-2</v>
      </c>
      <c r="CW33" s="230">
        <v>2381</v>
      </c>
      <c r="CX33" s="230">
        <v>2304</v>
      </c>
      <c r="CY33" s="228">
        <v>77</v>
      </c>
      <c r="CZ33" s="229">
        <v>3.3599999999999998E-2</v>
      </c>
      <c r="DA33" s="228">
        <v>25.5</v>
      </c>
      <c r="DB33" s="228">
        <v>25.64</v>
      </c>
      <c r="DC33" s="228">
        <v>-0.14000000000000001</v>
      </c>
      <c r="DD33" s="228">
        <v>-0.14000000000000001</v>
      </c>
      <c r="DE33" s="228">
        <v>39.54</v>
      </c>
      <c r="DF33" s="228">
        <v>39.64</v>
      </c>
      <c r="DG33" s="228">
        <v>-14.04</v>
      </c>
      <c r="DH33" s="228">
        <v>-0.1</v>
      </c>
      <c r="DI33" s="228">
        <v>25.37</v>
      </c>
      <c r="DJ33" s="228">
        <v>25.38</v>
      </c>
      <c r="DK33" s="228">
        <v>-0.01</v>
      </c>
      <c r="DL33" s="228">
        <v>-0.01</v>
      </c>
      <c r="DM33" s="228">
        <v>25.8</v>
      </c>
      <c r="DN33" s="228">
        <v>26.44</v>
      </c>
      <c r="DO33" s="228">
        <v>-0.64</v>
      </c>
      <c r="DP33" s="228">
        <v>-0.64</v>
      </c>
      <c r="DQ33" s="228">
        <v>0.63</v>
      </c>
      <c r="DR33" s="228">
        <v>0.63</v>
      </c>
      <c r="DS33" s="228">
        <v>0</v>
      </c>
      <c r="DT33" s="229">
        <v>0</v>
      </c>
      <c r="DU33" s="228">
        <v>360</v>
      </c>
      <c r="DV33" s="228">
        <v>350</v>
      </c>
      <c r="DW33" s="228">
        <v>0.39</v>
      </c>
      <c r="DX33" s="228">
        <v>0.33</v>
      </c>
      <c r="DY33" s="228">
        <v>0.06</v>
      </c>
      <c r="DZ33" s="229">
        <v>0.18179999999999999</v>
      </c>
      <c r="EA33" s="229">
        <v>3.9199999999999999E-2</v>
      </c>
      <c r="EB33" s="230">
        <v>1185000</v>
      </c>
      <c r="EC33" s="229">
        <v>5.8999999999999999E-3</v>
      </c>
      <c r="ED33" s="229">
        <v>3.9199999999999999E-2</v>
      </c>
      <c r="EE33" s="228">
        <v>2.5099999999999998</v>
      </c>
      <c r="EF33" s="229">
        <v>7.1000000000000004E-3</v>
      </c>
      <c r="EG33" s="230">
        <v>811755</v>
      </c>
      <c r="EH33" s="230">
        <v>1160301</v>
      </c>
      <c r="EI33" s="229">
        <v>-0.3004</v>
      </c>
      <c r="EJ33" s="229">
        <v>0.37419999999999998</v>
      </c>
      <c r="EK33" s="231">
        <v>1270.8599999999999</v>
      </c>
      <c r="EL33" s="228">
        <v>480.18</v>
      </c>
      <c r="EM33" s="228">
        <v>379.72</v>
      </c>
      <c r="EN33" s="228">
        <v>21.39</v>
      </c>
      <c r="EO33" s="231">
        <v>2130.7600000000002</v>
      </c>
      <c r="EP33" s="231">
        <v>1148.08</v>
      </c>
      <c r="EQ33" s="228">
        <v>982.69</v>
      </c>
      <c r="ER33" s="229">
        <v>0.85589999999999999</v>
      </c>
      <c r="ES33" s="228">
        <v>562.79</v>
      </c>
      <c r="ET33" s="228">
        <v>329.36</v>
      </c>
      <c r="EU33" s="231">
        <v>1501.05</v>
      </c>
      <c r="EV33" s="231">
        <v>90981174</v>
      </c>
      <c r="EW33" s="231">
        <v>2393.1999999999998</v>
      </c>
      <c r="EX33" s="231">
        <v>2313.19</v>
      </c>
      <c r="EY33" s="228">
        <v>80.010000000000005</v>
      </c>
      <c r="EZ33" s="229">
        <v>3.4599999999999999E-2</v>
      </c>
      <c r="FA33" s="229">
        <v>0.7379</v>
      </c>
      <c r="FB33" s="227" t="s">
        <v>555</v>
      </c>
      <c r="FC33">
        <f t="shared" si="0"/>
        <v>59</v>
      </c>
    </row>
    <row r="34" spans="1:159" ht="17.25" thickBot="1" x14ac:dyDescent="0.3">
      <c r="A34" s="226">
        <v>45940</v>
      </c>
      <c r="B34" s="227" t="s">
        <v>184</v>
      </c>
      <c r="C34" s="227" t="s">
        <v>681</v>
      </c>
      <c r="D34" s="228">
        <v>325</v>
      </c>
      <c r="E34" s="228">
        <v>18</v>
      </c>
      <c r="F34" s="231">
        <v>1958</v>
      </c>
      <c r="G34" s="231">
        <v>1899</v>
      </c>
      <c r="H34" s="228">
        <v>59</v>
      </c>
      <c r="I34" s="229">
        <v>3.1099999999999999E-2</v>
      </c>
      <c r="J34" s="231">
        <v>1949.1</v>
      </c>
      <c r="K34" s="231">
        <v>1892.3</v>
      </c>
      <c r="L34" s="228">
        <v>56.8</v>
      </c>
      <c r="M34" s="229">
        <v>0.03</v>
      </c>
      <c r="N34" s="231">
        <v>1958</v>
      </c>
      <c r="O34" s="231">
        <v>1899</v>
      </c>
      <c r="P34" s="228">
        <v>59</v>
      </c>
      <c r="Q34" s="229">
        <v>3.1099999999999999E-2</v>
      </c>
      <c r="R34" s="231">
        <v>1957.6</v>
      </c>
      <c r="S34" s="231">
        <v>1891.6</v>
      </c>
      <c r="T34" s="228">
        <v>66</v>
      </c>
      <c r="U34" s="229">
        <v>3.49E-2</v>
      </c>
      <c r="V34" s="231">
        <v>1930.1</v>
      </c>
      <c r="W34" s="231">
        <v>1887</v>
      </c>
      <c r="X34" s="228">
        <v>43.1</v>
      </c>
      <c r="Y34" s="229">
        <v>2.2800000000000001E-2</v>
      </c>
      <c r="Z34" s="228">
        <v>8.9</v>
      </c>
      <c r="AA34" s="228">
        <v>6.7</v>
      </c>
      <c r="AB34" s="228">
        <v>2.2000000000000002</v>
      </c>
      <c r="AC34" s="229">
        <v>4.5999999999999999E-3</v>
      </c>
      <c r="AD34" s="228">
        <v>8.9</v>
      </c>
      <c r="AE34" s="228">
        <v>6.7</v>
      </c>
      <c r="AF34" s="228">
        <v>2.2000000000000002</v>
      </c>
      <c r="AG34" s="229">
        <v>4.5999999999999999E-3</v>
      </c>
      <c r="AH34" s="228">
        <v>8.5</v>
      </c>
      <c r="AI34" s="228">
        <v>-0.7</v>
      </c>
      <c r="AJ34" s="228">
        <v>9.1999999999999993</v>
      </c>
      <c r="AK34" s="229">
        <v>4.4000000000000003E-3</v>
      </c>
      <c r="AL34" s="228">
        <v>-19</v>
      </c>
      <c r="AM34" s="228">
        <v>-5.3</v>
      </c>
      <c r="AN34" s="228">
        <v>-13.7</v>
      </c>
      <c r="AO34" s="229">
        <v>-9.7000000000000003E-3</v>
      </c>
      <c r="AP34" s="231">
        <v>1948.18</v>
      </c>
      <c r="AQ34" s="231">
        <v>1943.61</v>
      </c>
      <c r="AR34" s="228">
        <v>0</v>
      </c>
      <c r="AS34" s="228">
        <v>237</v>
      </c>
      <c r="AT34" s="228">
        <v>67</v>
      </c>
      <c r="AU34" s="228">
        <v>171</v>
      </c>
      <c r="AV34" s="229">
        <v>2.5630999999999999</v>
      </c>
      <c r="AW34" s="228">
        <v>229</v>
      </c>
      <c r="AX34" s="228">
        <v>63</v>
      </c>
      <c r="AY34" s="228">
        <v>167</v>
      </c>
      <c r="AZ34" s="229">
        <v>2.6684000000000001</v>
      </c>
      <c r="BA34" s="228">
        <v>8</v>
      </c>
      <c r="BB34" s="228">
        <v>4</v>
      </c>
      <c r="BC34" s="228">
        <v>4</v>
      </c>
      <c r="BD34" s="229">
        <v>0.88890000000000002</v>
      </c>
      <c r="BE34" s="228">
        <v>0</v>
      </c>
      <c r="BF34" s="228">
        <v>0</v>
      </c>
      <c r="BG34" s="228">
        <v>0</v>
      </c>
      <c r="BH34" s="229">
        <v>0</v>
      </c>
      <c r="BI34" s="228">
        <v>670</v>
      </c>
      <c r="BJ34" s="228">
        <v>51</v>
      </c>
      <c r="BK34" s="228">
        <v>619</v>
      </c>
      <c r="BL34" s="229">
        <v>12.061999999999999</v>
      </c>
      <c r="BM34" s="228">
        <v>194</v>
      </c>
      <c r="BN34" s="228">
        <v>23</v>
      </c>
      <c r="BO34" s="228">
        <v>171</v>
      </c>
      <c r="BP34" s="229">
        <v>7.5027999999999997</v>
      </c>
      <c r="BQ34" s="230">
        <v>1101</v>
      </c>
      <c r="BR34" s="228">
        <v>141</v>
      </c>
      <c r="BS34" s="228">
        <v>960</v>
      </c>
      <c r="BT34" s="229">
        <v>6.8276000000000003</v>
      </c>
      <c r="BU34" s="230">
        <v>1163805</v>
      </c>
      <c r="BV34" s="230">
        <v>308119</v>
      </c>
      <c r="BW34" s="230">
        <v>855686</v>
      </c>
      <c r="BX34" s="229">
        <v>2.7770999999999999</v>
      </c>
      <c r="BY34" s="228">
        <v>365</v>
      </c>
      <c r="BZ34" s="228">
        <v>369</v>
      </c>
      <c r="CA34" s="228">
        <v>-5</v>
      </c>
      <c r="CB34" s="229">
        <v>-1.2200000000000001E-2</v>
      </c>
      <c r="CC34" s="228">
        <v>356</v>
      </c>
      <c r="CD34" s="228">
        <v>362</v>
      </c>
      <c r="CE34" s="228">
        <v>-6</v>
      </c>
      <c r="CF34" s="229">
        <v>-1.6299999999999999E-2</v>
      </c>
      <c r="CG34" s="228">
        <v>7</v>
      </c>
      <c r="CH34" s="228">
        <v>6</v>
      </c>
      <c r="CI34" s="228">
        <v>1</v>
      </c>
      <c r="CJ34" s="229">
        <v>0.2316</v>
      </c>
      <c r="CK34" s="228">
        <v>1</v>
      </c>
      <c r="CL34" s="228">
        <v>1</v>
      </c>
      <c r="CM34" s="228">
        <v>0</v>
      </c>
      <c r="CN34" s="229">
        <v>0</v>
      </c>
      <c r="CO34" s="228">
        <v>97</v>
      </c>
      <c r="CP34" s="228">
        <v>71</v>
      </c>
      <c r="CQ34" s="228">
        <v>26</v>
      </c>
      <c r="CR34" s="229">
        <v>0.37509999999999999</v>
      </c>
      <c r="CS34" s="228">
        <v>60</v>
      </c>
      <c r="CT34" s="228">
        <v>51</v>
      </c>
      <c r="CU34" s="228">
        <v>9</v>
      </c>
      <c r="CV34" s="229">
        <v>0.17829999999999999</v>
      </c>
      <c r="CW34" s="228">
        <v>522</v>
      </c>
      <c r="CX34" s="228">
        <v>491</v>
      </c>
      <c r="CY34" s="228">
        <v>31</v>
      </c>
      <c r="CZ34" s="229">
        <v>6.3299999999999995E-2</v>
      </c>
      <c r="DA34" s="228">
        <v>28.27</v>
      </c>
      <c r="DB34" s="228">
        <v>27.31</v>
      </c>
      <c r="DC34" s="228">
        <v>0.96</v>
      </c>
      <c r="DD34" s="228">
        <v>0.96</v>
      </c>
      <c r="DE34" s="228">
        <v>42.18</v>
      </c>
      <c r="DF34" s="228">
        <v>42.09</v>
      </c>
      <c r="DG34" s="228">
        <v>-13.91</v>
      </c>
      <c r="DH34" s="228">
        <v>0.09</v>
      </c>
      <c r="DI34" s="228">
        <v>28.25</v>
      </c>
      <c r="DJ34" s="228">
        <v>27.54</v>
      </c>
      <c r="DK34" s="228">
        <v>0.71</v>
      </c>
      <c r="DL34" s="228">
        <v>0.71</v>
      </c>
      <c r="DM34" s="228">
        <v>28.35</v>
      </c>
      <c r="DN34" s="228">
        <v>26.79</v>
      </c>
      <c r="DO34" s="228">
        <v>1.56</v>
      </c>
      <c r="DP34" s="228">
        <v>1.56</v>
      </c>
      <c r="DQ34" s="228">
        <v>0.62</v>
      </c>
      <c r="DR34" s="228">
        <v>0.72</v>
      </c>
      <c r="DS34" s="228">
        <v>-0.1</v>
      </c>
      <c r="DT34" s="229">
        <v>-0.1389</v>
      </c>
      <c r="DU34" s="231">
        <v>2000</v>
      </c>
      <c r="DV34" s="231">
        <v>1800</v>
      </c>
      <c r="DW34" s="228">
        <v>0.28999999999999998</v>
      </c>
      <c r="DX34" s="228">
        <v>0.44</v>
      </c>
      <c r="DY34" s="228">
        <v>-0.15</v>
      </c>
      <c r="DZ34" s="229">
        <v>-0.34089999999999998</v>
      </c>
      <c r="EA34" s="229">
        <v>2.23E-2</v>
      </c>
      <c r="EB34" s="230">
        <v>34450</v>
      </c>
      <c r="EC34" s="229">
        <v>-2.0000000000000001E-4</v>
      </c>
      <c r="ED34" s="229">
        <v>2.23E-2</v>
      </c>
      <c r="EE34" s="228">
        <v>-4.57</v>
      </c>
      <c r="EF34" s="229">
        <v>-2.3E-3</v>
      </c>
      <c r="EG34" s="230">
        <v>385265</v>
      </c>
      <c r="EH34" s="230">
        <v>160671</v>
      </c>
      <c r="EI34" s="229">
        <v>1.3978999999999999</v>
      </c>
      <c r="EJ34" s="229">
        <v>0.33100000000000002</v>
      </c>
      <c r="EK34" s="228">
        <v>692.01</v>
      </c>
      <c r="EL34" s="228">
        <v>191.78</v>
      </c>
      <c r="EM34" s="228">
        <v>235.96</v>
      </c>
      <c r="EN34" s="228">
        <v>10.23</v>
      </c>
      <c r="EO34" s="231">
        <v>1119.75</v>
      </c>
      <c r="EP34" s="228">
        <v>137.46</v>
      </c>
      <c r="EQ34" s="228">
        <v>982.29</v>
      </c>
      <c r="ER34" s="229">
        <v>7.1462000000000003</v>
      </c>
      <c r="ES34" s="228">
        <v>99.86</v>
      </c>
      <c r="ET34" s="228">
        <v>56.5</v>
      </c>
      <c r="EU34" s="228">
        <v>364.62</v>
      </c>
      <c r="EV34" s="231">
        <v>19584741</v>
      </c>
      <c r="EW34" s="228">
        <v>520.98</v>
      </c>
      <c r="EX34" s="228">
        <v>477.67</v>
      </c>
      <c r="EY34" s="228">
        <v>43.31</v>
      </c>
      <c r="EZ34" s="229">
        <v>9.0700000000000003E-2</v>
      </c>
      <c r="FA34" s="229">
        <v>0.1361</v>
      </c>
      <c r="FB34" s="227" t="s">
        <v>556</v>
      </c>
      <c r="FC34">
        <f t="shared" si="0"/>
        <v>9</v>
      </c>
    </row>
    <row r="35" spans="1:159" ht="17.25" thickBot="1" x14ac:dyDescent="0.3">
      <c r="A35" s="226">
        <v>45940</v>
      </c>
      <c r="B35" s="227" t="s">
        <v>162</v>
      </c>
      <c r="C35" s="227" t="s">
        <v>192</v>
      </c>
      <c r="D35" s="228">
        <v>25</v>
      </c>
      <c r="E35" s="228">
        <v>18</v>
      </c>
      <c r="F35" s="231">
        <v>38805</v>
      </c>
      <c r="G35" s="231">
        <v>38665</v>
      </c>
      <c r="H35" s="228">
        <v>140</v>
      </c>
      <c r="I35" s="229">
        <v>3.5999999999999999E-3</v>
      </c>
      <c r="J35" s="231">
        <v>38625</v>
      </c>
      <c r="K35" s="231">
        <v>38465</v>
      </c>
      <c r="L35" s="228">
        <v>160</v>
      </c>
      <c r="M35" s="229">
        <v>4.1999999999999997E-3</v>
      </c>
      <c r="N35" s="231">
        <v>38805</v>
      </c>
      <c r="O35" s="231">
        <v>38665</v>
      </c>
      <c r="P35" s="228">
        <v>140</v>
      </c>
      <c r="Q35" s="229">
        <v>3.5999999999999999E-3</v>
      </c>
      <c r="R35" s="231">
        <v>39000</v>
      </c>
      <c r="S35" s="231">
        <v>38860</v>
      </c>
      <c r="T35" s="228">
        <v>140</v>
      </c>
      <c r="U35" s="229">
        <v>3.5999999999999999E-3</v>
      </c>
      <c r="V35" s="228">
        <v>0</v>
      </c>
      <c r="W35" s="228">
        <v>0</v>
      </c>
      <c r="X35" s="228">
        <v>0</v>
      </c>
      <c r="Y35" s="229">
        <v>0</v>
      </c>
      <c r="Z35" s="228">
        <v>180</v>
      </c>
      <c r="AA35" s="228">
        <v>200</v>
      </c>
      <c r="AB35" s="228">
        <v>-20</v>
      </c>
      <c r="AC35" s="229">
        <v>4.7000000000000002E-3</v>
      </c>
      <c r="AD35" s="228">
        <v>180</v>
      </c>
      <c r="AE35" s="228">
        <v>200</v>
      </c>
      <c r="AF35" s="228">
        <v>-20</v>
      </c>
      <c r="AG35" s="229">
        <v>4.7000000000000002E-3</v>
      </c>
      <c r="AH35" s="228">
        <v>375</v>
      </c>
      <c r="AI35" s="228">
        <v>395</v>
      </c>
      <c r="AJ35" s="228">
        <v>-20</v>
      </c>
      <c r="AK35" s="229">
        <v>9.7000000000000003E-3</v>
      </c>
      <c r="AL35" s="228">
        <v>0</v>
      </c>
      <c r="AM35" s="228">
        <v>0</v>
      </c>
      <c r="AN35" s="228">
        <v>0</v>
      </c>
      <c r="AO35" s="229">
        <v>0</v>
      </c>
      <c r="AP35" s="231">
        <v>38943.75</v>
      </c>
      <c r="AQ35" s="231">
        <v>39177.14</v>
      </c>
      <c r="AR35" s="228">
        <v>0</v>
      </c>
      <c r="AS35" s="228">
        <v>123</v>
      </c>
      <c r="AT35" s="228">
        <v>70</v>
      </c>
      <c r="AU35" s="228">
        <v>53</v>
      </c>
      <c r="AV35" s="229">
        <v>0.75660000000000005</v>
      </c>
      <c r="AW35" s="228">
        <v>119</v>
      </c>
      <c r="AX35" s="228">
        <v>68</v>
      </c>
      <c r="AY35" s="228">
        <v>52</v>
      </c>
      <c r="AZ35" s="229">
        <v>0.76180000000000003</v>
      </c>
      <c r="BA35" s="228">
        <v>4</v>
      </c>
      <c r="BB35" s="228">
        <v>3</v>
      </c>
      <c r="BC35" s="228">
        <v>2</v>
      </c>
      <c r="BD35" s="229">
        <v>0.61539999999999995</v>
      </c>
      <c r="BE35" s="228">
        <v>0</v>
      </c>
      <c r="BF35" s="228">
        <v>0</v>
      </c>
      <c r="BG35" s="228">
        <v>0</v>
      </c>
      <c r="BH35" s="229">
        <v>0</v>
      </c>
      <c r="BI35" s="228">
        <v>285</v>
      </c>
      <c r="BJ35" s="228">
        <v>251</v>
      </c>
      <c r="BK35" s="228">
        <v>34</v>
      </c>
      <c r="BL35" s="229">
        <v>0.13489999999999999</v>
      </c>
      <c r="BM35" s="228">
        <v>83</v>
      </c>
      <c r="BN35" s="228">
        <v>255</v>
      </c>
      <c r="BO35" s="228">
        <v>-172</v>
      </c>
      <c r="BP35" s="229">
        <v>-0.67459999999999998</v>
      </c>
      <c r="BQ35" s="228">
        <v>491</v>
      </c>
      <c r="BR35" s="228">
        <v>576</v>
      </c>
      <c r="BS35" s="228">
        <v>-85</v>
      </c>
      <c r="BT35" s="229">
        <v>-0.1479</v>
      </c>
      <c r="BU35" s="230">
        <v>11444</v>
      </c>
      <c r="BV35" s="230">
        <v>17944</v>
      </c>
      <c r="BW35" s="230">
        <v>-6500</v>
      </c>
      <c r="BX35" s="229">
        <v>-0.36220000000000002</v>
      </c>
      <c r="BY35" s="228">
        <v>937</v>
      </c>
      <c r="BZ35" s="228">
        <v>922</v>
      </c>
      <c r="CA35" s="228">
        <v>16</v>
      </c>
      <c r="CB35" s="229">
        <v>1.7100000000000001E-2</v>
      </c>
      <c r="CC35" s="228">
        <v>917</v>
      </c>
      <c r="CD35" s="228">
        <v>901</v>
      </c>
      <c r="CE35" s="228">
        <v>16</v>
      </c>
      <c r="CF35" s="229">
        <v>1.72E-2</v>
      </c>
      <c r="CG35" s="228">
        <v>20</v>
      </c>
      <c r="CH35" s="228">
        <v>20</v>
      </c>
      <c r="CI35" s="228">
        <v>0</v>
      </c>
      <c r="CJ35" s="229">
        <v>9.7000000000000003E-3</v>
      </c>
      <c r="CK35" s="228">
        <v>0</v>
      </c>
      <c r="CL35" s="228">
        <v>0</v>
      </c>
      <c r="CM35" s="228">
        <v>0</v>
      </c>
      <c r="CN35" s="229">
        <v>0</v>
      </c>
      <c r="CO35" s="228">
        <v>248</v>
      </c>
      <c r="CP35" s="228">
        <v>235</v>
      </c>
      <c r="CQ35" s="228">
        <v>13</v>
      </c>
      <c r="CR35" s="229">
        <v>5.7000000000000002E-2</v>
      </c>
      <c r="CS35" s="228">
        <v>149</v>
      </c>
      <c r="CT35" s="228">
        <v>146</v>
      </c>
      <c r="CU35" s="228">
        <v>3</v>
      </c>
      <c r="CV35" s="229">
        <v>1.9199999999999998E-2</v>
      </c>
      <c r="CW35" s="230">
        <v>1335</v>
      </c>
      <c r="CX35" s="230">
        <v>1303</v>
      </c>
      <c r="CY35" s="228">
        <v>32</v>
      </c>
      <c r="CZ35" s="229">
        <v>2.4500000000000001E-2</v>
      </c>
      <c r="DA35" s="228">
        <v>19.98</v>
      </c>
      <c r="DB35" s="228">
        <v>20.46</v>
      </c>
      <c r="DC35" s="228">
        <v>-0.48</v>
      </c>
      <c r="DD35" s="228">
        <v>-0.48</v>
      </c>
      <c r="DE35" s="228">
        <v>29.08</v>
      </c>
      <c r="DF35" s="228">
        <v>29.15</v>
      </c>
      <c r="DG35" s="228">
        <v>-9.1</v>
      </c>
      <c r="DH35" s="228">
        <v>-7.0000000000000007E-2</v>
      </c>
      <c r="DI35" s="228">
        <v>20.3</v>
      </c>
      <c r="DJ35" s="228">
        <v>20.85</v>
      </c>
      <c r="DK35" s="228">
        <v>-0.55000000000000004</v>
      </c>
      <c r="DL35" s="228">
        <v>-0.55000000000000004</v>
      </c>
      <c r="DM35" s="228">
        <v>18.899999999999999</v>
      </c>
      <c r="DN35" s="228">
        <v>20.079999999999998</v>
      </c>
      <c r="DO35" s="228">
        <v>-1.18</v>
      </c>
      <c r="DP35" s="228">
        <v>-1.18</v>
      </c>
      <c r="DQ35" s="228">
        <v>0.6</v>
      </c>
      <c r="DR35" s="228">
        <v>0.62</v>
      </c>
      <c r="DS35" s="228">
        <v>-0.02</v>
      </c>
      <c r="DT35" s="229">
        <v>-3.2300000000000002E-2</v>
      </c>
      <c r="DU35" s="231">
        <v>40000</v>
      </c>
      <c r="DV35" s="231">
        <v>38000</v>
      </c>
      <c r="DW35" s="228">
        <v>0.28999999999999998</v>
      </c>
      <c r="DX35" s="228">
        <v>1.02</v>
      </c>
      <c r="DY35" s="228">
        <v>-0.73</v>
      </c>
      <c r="DZ35" s="229">
        <v>-0.7157</v>
      </c>
      <c r="EA35" s="229">
        <v>2.1600000000000001E-2</v>
      </c>
      <c r="EB35" s="230">
        <v>5175</v>
      </c>
      <c r="EC35" s="229">
        <v>5.0000000000000001E-3</v>
      </c>
      <c r="ED35" s="229">
        <v>2.1600000000000001E-2</v>
      </c>
      <c r="EE35" s="228">
        <v>233.39</v>
      </c>
      <c r="EF35" s="229">
        <v>6.0000000000000001E-3</v>
      </c>
      <c r="EG35" s="230">
        <v>4611</v>
      </c>
      <c r="EH35" s="230">
        <v>8746</v>
      </c>
      <c r="EI35" s="229">
        <v>-0.4728</v>
      </c>
      <c r="EJ35" s="229">
        <v>0.40289999999999998</v>
      </c>
      <c r="EK35" s="228">
        <v>295.61</v>
      </c>
      <c r="EL35" s="228">
        <v>82.12</v>
      </c>
      <c r="EM35" s="228">
        <v>123.67</v>
      </c>
      <c r="EN35" s="228">
        <v>9.43</v>
      </c>
      <c r="EO35" s="228">
        <v>501.41</v>
      </c>
      <c r="EP35" s="228">
        <v>588.78</v>
      </c>
      <c r="EQ35" s="228">
        <v>-87.37</v>
      </c>
      <c r="ER35" s="229">
        <v>-0.1484</v>
      </c>
      <c r="ES35" s="228">
        <v>258.87</v>
      </c>
      <c r="ET35" s="228">
        <v>144.6</v>
      </c>
      <c r="EU35" s="228">
        <v>937.34</v>
      </c>
      <c r="EV35" s="231">
        <v>982526</v>
      </c>
      <c r="EW35" s="231">
        <v>1340.81</v>
      </c>
      <c r="EX35" s="231">
        <v>1304.8599999999999</v>
      </c>
      <c r="EY35" s="228">
        <v>35.950000000000003</v>
      </c>
      <c r="EZ35" s="229">
        <v>2.76E-2</v>
      </c>
      <c r="FA35" s="229">
        <v>0.35010000000000002</v>
      </c>
      <c r="FB35" s="227" t="s">
        <v>555</v>
      </c>
      <c r="FC35">
        <f t="shared" si="0"/>
        <v>20</v>
      </c>
    </row>
    <row r="36" spans="1:159" ht="17.25" thickBot="1" x14ac:dyDescent="0.3">
      <c r="A36" s="226">
        <v>45940</v>
      </c>
      <c r="B36" s="227" t="s">
        <v>193</v>
      </c>
      <c r="C36" s="227" t="s">
        <v>194</v>
      </c>
      <c r="D36" s="228">
        <v>1975</v>
      </c>
      <c r="E36" s="228">
        <v>18</v>
      </c>
      <c r="F36" s="228">
        <v>339.95</v>
      </c>
      <c r="G36" s="228">
        <v>345.85</v>
      </c>
      <c r="H36" s="228">
        <v>-5.9</v>
      </c>
      <c r="I36" s="229">
        <v>-1.7100000000000001E-2</v>
      </c>
      <c r="J36" s="228">
        <v>338.7</v>
      </c>
      <c r="K36" s="228">
        <v>344</v>
      </c>
      <c r="L36" s="228">
        <v>-5.3</v>
      </c>
      <c r="M36" s="229">
        <v>-1.54E-2</v>
      </c>
      <c r="N36" s="228">
        <v>339.95</v>
      </c>
      <c r="O36" s="228">
        <v>345.85</v>
      </c>
      <c r="P36" s="228">
        <v>-5.9</v>
      </c>
      <c r="Q36" s="229">
        <v>-1.7100000000000001E-2</v>
      </c>
      <c r="R36" s="228">
        <v>341.45</v>
      </c>
      <c r="S36" s="228">
        <v>347.45</v>
      </c>
      <c r="T36" s="228">
        <v>-6</v>
      </c>
      <c r="U36" s="229">
        <v>-1.7299999999999999E-2</v>
      </c>
      <c r="V36" s="228">
        <v>342.8</v>
      </c>
      <c r="W36" s="228">
        <v>348.15</v>
      </c>
      <c r="X36" s="228">
        <v>-5.35</v>
      </c>
      <c r="Y36" s="229">
        <v>-1.54E-2</v>
      </c>
      <c r="Z36" s="228">
        <v>1.25</v>
      </c>
      <c r="AA36" s="228">
        <v>1.85</v>
      </c>
      <c r="AB36" s="228">
        <v>-0.6</v>
      </c>
      <c r="AC36" s="229">
        <v>3.7000000000000002E-3</v>
      </c>
      <c r="AD36" s="228">
        <v>1.25</v>
      </c>
      <c r="AE36" s="228">
        <v>1.85</v>
      </c>
      <c r="AF36" s="228">
        <v>-0.6</v>
      </c>
      <c r="AG36" s="229">
        <v>3.7000000000000002E-3</v>
      </c>
      <c r="AH36" s="228">
        <v>2.75</v>
      </c>
      <c r="AI36" s="228">
        <v>3.45</v>
      </c>
      <c r="AJ36" s="228">
        <v>-0.7</v>
      </c>
      <c r="AK36" s="229">
        <v>8.0999999999999996E-3</v>
      </c>
      <c r="AL36" s="228">
        <v>4.0999999999999996</v>
      </c>
      <c r="AM36" s="228">
        <v>4.1500000000000004</v>
      </c>
      <c r="AN36" s="228">
        <v>-0.05</v>
      </c>
      <c r="AO36" s="229">
        <v>1.21E-2</v>
      </c>
      <c r="AP36" s="228">
        <v>343.6</v>
      </c>
      <c r="AQ36" s="228">
        <v>344.56</v>
      </c>
      <c r="AR36" s="228">
        <v>0</v>
      </c>
      <c r="AS36" s="228">
        <v>232</v>
      </c>
      <c r="AT36" s="228">
        <v>243</v>
      </c>
      <c r="AU36" s="228">
        <v>-11</v>
      </c>
      <c r="AV36" s="229">
        <v>-4.3999999999999997E-2</v>
      </c>
      <c r="AW36" s="228">
        <v>217</v>
      </c>
      <c r="AX36" s="228">
        <v>226</v>
      </c>
      <c r="AY36" s="228">
        <v>-9</v>
      </c>
      <c r="AZ36" s="229">
        <v>-4.0399999999999998E-2</v>
      </c>
      <c r="BA36" s="228">
        <v>13</v>
      </c>
      <c r="BB36" s="228">
        <v>13</v>
      </c>
      <c r="BC36" s="228">
        <v>0</v>
      </c>
      <c r="BD36" s="229">
        <v>-0.01</v>
      </c>
      <c r="BE36" s="228">
        <v>2</v>
      </c>
      <c r="BF36" s="228">
        <v>3</v>
      </c>
      <c r="BG36" s="228">
        <v>-1</v>
      </c>
      <c r="BH36" s="229">
        <v>-0.42</v>
      </c>
      <c r="BI36" s="228">
        <v>538</v>
      </c>
      <c r="BJ36" s="228">
        <v>946</v>
      </c>
      <c r="BK36" s="228">
        <v>-408</v>
      </c>
      <c r="BL36" s="229">
        <v>-0.43080000000000002</v>
      </c>
      <c r="BM36" s="228">
        <v>296</v>
      </c>
      <c r="BN36" s="228">
        <v>387</v>
      </c>
      <c r="BO36" s="228">
        <v>-91</v>
      </c>
      <c r="BP36" s="229">
        <v>-0.2341</v>
      </c>
      <c r="BQ36" s="230">
        <v>1067</v>
      </c>
      <c r="BR36" s="230">
        <v>1576</v>
      </c>
      <c r="BS36" s="228">
        <v>-509</v>
      </c>
      <c r="BT36" s="229">
        <v>-0.32290000000000002</v>
      </c>
      <c r="BU36" s="230">
        <v>5832879</v>
      </c>
      <c r="BV36" s="230">
        <v>7253232</v>
      </c>
      <c r="BW36" s="230">
        <v>-1420353</v>
      </c>
      <c r="BX36" s="229">
        <v>-0.1958</v>
      </c>
      <c r="BY36" s="230">
        <v>1247</v>
      </c>
      <c r="BZ36" s="230">
        <v>1244</v>
      </c>
      <c r="CA36" s="228">
        <v>3</v>
      </c>
      <c r="CB36" s="229">
        <v>2.5999999999999999E-3</v>
      </c>
      <c r="CC36" s="230">
        <v>1223</v>
      </c>
      <c r="CD36" s="230">
        <v>1223</v>
      </c>
      <c r="CE36" s="228">
        <v>0</v>
      </c>
      <c r="CF36" s="229">
        <v>1E-4</v>
      </c>
      <c r="CG36" s="228">
        <v>20</v>
      </c>
      <c r="CH36" s="228">
        <v>18</v>
      </c>
      <c r="CI36" s="228">
        <v>2</v>
      </c>
      <c r="CJ36" s="229">
        <v>0.12690000000000001</v>
      </c>
      <c r="CK36" s="228">
        <v>4</v>
      </c>
      <c r="CL36" s="228">
        <v>3</v>
      </c>
      <c r="CM36" s="228">
        <v>1</v>
      </c>
      <c r="CN36" s="229">
        <v>0.3256</v>
      </c>
      <c r="CO36" s="228">
        <v>452</v>
      </c>
      <c r="CP36" s="228">
        <v>422</v>
      </c>
      <c r="CQ36" s="228">
        <v>30</v>
      </c>
      <c r="CR36" s="229">
        <v>7.0999999999999994E-2</v>
      </c>
      <c r="CS36" s="228">
        <v>351</v>
      </c>
      <c r="CT36" s="228">
        <v>375</v>
      </c>
      <c r="CU36" s="228">
        <v>-24</v>
      </c>
      <c r="CV36" s="229">
        <v>-6.5000000000000002E-2</v>
      </c>
      <c r="CW36" s="230">
        <v>2050</v>
      </c>
      <c r="CX36" s="230">
        <v>2041</v>
      </c>
      <c r="CY36" s="228">
        <v>9</v>
      </c>
      <c r="CZ36" s="229">
        <v>4.3E-3</v>
      </c>
      <c r="DA36" s="228">
        <v>26.56</v>
      </c>
      <c r="DB36" s="228">
        <v>26.95</v>
      </c>
      <c r="DC36" s="228">
        <v>-0.39</v>
      </c>
      <c r="DD36" s="228">
        <v>-0.39</v>
      </c>
      <c r="DE36" s="228">
        <v>33.58</v>
      </c>
      <c r="DF36" s="228">
        <v>33.58</v>
      </c>
      <c r="DG36" s="228">
        <v>-7.02</v>
      </c>
      <c r="DH36" s="228">
        <v>0</v>
      </c>
      <c r="DI36" s="228">
        <v>26.94</v>
      </c>
      <c r="DJ36" s="228">
        <v>26.99</v>
      </c>
      <c r="DK36" s="228">
        <v>-0.05</v>
      </c>
      <c r="DL36" s="228">
        <v>-0.05</v>
      </c>
      <c r="DM36" s="228">
        <v>25.87</v>
      </c>
      <c r="DN36" s="228">
        <v>26.85</v>
      </c>
      <c r="DO36" s="228">
        <v>-0.98</v>
      </c>
      <c r="DP36" s="228">
        <v>-0.98</v>
      </c>
      <c r="DQ36" s="228">
        <v>0.78</v>
      </c>
      <c r="DR36" s="228">
        <v>0.89</v>
      </c>
      <c r="DS36" s="228">
        <v>-0.11</v>
      </c>
      <c r="DT36" s="229">
        <v>-0.1236</v>
      </c>
      <c r="DU36" s="228">
        <v>350</v>
      </c>
      <c r="DV36" s="228">
        <v>335</v>
      </c>
      <c r="DW36" s="228">
        <v>0.55000000000000004</v>
      </c>
      <c r="DX36" s="228">
        <v>0.41</v>
      </c>
      <c r="DY36" s="228">
        <v>0.14000000000000001</v>
      </c>
      <c r="DZ36" s="229">
        <v>0.34150000000000003</v>
      </c>
      <c r="EA36" s="229">
        <v>1.9300000000000001E-2</v>
      </c>
      <c r="EB36" s="230">
        <v>614225</v>
      </c>
      <c r="EC36" s="229">
        <v>4.4000000000000003E-3</v>
      </c>
      <c r="ED36" s="229">
        <v>1.9300000000000001E-2</v>
      </c>
      <c r="EE36" s="228">
        <v>0.96</v>
      </c>
      <c r="EF36" s="229">
        <v>2.8E-3</v>
      </c>
      <c r="EG36" s="230">
        <v>3490654</v>
      </c>
      <c r="EH36" s="230">
        <v>3973014</v>
      </c>
      <c r="EI36" s="229">
        <v>-0.12139999999999999</v>
      </c>
      <c r="EJ36" s="229">
        <v>0.59840000000000004</v>
      </c>
      <c r="EK36" s="228">
        <v>569.02</v>
      </c>
      <c r="EL36" s="228">
        <v>299.61</v>
      </c>
      <c r="EM36" s="228">
        <v>234.71</v>
      </c>
      <c r="EN36" s="228">
        <v>41.61</v>
      </c>
      <c r="EO36" s="231">
        <v>1103.3399999999999</v>
      </c>
      <c r="EP36" s="231">
        <v>1649.63</v>
      </c>
      <c r="EQ36" s="228">
        <v>-546.29</v>
      </c>
      <c r="ER36" s="229">
        <v>-0.33119999999999999</v>
      </c>
      <c r="ES36" s="228">
        <v>471.62</v>
      </c>
      <c r="ET36" s="228">
        <v>338.38</v>
      </c>
      <c r="EU36" s="231">
        <v>1247.32</v>
      </c>
      <c r="EV36" s="231">
        <v>281577339</v>
      </c>
      <c r="EW36" s="231">
        <v>2057.31</v>
      </c>
      <c r="EX36" s="231">
        <v>2068.16</v>
      </c>
      <c r="EY36" s="228">
        <v>-10.85</v>
      </c>
      <c r="EZ36" s="229">
        <v>-5.1999999999999998E-3</v>
      </c>
      <c r="FA36" s="229">
        <v>0.21410000000000001</v>
      </c>
      <c r="FB36" s="227" t="s">
        <v>567</v>
      </c>
      <c r="FC36">
        <f t="shared" si="0"/>
        <v>24</v>
      </c>
    </row>
    <row r="37" spans="1:159" ht="17.25" thickBot="1" x14ac:dyDescent="0.3">
      <c r="A37" s="226">
        <v>45940</v>
      </c>
      <c r="B37" s="227" t="s">
        <v>168</v>
      </c>
      <c r="C37" s="227" t="s">
        <v>195</v>
      </c>
      <c r="D37" s="228">
        <v>125</v>
      </c>
      <c r="E37" s="228">
        <v>18</v>
      </c>
      <c r="F37" s="231">
        <v>5895.5</v>
      </c>
      <c r="G37" s="231">
        <v>5899.5</v>
      </c>
      <c r="H37" s="228">
        <v>-4</v>
      </c>
      <c r="I37" s="229">
        <v>-6.9999999999999999E-4</v>
      </c>
      <c r="J37" s="231">
        <v>5871.5</v>
      </c>
      <c r="K37" s="231">
        <v>5876</v>
      </c>
      <c r="L37" s="228">
        <v>-4.5</v>
      </c>
      <c r="M37" s="229">
        <v>-8.0000000000000004E-4</v>
      </c>
      <c r="N37" s="231">
        <v>5895.5</v>
      </c>
      <c r="O37" s="231">
        <v>5899.5</v>
      </c>
      <c r="P37" s="228">
        <v>-4</v>
      </c>
      <c r="Q37" s="229">
        <v>-6.9999999999999999E-4</v>
      </c>
      <c r="R37" s="231">
        <v>5922</v>
      </c>
      <c r="S37" s="231">
        <v>5923.5</v>
      </c>
      <c r="T37" s="228">
        <v>-1.5</v>
      </c>
      <c r="U37" s="229">
        <v>-2.9999999999999997E-4</v>
      </c>
      <c r="V37" s="231">
        <v>5948</v>
      </c>
      <c r="W37" s="231">
        <v>5960.5</v>
      </c>
      <c r="X37" s="228">
        <v>-12.5</v>
      </c>
      <c r="Y37" s="229">
        <v>-2.0999999999999999E-3</v>
      </c>
      <c r="Z37" s="228">
        <v>24</v>
      </c>
      <c r="AA37" s="228">
        <v>23.5</v>
      </c>
      <c r="AB37" s="228">
        <v>0.5</v>
      </c>
      <c r="AC37" s="229">
        <v>4.1000000000000003E-3</v>
      </c>
      <c r="AD37" s="228">
        <v>24</v>
      </c>
      <c r="AE37" s="228">
        <v>23.5</v>
      </c>
      <c r="AF37" s="228">
        <v>0.5</v>
      </c>
      <c r="AG37" s="229">
        <v>4.1000000000000003E-3</v>
      </c>
      <c r="AH37" s="228">
        <v>50.5</v>
      </c>
      <c r="AI37" s="228">
        <v>47.5</v>
      </c>
      <c r="AJ37" s="228">
        <v>3</v>
      </c>
      <c r="AK37" s="229">
        <v>8.6E-3</v>
      </c>
      <c r="AL37" s="228">
        <v>76.5</v>
      </c>
      <c r="AM37" s="228">
        <v>84.5</v>
      </c>
      <c r="AN37" s="228">
        <v>-8</v>
      </c>
      <c r="AO37" s="229">
        <v>1.2999999999999999E-2</v>
      </c>
      <c r="AP37" s="231">
        <v>5906.5</v>
      </c>
      <c r="AQ37" s="231">
        <v>5939.81</v>
      </c>
      <c r="AR37" s="228">
        <v>0</v>
      </c>
      <c r="AS37" s="228">
        <v>99</v>
      </c>
      <c r="AT37" s="228">
        <v>123</v>
      </c>
      <c r="AU37" s="228">
        <v>-24</v>
      </c>
      <c r="AV37" s="229">
        <v>-0.19389999999999999</v>
      </c>
      <c r="AW37" s="228">
        <v>97</v>
      </c>
      <c r="AX37" s="228">
        <v>120</v>
      </c>
      <c r="AY37" s="228">
        <v>-22</v>
      </c>
      <c r="AZ37" s="229">
        <v>-0.1862</v>
      </c>
      <c r="BA37" s="228">
        <v>2</v>
      </c>
      <c r="BB37" s="228">
        <v>3</v>
      </c>
      <c r="BC37" s="228">
        <v>-2</v>
      </c>
      <c r="BD37" s="229">
        <v>-0.5333</v>
      </c>
      <c r="BE37" s="228">
        <v>0</v>
      </c>
      <c r="BF37" s="228">
        <v>0</v>
      </c>
      <c r="BG37" s="228">
        <v>0</v>
      </c>
      <c r="BH37" s="229">
        <v>0.5</v>
      </c>
      <c r="BI37" s="228">
        <v>304</v>
      </c>
      <c r="BJ37" s="228">
        <v>550</v>
      </c>
      <c r="BK37" s="228">
        <v>-246</v>
      </c>
      <c r="BL37" s="229">
        <v>-0.44790000000000002</v>
      </c>
      <c r="BM37" s="228">
        <v>102</v>
      </c>
      <c r="BN37" s="228">
        <v>187</v>
      </c>
      <c r="BO37" s="228">
        <v>-85</v>
      </c>
      <c r="BP37" s="229">
        <v>-0.4556</v>
      </c>
      <c r="BQ37" s="228">
        <v>505</v>
      </c>
      <c r="BR37" s="228">
        <v>861</v>
      </c>
      <c r="BS37" s="228">
        <v>-356</v>
      </c>
      <c r="BT37" s="229">
        <v>-0.41320000000000001</v>
      </c>
      <c r="BU37" s="230">
        <v>230442</v>
      </c>
      <c r="BV37" s="230">
        <v>234433</v>
      </c>
      <c r="BW37" s="230">
        <v>-3991</v>
      </c>
      <c r="BX37" s="229">
        <v>-1.7000000000000001E-2</v>
      </c>
      <c r="BY37" s="230">
        <v>2119</v>
      </c>
      <c r="BZ37" s="230">
        <v>2134</v>
      </c>
      <c r="CA37" s="228">
        <v>-16</v>
      </c>
      <c r="CB37" s="229">
        <v>-7.4000000000000003E-3</v>
      </c>
      <c r="CC37" s="230">
        <v>2106</v>
      </c>
      <c r="CD37" s="230">
        <v>2122</v>
      </c>
      <c r="CE37" s="228">
        <v>-16</v>
      </c>
      <c r="CF37" s="229">
        <v>-7.4000000000000003E-3</v>
      </c>
      <c r="CG37" s="228">
        <v>11</v>
      </c>
      <c r="CH37" s="228">
        <v>11</v>
      </c>
      <c r="CI37" s="228">
        <v>0</v>
      </c>
      <c r="CJ37" s="229">
        <v>-6.4999999999999997E-3</v>
      </c>
      <c r="CK37" s="228">
        <v>1</v>
      </c>
      <c r="CL37" s="228">
        <v>1</v>
      </c>
      <c r="CM37" s="228">
        <v>0</v>
      </c>
      <c r="CN37" s="229">
        <v>0</v>
      </c>
      <c r="CO37" s="228">
        <v>634</v>
      </c>
      <c r="CP37" s="228">
        <v>621</v>
      </c>
      <c r="CQ37" s="228">
        <v>12</v>
      </c>
      <c r="CR37" s="229">
        <v>1.9800000000000002E-2</v>
      </c>
      <c r="CS37" s="228">
        <v>317</v>
      </c>
      <c r="CT37" s="228">
        <v>317</v>
      </c>
      <c r="CU37" s="228">
        <v>0</v>
      </c>
      <c r="CV37" s="229">
        <v>-1.4E-3</v>
      </c>
      <c r="CW37" s="230">
        <v>3069</v>
      </c>
      <c r="CX37" s="230">
        <v>3073</v>
      </c>
      <c r="CY37" s="228">
        <v>-4</v>
      </c>
      <c r="CZ37" s="229">
        <v>-1.1999999999999999E-3</v>
      </c>
      <c r="DA37" s="228">
        <v>20.32</v>
      </c>
      <c r="DB37" s="228">
        <v>20.99</v>
      </c>
      <c r="DC37" s="228">
        <v>-0.67</v>
      </c>
      <c r="DD37" s="228">
        <v>-0.67</v>
      </c>
      <c r="DE37" s="228">
        <v>24.76</v>
      </c>
      <c r="DF37" s="228">
        <v>24.82</v>
      </c>
      <c r="DG37" s="228">
        <v>-4.4400000000000004</v>
      </c>
      <c r="DH37" s="228">
        <v>-0.06</v>
      </c>
      <c r="DI37" s="228">
        <v>20.350000000000001</v>
      </c>
      <c r="DJ37" s="228">
        <v>21.07</v>
      </c>
      <c r="DK37" s="228">
        <v>-0.72</v>
      </c>
      <c r="DL37" s="228">
        <v>-0.72</v>
      </c>
      <c r="DM37" s="228">
        <v>20.21</v>
      </c>
      <c r="DN37" s="228">
        <v>20.77</v>
      </c>
      <c r="DO37" s="228">
        <v>-0.56000000000000005</v>
      </c>
      <c r="DP37" s="228">
        <v>-0.56000000000000005</v>
      </c>
      <c r="DQ37" s="228">
        <v>0.5</v>
      </c>
      <c r="DR37" s="228">
        <v>0.51</v>
      </c>
      <c r="DS37" s="228">
        <v>-0.01</v>
      </c>
      <c r="DT37" s="229">
        <v>-1.9599999999999999E-2</v>
      </c>
      <c r="DU37" s="231">
        <v>6000</v>
      </c>
      <c r="DV37" s="231">
        <v>5500</v>
      </c>
      <c r="DW37" s="228">
        <v>0.34</v>
      </c>
      <c r="DX37" s="228">
        <v>0.34</v>
      </c>
      <c r="DY37" s="228">
        <v>0</v>
      </c>
      <c r="DZ37" s="229">
        <v>0</v>
      </c>
      <c r="EA37" s="229">
        <v>5.8999999999999999E-3</v>
      </c>
      <c r="EB37" s="230">
        <v>21250</v>
      </c>
      <c r="EC37" s="229">
        <v>4.4999999999999997E-3</v>
      </c>
      <c r="ED37" s="229">
        <v>5.8999999999999999E-3</v>
      </c>
      <c r="EE37" s="228">
        <v>33.31</v>
      </c>
      <c r="EF37" s="229">
        <v>5.5999999999999999E-3</v>
      </c>
      <c r="EG37" s="230">
        <v>156928</v>
      </c>
      <c r="EH37" s="230">
        <v>138633</v>
      </c>
      <c r="EI37" s="229">
        <v>0.13200000000000001</v>
      </c>
      <c r="EJ37" s="229">
        <v>0.68100000000000005</v>
      </c>
      <c r="EK37" s="228">
        <v>314.94</v>
      </c>
      <c r="EL37" s="228">
        <v>99.86</v>
      </c>
      <c r="EM37" s="228">
        <v>99.46</v>
      </c>
      <c r="EN37" s="228">
        <v>22.4</v>
      </c>
      <c r="EO37" s="228">
        <v>514.26</v>
      </c>
      <c r="EP37" s="228">
        <v>879.36</v>
      </c>
      <c r="EQ37" s="228">
        <v>-365.1</v>
      </c>
      <c r="ER37" s="229">
        <v>-0.41520000000000001</v>
      </c>
      <c r="ES37" s="228">
        <v>669.96</v>
      </c>
      <c r="ET37" s="228">
        <v>306.70999999999998</v>
      </c>
      <c r="EU37" s="231">
        <v>2118.61</v>
      </c>
      <c r="EV37" s="231">
        <v>13082978</v>
      </c>
      <c r="EW37" s="231">
        <v>3095.28</v>
      </c>
      <c r="EX37" s="231">
        <v>3100.07</v>
      </c>
      <c r="EY37" s="228">
        <v>-4.79</v>
      </c>
      <c r="EZ37" s="229">
        <v>-1.5E-3</v>
      </c>
      <c r="FA37" s="229">
        <v>0.39789999999999998</v>
      </c>
      <c r="FB37" s="227" t="s">
        <v>568</v>
      </c>
      <c r="FC37">
        <f t="shared" si="0"/>
        <v>13</v>
      </c>
    </row>
    <row r="38" spans="1:159" ht="17.25" thickBot="1" x14ac:dyDescent="0.3">
      <c r="A38" s="226">
        <v>45940</v>
      </c>
      <c r="B38" s="227" t="s">
        <v>175</v>
      </c>
      <c r="C38" s="227" t="s">
        <v>585</v>
      </c>
      <c r="D38" s="228">
        <v>375</v>
      </c>
      <c r="E38" s="228">
        <v>18</v>
      </c>
      <c r="F38" s="231">
        <v>2393.4</v>
      </c>
      <c r="G38" s="231">
        <v>2344</v>
      </c>
      <c r="H38" s="228">
        <v>49.4</v>
      </c>
      <c r="I38" s="229">
        <v>2.1100000000000001E-2</v>
      </c>
      <c r="J38" s="231">
        <v>2385</v>
      </c>
      <c r="K38" s="231">
        <v>2330.1999999999998</v>
      </c>
      <c r="L38" s="228">
        <v>54.8</v>
      </c>
      <c r="M38" s="229">
        <v>2.35E-2</v>
      </c>
      <c r="N38" s="231">
        <v>2393.4</v>
      </c>
      <c r="O38" s="231">
        <v>2344</v>
      </c>
      <c r="P38" s="228">
        <v>49.4</v>
      </c>
      <c r="Q38" s="229">
        <v>2.1100000000000001E-2</v>
      </c>
      <c r="R38" s="231">
        <v>2404.3000000000002</v>
      </c>
      <c r="S38" s="231">
        <v>2352.3000000000002</v>
      </c>
      <c r="T38" s="228">
        <v>52</v>
      </c>
      <c r="U38" s="229">
        <v>2.2100000000000002E-2</v>
      </c>
      <c r="V38" s="231">
        <v>2415.1999999999998</v>
      </c>
      <c r="W38" s="231">
        <v>2362.5</v>
      </c>
      <c r="X38" s="228">
        <v>52.7</v>
      </c>
      <c r="Y38" s="229">
        <v>2.23E-2</v>
      </c>
      <c r="Z38" s="228">
        <v>8.4</v>
      </c>
      <c r="AA38" s="228">
        <v>13.8</v>
      </c>
      <c r="AB38" s="228">
        <v>-5.4</v>
      </c>
      <c r="AC38" s="229">
        <v>3.5000000000000001E-3</v>
      </c>
      <c r="AD38" s="228">
        <v>8.4</v>
      </c>
      <c r="AE38" s="228">
        <v>13.8</v>
      </c>
      <c r="AF38" s="228">
        <v>-5.4</v>
      </c>
      <c r="AG38" s="229">
        <v>3.5000000000000001E-3</v>
      </c>
      <c r="AH38" s="228">
        <v>19.3</v>
      </c>
      <c r="AI38" s="228">
        <v>22.1</v>
      </c>
      <c r="AJ38" s="228">
        <v>-2.8</v>
      </c>
      <c r="AK38" s="229">
        <v>8.0999999999999996E-3</v>
      </c>
      <c r="AL38" s="228">
        <v>30.2</v>
      </c>
      <c r="AM38" s="228">
        <v>32.299999999999997</v>
      </c>
      <c r="AN38" s="228">
        <v>-2.1</v>
      </c>
      <c r="AO38" s="229">
        <v>1.2699999999999999E-2</v>
      </c>
      <c r="AP38" s="231">
        <v>2397.0700000000002</v>
      </c>
      <c r="AQ38" s="231">
        <v>2405.52</v>
      </c>
      <c r="AR38" s="228">
        <v>0</v>
      </c>
      <c r="AS38" s="230">
        <v>1251</v>
      </c>
      <c r="AT38" s="230">
        <v>1513</v>
      </c>
      <c r="AU38" s="228">
        <v>-262</v>
      </c>
      <c r="AV38" s="229">
        <v>-0.1734</v>
      </c>
      <c r="AW38" s="230">
        <v>1120</v>
      </c>
      <c r="AX38" s="230">
        <v>1359</v>
      </c>
      <c r="AY38" s="228">
        <v>-240</v>
      </c>
      <c r="AZ38" s="229">
        <v>-0.1762</v>
      </c>
      <c r="BA38" s="228">
        <v>103</v>
      </c>
      <c r="BB38" s="228">
        <v>123</v>
      </c>
      <c r="BC38" s="228">
        <v>-19</v>
      </c>
      <c r="BD38" s="229">
        <v>-0.15870000000000001</v>
      </c>
      <c r="BE38" s="228">
        <v>27</v>
      </c>
      <c r="BF38" s="228">
        <v>31</v>
      </c>
      <c r="BG38" s="228">
        <v>-3</v>
      </c>
      <c r="BH38" s="229">
        <v>-0.1053</v>
      </c>
      <c r="BI38" s="230">
        <v>8359</v>
      </c>
      <c r="BJ38" s="230">
        <v>8390</v>
      </c>
      <c r="BK38" s="228">
        <v>-32</v>
      </c>
      <c r="BL38" s="229">
        <v>-3.8E-3</v>
      </c>
      <c r="BM38" s="230">
        <v>3856</v>
      </c>
      <c r="BN38" s="230">
        <v>4865</v>
      </c>
      <c r="BO38" s="230">
        <v>-1008</v>
      </c>
      <c r="BP38" s="229">
        <v>-0.20730000000000001</v>
      </c>
      <c r="BQ38" s="230">
        <v>13466</v>
      </c>
      <c r="BR38" s="230">
        <v>14768</v>
      </c>
      <c r="BS38" s="230">
        <v>-1302</v>
      </c>
      <c r="BT38" s="229">
        <v>-8.8200000000000001E-2</v>
      </c>
      <c r="BU38" s="230">
        <v>7275253</v>
      </c>
      <c r="BV38" s="230">
        <v>7865924</v>
      </c>
      <c r="BW38" s="230">
        <v>-590671</v>
      </c>
      <c r="BX38" s="229">
        <v>-7.51E-2</v>
      </c>
      <c r="BY38" s="230">
        <v>3160</v>
      </c>
      <c r="BZ38" s="230">
        <v>3261</v>
      </c>
      <c r="CA38" s="228">
        <v>-101</v>
      </c>
      <c r="CB38" s="229">
        <v>-3.0800000000000001E-2</v>
      </c>
      <c r="CC38" s="230">
        <v>2938</v>
      </c>
      <c r="CD38" s="230">
        <v>3048</v>
      </c>
      <c r="CE38" s="228">
        <v>-110</v>
      </c>
      <c r="CF38" s="229">
        <v>-3.5999999999999997E-2</v>
      </c>
      <c r="CG38" s="228">
        <v>179</v>
      </c>
      <c r="CH38" s="228">
        <v>179</v>
      </c>
      <c r="CI38" s="228">
        <v>0</v>
      </c>
      <c r="CJ38" s="229">
        <v>2.5000000000000001E-3</v>
      </c>
      <c r="CK38" s="228">
        <v>43</v>
      </c>
      <c r="CL38" s="228">
        <v>34</v>
      </c>
      <c r="CM38" s="228">
        <v>9</v>
      </c>
      <c r="CN38" s="229">
        <v>0.25719999999999998</v>
      </c>
      <c r="CO38" s="230">
        <v>2025</v>
      </c>
      <c r="CP38" s="230">
        <v>1930</v>
      </c>
      <c r="CQ38" s="228">
        <v>96</v>
      </c>
      <c r="CR38" s="229">
        <v>4.9700000000000001E-2</v>
      </c>
      <c r="CS38" s="230">
        <v>2075</v>
      </c>
      <c r="CT38" s="230">
        <v>2007</v>
      </c>
      <c r="CU38" s="228">
        <v>69</v>
      </c>
      <c r="CV38" s="229">
        <v>3.4200000000000001E-2</v>
      </c>
      <c r="CW38" s="230">
        <v>7261</v>
      </c>
      <c r="CX38" s="230">
        <v>7197</v>
      </c>
      <c r="CY38" s="228">
        <v>64</v>
      </c>
      <c r="CZ38" s="229">
        <v>8.8999999999999999E-3</v>
      </c>
      <c r="DA38" s="228">
        <v>38.5</v>
      </c>
      <c r="DB38" s="228">
        <v>40.36</v>
      </c>
      <c r="DC38" s="228">
        <v>-1.86</v>
      </c>
      <c r="DD38" s="228">
        <v>-1.86</v>
      </c>
      <c r="DE38" s="228">
        <v>63.78</v>
      </c>
      <c r="DF38" s="228">
        <v>63.87</v>
      </c>
      <c r="DG38" s="228">
        <v>-25.28</v>
      </c>
      <c r="DH38" s="228">
        <v>-0.09</v>
      </c>
      <c r="DI38" s="228">
        <v>37.130000000000003</v>
      </c>
      <c r="DJ38" s="228">
        <v>38.83</v>
      </c>
      <c r="DK38" s="228">
        <v>-1.7</v>
      </c>
      <c r="DL38" s="228">
        <v>-1.7</v>
      </c>
      <c r="DM38" s="228">
        <v>41.46</v>
      </c>
      <c r="DN38" s="228">
        <v>42.99</v>
      </c>
      <c r="DO38" s="228">
        <v>-1.53</v>
      </c>
      <c r="DP38" s="228">
        <v>-1.53</v>
      </c>
      <c r="DQ38" s="228">
        <v>1.02</v>
      </c>
      <c r="DR38" s="228">
        <v>1.04</v>
      </c>
      <c r="DS38" s="228">
        <v>-0.02</v>
      </c>
      <c r="DT38" s="229">
        <v>-1.9199999999999998E-2</v>
      </c>
      <c r="DU38" s="231">
        <v>2500</v>
      </c>
      <c r="DV38" s="231">
        <v>2200</v>
      </c>
      <c r="DW38" s="228">
        <v>0.46</v>
      </c>
      <c r="DX38" s="228">
        <v>0.57999999999999996</v>
      </c>
      <c r="DY38" s="228">
        <v>-0.12</v>
      </c>
      <c r="DZ38" s="229">
        <v>-0.2069</v>
      </c>
      <c r="EA38" s="229">
        <v>7.0199999999999999E-2</v>
      </c>
      <c r="EB38" s="230">
        <v>888750</v>
      </c>
      <c r="EC38" s="229">
        <v>4.5999999999999999E-3</v>
      </c>
      <c r="ED38" s="229">
        <v>7.0199999999999999E-2</v>
      </c>
      <c r="EE38" s="228">
        <v>8.4499999999999993</v>
      </c>
      <c r="EF38" s="229">
        <v>3.5000000000000001E-3</v>
      </c>
      <c r="EG38" s="230">
        <v>2136179</v>
      </c>
      <c r="EH38" s="230">
        <v>2842279</v>
      </c>
      <c r="EI38" s="229">
        <v>-0.24840000000000001</v>
      </c>
      <c r="EJ38" s="229">
        <v>0.29360000000000003</v>
      </c>
      <c r="EK38" s="231">
        <v>8875.91</v>
      </c>
      <c r="EL38" s="231">
        <v>3687.37</v>
      </c>
      <c r="EM38" s="231">
        <v>1253.1199999999999</v>
      </c>
      <c r="EN38" s="228">
        <v>141.71</v>
      </c>
      <c r="EO38" s="231">
        <v>13816.4</v>
      </c>
      <c r="EP38" s="231">
        <v>14601.26</v>
      </c>
      <c r="EQ38" s="228">
        <v>-784.86</v>
      </c>
      <c r="ER38" s="229">
        <v>-5.3800000000000001E-2</v>
      </c>
      <c r="ES38" s="231">
        <v>2056.08</v>
      </c>
      <c r="ET38" s="231">
        <v>1846.56</v>
      </c>
      <c r="EU38" s="231">
        <v>3161.48</v>
      </c>
      <c r="EV38" s="231">
        <v>48385387</v>
      </c>
      <c r="EW38" s="231">
        <v>7064.12</v>
      </c>
      <c r="EX38" s="231">
        <v>6887.84</v>
      </c>
      <c r="EY38" s="228">
        <v>176.28</v>
      </c>
      <c r="EZ38" s="229">
        <v>2.5600000000000001E-2</v>
      </c>
      <c r="FA38" s="229">
        <v>0.627</v>
      </c>
      <c r="FB38" s="227" t="s">
        <v>556</v>
      </c>
      <c r="FC38">
        <f t="shared" si="0"/>
        <v>222</v>
      </c>
    </row>
    <row r="39" spans="1:159" ht="17.25" thickBot="1" x14ac:dyDescent="0.3">
      <c r="A39" s="226">
        <v>45940</v>
      </c>
      <c r="B39" s="227" t="s">
        <v>175</v>
      </c>
      <c r="C39" s="227" t="s">
        <v>612</v>
      </c>
      <c r="D39" s="228">
        <v>150</v>
      </c>
      <c r="E39" s="228">
        <v>18</v>
      </c>
      <c r="F39" s="231">
        <v>3872.3</v>
      </c>
      <c r="G39" s="231">
        <v>3849.4</v>
      </c>
      <c r="H39" s="228">
        <v>22.9</v>
      </c>
      <c r="I39" s="229">
        <v>5.8999999999999999E-3</v>
      </c>
      <c r="J39" s="231">
        <v>3860.8</v>
      </c>
      <c r="K39" s="231">
        <v>3831.1</v>
      </c>
      <c r="L39" s="228">
        <v>29.7</v>
      </c>
      <c r="M39" s="229">
        <v>7.7999999999999996E-3</v>
      </c>
      <c r="N39" s="231">
        <v>3872.3</v>
      </c>
      <c r="O39" s="231">
        <v>3849.4</v>
      </c>
      <c r="P39" s="228">
        <v>22.9</v>
      </c>
      <c r="Q39" s="229">
        <v>5.8999999999999999E-3</v>
      </c>
      <c r="R39" s="231">
        <v>3879.2</v>
      </c>
      <c r="S39" s="231">
        <v>3858.4</v>
      </c>
      <c r="T39" s="228">
        <v>20.8</v>
      </c>
      <c r="U39" s="229">
        <v>5.4000000000000003E-3</v>
      </c>
      <c r="V39" s="231">
        <v>3897</v>
      </c>
      <c r="W39" s="231">
        <v>3875</v>
      </c>
      <c r="X39" s="228">
        <v>22</v>
      </c>
      <c r="Y39" s="229">
        <v>5.7000000000000002E-3</v>
      </c>
      <c r="Z39" s="228">
        <v>11.5</v>
      </c>
      <c r="AA39" s="228">
        <v>18.3</v>
      </c>
      <c r="AB39" s="228">
        <v>-6.8</v>
      </c>
      <c r="AC39" s="229">
        <v>3.0000000000000001E-3</v>
      </c>
      <c r="AD39" s="228">
        <v>11.5</v>
      </c>
      <c r="AE39" s="228">
        <v>18.3</v>
      </c>
      <c r="AF39" s="228">
        <v>-6.8</v>
      </c>
      <c r="AG39" s="229">
        <v>3.0000000000000001E-3</v>
      </c>
      <c r="AH39" s="228">
        <v>18.399999999999999</v>
      </c>
      <c r="AI39" s="228">
        <v>27.3</v>
      </c>
      <c r="AJ39" s="228">
        <v>-8.9</v>
      </c>
      <c r="AK39" s="229">
        <v>4.7999999999999996E-3</v>
      </c>
      <c r="AL39" s="228">
        <v>36.200000000000003</v>
      </c>
      <c r="AM39" s="228">
        <v>43.9</v>
      </c>
      <c r="AN39" s="228">
        <v>-7.7</v>
      </c>
      <c r="AO39" s="229">
        <v>9.4000000000000004E-3</v>
      </c>
      <c r="AP39" s="231">
        <v>3876.32</v>
      </c>
      <c r="AQ39" s="231">
        <v>3887.34</v>
      </c>
      <c r="AR39" s="228">
        <v>0</v>
      </c>
      <c r="AS39" s="228">
        <v>155</v>
      </c>
      <c r="AT39" s="228">
        <v>156</v>
      </c>
      <c r="AU39" s="228">
        <v>-1</v>
      </c>
      <c r="AV39" s="229">
        <v>-8.5000000000000006E-3</v>
      </c>
      <c r="AW39" s="228">
        <v>136</v>
      </c>
      <c r="AX39" s="228">
        <v>142</v>
      </c>
      <c r="AY39" s="228">
        <v>-6</v>
      </c>
      <c r="AZ39" s="229">
        <v>-4.0099999999999997E-2</v>
      </c>
      <c r="BA39" s="228">
        <v>17</v>
      </c>
      <c r="BB39" s="228">
        <v>13</v>
      </c>
      <c r="BC39" s="228">
        <v>5</v>
      </c>
      <c r="BD39" s="229">
        <v>0.37159999999999999</v>
      </c>
      <c r="BE39" s="228">
        <v>2</v>
      </c>
      <c r="BF39" s="228">
        <v>2</v>
      </c>
      <c r="BG39" s="228">
        <v>0</v>
      </c>
      <c r="BH39" s="229">
        <v>-0.18179999999999999</v>
      </c>
      <c r="BI39" s="228">
        <v>607</v>
      </c>
      <c r="BJ39" s="228">
        <v>619</v>
      </c>
      <c r="BK39" s="228">
        <v>-12</v>
      </c>
      <c r="BL39" s="229">
        <v>-1.95E-2</v>
      </c>
      <c r="BM39" s="228">
        <v>146</v>
      </c>
      <c r="BN39" s="228">
        <v>139</v>
      </c>
      <c r="BO39" s="228">
        <v>7</v>
      </c>
      <c r="BP39" s="229">
        <v>4.8899999999999999E-2</v>
      </c>
      <c r="BQ39" s="228">
        <v>907</v>
      </c>
      <c r="BR39" s="228">
        <v>914</v>
      </c>
      <c r="BS39" s="228">
        <v>-7</v>
      </c>
      <c r="BT39" s="229">
        <v>-7.1999999999999998E-3</v>
      </c>
      <c r="BU39" s="230">
        <v>359281</v>
      </c>
      <c r="BV39" s="230">
        <v>209346</v>
      </c>
      <c r="BW39" s="230">
        <v>149935</v>
      </c>
      <c r="BX39" s="229">
        <v>0.71619999999999995</v>
      </c>
      <c r="BY39" s="228">
        <v>887</v>
      </c>
      <c r="BZ39" s="228">
        <v>894</v>
      </c>
      <c r="CA39" s="228">
        <v>-7</v>
      </c>
      <c r="CB39" s="229">
        <v>-7.4999999999999997E-3</v>
      </c>
      <c r="CC39" s="228">
        <v>834</v>
      </c>
      <c r="CD39" s="228">
        <v>845</v>
      </c>
      <c r="CE39" s="228">
        <v>-11</v>
      </c>
      <c r="CF39" s="229">
        <v>-1.2800000000000001E-2</v>
      </c>
      <c r="CG39" s="228">
        <v>49</v>
      </c>
      <c r="CH39" s="228">
        <v>46</v>
      </c>
      <c r="CI39" s="228">
        <v>3</v>
      </c>
      <c r="CJ39" s="229">
        <v>7.3400000000000007E-2</v>
      </c>
      <c r="CK39" s="228">
        <v>4</v>
      </c>
      <c r="CL39" s="228">
        <v>3</v>
      </c>
      <c r="CM39" s="228">
        <v>1</v>
      </c>
      <c r="CN39" s="229">
        <v>0.24529999999999999</v>
      </c>
      <c r="CO39" s="228">
        <v>404</v>
      </c>
      <c r="CP39" s="228">
        <v>398</v>
      </c>
      <c r="CQ39" s="228">
        <v>5</v>
      </c>
      <c r="CR39" s="229">
        <v>1.34E-2</v>
      </c>
      <c r="CS39" s="228">
        <v>252</v>
      </c>
      <c r="CT39" s="228">
        <v>243</v>
      </c>
      <c r="CU39" s="228">
        <v>10</v>
      </c>
      <c r="CV39" s="229">
        <v>0.04</v>
      </c>
      <c r="CW39" s="230">
        <v>1543</v>
      </c>
      <c r="CX39" s="230">
        <v>1535</v>
      </c>
      <c r="CY39" s="228">
        <v>8</v>
      </c>
      <c r="CZ39" s="229">
        <v>5.4000000000000003E-3</v>
      </c>
      <c r="DA39" s="228">
        <v>29.57</v>
      </c>
      <c r="DB39" s="228">
        <v>30.69</v>
      </c>
      <c r="DC39" s="228">
        <v>-1.1200000000000001</v>
      </c>
      <c r="DD39" s="228">
        <v>-1.1200000000000001</v>
      </c>
      <c r="DE39" s="228">
        <v>42.78</v>
      </c>
      <c r="DF39" s="228">
        <v>42.88</v>
      </c>
      <c r="DG39" s="228">
        <v>-13.21</v>
      </c>
      <c r="DH39" s="228">
        <v>-0.1</v>
      </c>
      <c r="DI39" s="228">
        <v>29.56</v>
      </c>
      <c r="DJ39" s="228">
        <v>30.74</v>
      </c>
      <c r="DK39" s="228">
        <v>-1.18</v>
      </c>
      <c r="DL39" s="228">
        <v>-1.18</v>
      </c>
      <c r="DM39" s="228">
        <v>29.59</v>
      </c>
      <c r="DN39" s="228">
        <v>30.49</v>
      </c>
      <c r="DO39" s="228">
        <v>-0.9</v>
      </c>
      <c r="DP39" s="228">
        <v>-0.9</v>
      </c>
      <c r="DQ39" s="228">
        <v>0.62</v>
      </c>
      <c r="DR39" s="228">
        <v>0.61</v>
      </c>
      <c r="DS39" s="228">
        <v>0.01</v>
      </c>
      <c r="DT39" s="229">
        <v>1.6400000000000001E-2</v>
      </c>
      <c r="DU39" s="231">
        <v>4000</v>
      </c>
      <c r="DV39" s="231">
        <v>3800</v>
      </c>
      <c r="DW39" s="228">
        <v>0.24</v>
      </c>
      <c r="DX39" s="228">
        <v>0.22</v>
      </c>
      <c r="DY39" s="228">
        <v>0.02</v>
      </c>
      <c r="DZ39" s="229">
        <v>9.0899999999999995E-2</v>
      </c>
      <c r="EA39" s="229">
        <v>5.9799999999999999E-2</v>
      </c>
      <c r="EB39" s="230">
        <v>126450</v>
      </c>
      <c r="EC39" s="229">
        <v>1.8E-3</v>
      </c>
      <c r="ED39" s="229">
        <v>5.9799999999999999E-2</v>
      </c>
      <c r="EE39" s="228">
        <v>11.02</v>
      </c>
      <c r="EF39" s="229">
        <v>2.8E-3</v>
      </c>
      <c r="EG39" s="230">
        <v>148499</v>
      </c>
      <c r="EH39" s="230">
        <v>75865</v>
      </c>
      <c r="EI39" s="229">
        <v>0.95740000000000003</v>
      </c>
      <c r="EJ39" s="229">
        <v>0.4133</v>
      </c>
      <c r="EK39" s="228">
        <v>632.67999999999995</v>
      </c>
      <c r="EL39" s="228">
        <v>143.59</v>
      </c>
      <c r="EM39" s="228">
        <v>155.25</v>
      </c>
      <c r="EN39" s="228">
        <v>29.99</v>
      </c>
      <c r="EO39" s="228">
        <v>931.51</v>
      </c>
      <c r="EP39" s="228">
        <v>933.69</v>
      </c>
      <c r="EQ39" s="228">
        <v>-2.1800000000000002</v>
      </c>
      <c r="ER39" s="229">
        <v>-2.3E-3</v>
      </c>
      <c r="ES39" s="228">
        <v>418.01</v>
      </c>
      <c r="ET39" s="228">
        <v>247.28</v>
      </c>
      <c r="EU39" s="228">
        <v>887.59</v>
      </c>
      <c r="EV39" s="231">
        <v>7421215</v>
      </c>
      <c r="EW39" s="231">
        <v>1552.88</v>
      </c>
      <c r="EX39" s="231">
        <v>1538.16</v>
      </c>
      <c r="EY39" s="228">
        <v>14.72</v>
      </c>
      <c r="EZ39" s="229">
        <v>9.5999999999999992E-3</v>
      </c>
      <c r="FA39" s="229">
        <v>0.53710000000000002</v>
      </c>
      <c r="FB39" s="227" t="s">
        <v>556</v>
      </c>
      <c r="FC39">
        <f t="shared" si="0"/>
        <v>53</v>
      </c>
    </row>
    <row r="40" spans="1:159" ht="17.25" thickBot="1" x14ac:dyDescent="0.3">
      <c r="A40" s="226">
        <v>45940</v>
      </c>
      <c r="B40" s="227" t="s">
        <v>172</v>
      </c>
      <c r="C40" s="227" t="s">
        <v>196</v>
      </c>
      <c r="D40" s="228">
        <v>6750</v>
      </c>
      <c r="E40" s="228">
        <v>18</v>
      </c>
      <c r="F40" s="228">
        <v>127.76</v>
      </c>
      <c r="G40" s="228">
        <v>126.84</v>
      </c>
      <c r="H40" s="228">
        <v>0.92</v>
      </c>
      <c r="I40" s="229">
        <v>7.3000000000000001E-3</v>
      </c>
      <c r="J40" s="228">
        <v>127.39</v>
      </c>
      <c r="K40" s="228">
        <v>126.17</v>
      </c>
      <c r="L40" s="228">
        <v>1.22</v>
      </c>
      <c r="M40" s="229">
        <v>9.7000000000000003E-3</v>
      </c>
      <c r="N40" s="228">
        <v>127.76</v>
      </c>
      <c r="O40" s="228">
        <v>126.84</v>
      </c>
      <c r="P40" s="228">
        <v>0.92</v>
      </c>
      <c r="Q40" s="229">
        <v>7.3000000000000001E-3</v>
      </c>
      <c r="R40" s="228">
        <v>128.58000000000001</v>
      </c>
      <c r="S40" s="228">
        <v>127.54</v>
      </c>
      <c r="T40" s="228">
        <v>1.04</v>
      </c>
      <c r="U40" s="229">
        <v>8.2000000000000007E-3</v>
      </c>
      <c r="V40" s="228">
        <v>129.16999999999999</v>
      </c>
      <c r="W40" s="228">
        <v>128.26</v>
      </c>
      <c r="X40" s="228">
        <v>0.91</v>
      </c>
      <c r="Y40" s="229">
        <v>7.1000000000000004E-3</v>
      </c>
      <c r="Z40" s="228">
        <v>0.37</v>
      </c>
      <c r="AA40" s="228">
        <v>0.67</v>
      </c>
      <c r="AB40" s="228">
        <v>-0.3</v>
      </c>
      <c r="AC40" s="229">
        <v>2.8999999999999998E-3</v>
      </c>
      <c r="AD40" s="228">
        <v>0.37</v>
      </c>
      <c r="AE40" s="228">
        <v>0.67</v>
      </c>
      <c r="AF40" s="228">
        <v>-0.3</v>
      </c>
      <c r="AG40" s="229">
        <v>2.8999999999999998E-3</v>
      </c>
      <c r="AH40" s="228">
        <v>1.19</v>
      </c>
      <c r="AI40" s="228">
        <v>1.37</v>
      </c>
      <c r="AJ40" s="228">
        <v>-0.18</v>
      </c>
      <c r="AK40" s="229">
        <v>9.2999999999999992E-3</v>
      </c>
      <c r="AL40" s="228">
        <v>1.78</v>
      </c>
      <c r="AM40" s="228">
        <v>2.09</v>
      </c>
      <c r="AN40" s="228">
        <v>-0.31</v>
      </c>
      <c r="AO40" s="229">
        <v>1.4E-2</v>
      </c>
      <c r="AP40" s="228">
        <v>128.31</v>
      </c>
      <c r="AQ40" s="228">
        <v>128.94</v>
      </c>
      <c r="AR40" s="228">
        <v>0</v>
      </c>
      <c r="AS40" s="228">
        <v>692</v>
      </c>
      <c r="AT40" s="228">
        <v>412</v>
      </c>
      <c r="AU40" s="228">
        <v>280</v>
      </c>
      <c r="AV40" s="229">
        <v>0.68079999999999996</v>
      </c>
      <c r="AW40" s="228">
        <v>624</v>
      </c>
      <c r="AX40" s="228">
        <v>378</v>
      </c>
      <c r="AY40" s="228">
        <v>245</v>
      </c>
      <c r="AZ40" s="229">
        <v>0.64839999999999998</v>
      </c>
      <c r="BA40" s="228">
        <v>59</v>
      </c>
      <c r="BB40" s="228">
        <v>30</v>
      </c>
      <c r="BC40" s="228">
        <v>28</v>
      </c>
      <c r="BD40" s="229">
        <v>0.94</v>
      </c>
      <c r="BE40" s="228">
        <v>10</v>
      </c>
      <c r="BF40" s="228">
        <v>3</v>
      </c>
      <c r="BG40" s="228">
        <v>7</v>
      </c>
      <c r="BH40" s="229">
        <v>2.0811000000000002</v>
      </c>
      <c r="BI40" s="230">
        <v>2284</v>
      </c>
      <c r="BJ40" s="230">
        <v>1126</v>
      </c>
      <c r="BK40" s="230">
        <v>1158</v>
      </c>
      <c r="BL40" s="229">
        <v>1.0285</v>
      </c>
      <c r="BM40" s="230">
        <v>1077</v>
      </c>
      <c r="BN40" s="228">
        <v>612</v>
      </c>
      <c r="BO40" s="228">
        <v>465</v>
      </c>
      <c r="BP40" s="229">
        <v>0.76080000000000003</v>
      </c>
      <c r="BQ40" s="230">
        <v>4053</v>
      </c>
      <c r="BR40" s="230">
        <v>2150</v>
      </c>
      <c r="BS40" s="230">
        <v>1904</v>
      </c>
      <c r="BT40" s="229">
        <v>0.88570000000000004</v>
      </c>
      <c r="BU40" s="230">
        <v>24669804</v>
      </c>
      <c r="BV40" s="230">
        <v>18358813</v>
      </c>
      <c r="BW40" s="230">
        <v>6310991</v>
      </c>
      <c r="BX40" s="229">
        <v>0.34379999999999999</v>
      </c>
      <c r="BY40" s="230">
        <v>3522</v>
      </c>
      <c r="BZ40" s="230">
        <v>3527</v>
      </c>
      <c r="CA40" s="228">
        <v>-5</v>
      </c>
      <c r="CB40" s="229">
        <v>-1.2999999999999999E-3</v>
      </c>
      <c r="CC40" s="230">
        <v>3414</v>
      </c>
      <c r="CD40" s="230">
        <v>3425</v>
      </c>
      <c r="CE40" s="228">
        <v>-11</v>
      </c>
      <c r="CF40" s="229">
        <v>-3.0999999999999999E-3</v>
      </c>
      <c r="CG40" s="228">
        <v>93</v>
      </c>
      <c r="CH40" s="228">
        <v>87</v>
      </c>
      <c r="CI40" s="228">
        <v>6</v>
      </c>
      <c r="CJ40" s="229">
        <v>6.8099999999999994E-2</v>
      </c>
      <c r="CK40" s="228">
        <v>15</v>
      </c>
      <c r="CL40" s="228">
        <v>15</v>
      </c>
      <c r="CM40" s="228">
        <v>0</v>
      </c>
      <c r="CN40" s="229">
        <v>0</v>
      </c>
      <c r="CO40" s="230">
        <v>1196</v>
      </c>
      <c r="CP40" s="230">
        <v>1297</v>
      </c>
      <c r="CQ40" s="228">
        <v>-101</v>
      </c>
      <c r="CR40" s="229">
        <v>-7.7799999999999994E-2</v>
      </c>
      <c r="CS40" s="230">
        <v>1021</v>
      </c>
      <c r="CT40" s="230">
        <v>1021</v>
      </c>
      <c r="CU40" s="228">
        <v>0</v>
      </c>
      <c r="CV40" s="229">
        <v>-1E-4</v>
      </c>
      <c r="CW40" s="230">
        <v>5739</v>
      </c>
      <c r="CX40" s="230">
        <v>5844</v>
      </c>
      <c r="CY40" s="228">
        <v>-106</v>
      </c>
      <c r="CZ40" s="229">
        <v>-1.8100000000000002E-2</v>
      </c>
      <c r="DA40" s="228">
        <v>29.5</v>
      </c>
      <c r="DB40" s="228">
        <v>31.72</v>
      </c>
      <c r="DC40" s="228">
        <v>-2.2200000000000002</v>
      </c>
      <c r="DD40" s="228">
        <v>-2.2200000000000002</v>
      </c>
      <c r="DE40" s="228">
        <v>37.71</v>
      </c>
      <c r="DF40" s="228">
        <v>37.79</v>
      </c>
      <c r="DG40" s="228">
        <v>-8.2100000000000009</v>
      </c>
      <c r="DH40" s="228">
        <v>-0.08</v>
      </c>
      <c r="DI40" s="228">
        <v>29.36</v>
      </c>
      <c r="DJ40" s="228">
        <v>31.74</v>
      </c>
      <c r="DK40" s="228">
        <v>-2.38</v>
      </c>
      <c r="DL40" s="228">
        <v>-2.38</v>
      </c>
      <c r="DM40" s="228">
        <v>29.79</v>
      </c>
      <c r="DN40" s="228">
        <v>31.68</v>
      </c>
      <c r="DO40" s="228">
        <v>-1.89</v>
      </c>
      <c r="DP40" s="228">
        <v>-1.89</v>
      </c>
      <c r="DQ40" s="228">
        <v>0.85</v>
      </c>
      <c r="DR40" s="228">
        <v>0.79</v>
      </c>
      <c r="DS40" s="228">
        <v>0.06</v>
      </c>
      <c r="DT40" s="229">
        <v>7.5899999999999995E-2</v>
      </c>
      <c r="DU40" s="228">
        <v>130</v>
      </c>
      <c r="DV40" s="228">
        <v>115</v>
      </c>
      <c r="DW40" s="228">
        <v>0.47</v>
      </c>
      <c r="DX40" s="228">
        <v>0.54</v>
      </c>
      <c r="DY40" s="228">
        <v>-7.0000000000000007E-2</v>
      </c>
      <c r="DZ40" s="229">
        <v>-0.12959999999999999</v>
      </c>
      <c r="EA40" s="229">
        <v>3.0700000000000002E-2</v>
      </c>
      <c r="EB40" s="230">
        <v>7998750</v>
      </c>
      <c r="EC40" s="229">
        <v>6.4000000000000003E-3</v>
      </c>
      <c r="ED40" s="229">
        <v>3.0700000000000002E-2</v>
      </c>
      <c r="EE40" s="228">
        <v>0.63</v>
      </c>
      <c r="EF40" s="229">
        <v>4.8999999999999998E-3</v>
      </c>
      <c r="EG40" s="230">
        <v>9717672</v>
      </c>
      <c r="EH40" s="230">
        <v>8674916</v>
      </c>
      <c r="EI40" s="229">
        <v>0.1202</v>
      </c>
      <c r="EJ40" s="229">
        <v>0.39389999999999997</v>
      </c>
      <c r="EK40" s="231">
        <v>2381.14</v>
      </c>
      <c r="EL40" s="231">
        <v>1061.6300000000001</v>
      </c>
      <c r="EM40" s="228">
        <v>695.53</v>
      </c>
      <c r="EN40" s="228">
        <v>85.62</v>
      </c>
      <c r="EO40" s="231">
        <v>4138.3</v>
      </c>
      <c r="EP40" s="231">
        <v>2179.94</v>
      </c>
      <c r="EQ40" s="231">
        <v>1958.36</v>
      </c>
      <c r="ER40" s="229">
        <v>0.89839999999999998</v>
      </c>
      <c r="ES40" s="231">
        <v>1202.1099999999999</v>
      </c>
      <c r="ET40" s="228">
        <v>953.66</v>
      </c>
      <c r="EU40" s="231">
        <v>3523.24</v>
      </c>
      <c r="EV40" s="231">
        <v>504315430</v>
      </c>
      <c r="EW40" s="231">
        <v>5679.01</v>
      </c>
      <c r="EX40" s="231">
        <v>5759.99</v>
      </c>
      <c r="EY40" s="228">
        <v>-80.98</v>
      </c>
      <c r="EZ40" s="229">
        <v>-1.41E-2</v>
      </c>
      <c r="FA40" s="229">
        <v>0.89070000000000005</v>
      </c>
      <c r="FB40" s="227" t="s">
        <v>556</v>
      </c>
      <c r="FC40">
        <f t="shared" si="0"/>
        <v>108</v>
      </c>
    </row>
    <row r="41" spans="1:159" ht="17.25" thickBot="1" x14ac:dyDescent="0.3">
      <c r="A41" s="226">
        <v>45940</v>
      </c>
      <c r="B41" s="227" t="s">
        <v>175</v>
      </c>
      <c r="C41" s="227" t="s">
        <v>598</v>
      </c>
      <c r="D41" s="228">
        <v>475</v>
      </c>
      <c r="E41" s="228">
        <v>18</v>
      </c>
      <c r="F41" s="231">
        <v>1614.6</v>
      </c>
      <c r="G41" s="231">
        <v>1567.4</v>
      </c>
      <c r="H41" s="228">
        <v>47.2</v>
      </c>
      <c r="I41" s="229">
        <v>3.0099999999999998E-2</v>
      </c>
      <c r="J41" s="231">
        <v>1605.3</v>
      </c>
      <c r="K41" s="231">
        <v>1558.6</v>
      </c>
      <c r="L41" s="228">
        <v>46.7</v>
      </c>
      <c r="M41" s="229">
        <v>0.03</v>
      </c>
      <c r="N41" s="231">
        <v>1614.6</v>
      </c>
      <c r="O41" s="231">
        <v>1567.4</v>
      </c>
      <c r="P41" s="228">
        <v>47.2</v>
      </c>
      <c r="Q41" s="229">
        <v>3.0099999999999998E-2</v>
      </c>
      <c r="R41" s="231">
        <v>1617.7</v>
      </c>
      <c r="S41" s="231">
        <v>1571.8</v>
      </c>
      <c r="T41" s="228">
        <v>45.9</v>
      </c>
      <c r="U41" s="229">
        <v>2.92E-2</v>
      </c>
      <c r="V41" s="231">
        <v>1621.9</v>
      </c>
      <c r="W41" s="231">
        <v>1575</v>
      </c>
      <c r="X41" s="228">
        <v>46.9</v>
      </c>
      <c r="Y41" s="229">
        <v>2.98E-2</v>
      </c>
      <c r="Z41" s="228">
        <v>9.3000000000000007</v>
      </c>
      <c r="AA41" s="228">
        <v>8.8000000000000007</v>
      </c>
      <c r="AB41" s="228">
        <v>0.5</v>
      </c>
      <c r="AC41" s="229">
        <v>5.7999999999999996E-3</v>
      </c>
      <c r="AD41" s="228">
        <v>9.3000000000000007</v>
      </c>
      <c r="AE41" s="228">
        <v>8.8000000000000007</v>
      </c>
      <c r="AF41" s="228">
        <v>0.5</v>
      </c>
      <c r="AG41" s="229">
        <v>5.7999999999999996E-3</v>
      </c>
      <c r="AH41" s="228">
        <v>12.4</v>
      </c>
      <c r="AI41" s="228">
        <v>13.2</v>
      </c>
      <c r="AJ41" s="228">
        <v>-0.8</v>
      </c>
      <c r="AK41" s="229">
        <v>7.7000000000000002E-3</v>
      </c>
      <c r="AL41" s="228">
        <v>16.600000000000001</v>
      </c>
      <c r="AM41" s="228">
        <v>16.399999999999999</v>
      </c>
      <c r="AN41" s="228">
        <v>0.2</v>
      </c>
      <c r="AO41" s="229">
        <v>1.03E-2</v>
      </c>
      <c r="AP41" s="231">
        <v>1600.09</v>
      </c>
      <c r="AQ41" s="231">
        <v>1603.14</v>
      </c>
      <c r="AR41" s="228">
        <v>0</v>
      </c>
      <c r="AS41" s="228">
        <v>699</v>
      </c>
      <c r="AT41" s="228">
        <v>303</v>
      </c>
      <c r="AU41" s="228">
        <v>396</v>
      </c>
      <c r="AV41" s="229">
        <v>1.3080000000000001</v>
      </c>
      <c r="AW41" s="228">
        <v>610</v>
      </c>
      <c r="AX41" s="228">
        <v>273</v>
      </c>
      <c r="AY41" s="228">
        <v>337</v>
      </c>
      <c r="AZ41" s="229">
        <v>1.2355</v>
      </c>
      <c r="BA41" s="228">
        <v>73</v>
      </c>
      <c r="BB41" s="228">
        <v>24</v>
      </c>
      <c r="BC41" s="228">
        <v>49</v>
      </c>
      <c r="BD41" s="229">
        <v>2.0032000000000001</v>
      </c>
      <c r="BE41" s="228">
        <v>16</v>
      </c>
      <c r="BF41" s="228">
        <v>6</v>
      </c>
      <c r="BG41" s="228">
        <v>11</v>
      </c>
      <c r="BH41" s="229">
        <v>1.8158000000000001</v>
      </c>
      <c r="BI41" s="230">
        <v>3631</v>
      </c>
      <c r="BJ41" s="230">
        <v>1362</v>
      </c>
      <c r="BK41" s="230">
        <v>2268</v>
      </c>
      <c r="BL41" s="229">
        <v>1.665</v>
      </c>
      <c r="BM41" s="228">
        <v>996</v>
      </c>
      <c r="BN41" s="228">
        <v>483</v>
      </c>
      <c r="BO41" s="228">
        <v>513</v>
      </c>
      <c r="BP41" s="229">
        <v>1.0631999999999999</v>
      </c>
      <c r="BQ41" s="230">
        <v>5326</v>
      </c>
      <c r="BR41" s="230">
        <v>2148</v>
      </c>
      <c r="BS41" s="230">
        <v>3178</v>
      </c>
      <c r="BT41" s="229">
        <v>1.4794</v>
      </c>
      <c r="BU41" s="230">
        <v>3338032</v>
      </c>
      <c r="BV41" s="230">
        <v>1698777</v>
      </c>
      <c r="BW41" s="230">
        <v>1639255</v>
      </c>
      <c r="BX41" s="229">
        <v>0.96499999999999997</v>
      </c>
      <c r="BY41" s="230">
        <v>1343</v>
      </c>
      <c r="BZ41" s="230">
        <v>1397</v>
      </c>
      <c r="CA41" s="228">
        <v>-53</v>
      </c>
      <c r="CB41" s="229">
        <v>-3.8199999999999998E-2</v>
      </c>
      <c r="CC41" s="230">
        <v>1230</v>
      </c>
      <c r="CD41" s="230">
        <v>1287</v>
      </c>
      <c r="CE41" s="228">
        <v>-57</v>
      </c>
      <c r="CF41" s="229">
        <v>-4.4600000000000001E-2</v>
      </c>
      <c r="CG41" s="228">
        <v>100</v>
      </c>
      <c r="CH41" s="228">
        <v>99</v>
      </c>
      <c r="CI41" s="228">
        <v>0</v>
      </c>
      <c r="CJ41" s="229">
        <v>4.5999999999999999E-3</v>
      </c>
      <c r="CK41" s="228">
        <v>13</v>
      </c>
      <c r="CL41" s="228">
        <v>10</v>
      </c>
      <c r="CM41" s="228">
        <v>4</v>
      </c>
      <c r="CN41" s="229">
        <v>0.3538</v>
      </c>
      <c r="CO41" s="228">
        <v>866</v>
      </c>
      <c r="CP41" s="228">
        <v>882</v>
      </c>
      <c r="CQ41" s="228">
        <v>-16</v>
      </c>
      <c r="CR41" s="229">
        <v>-1.8700000000000001E-2</v>
      </c>
      <c r="CS41" s="228">
        <v>584</v>
      </c>
      <c r="CT41" s="228">
        <v>574</v>
      </c>
      <c r="CU41" s="228">
        <v>10</v>
      </c>
      <c r="CV41" s="229">
        <v>1.67E-2</v>
      </c>
      <c r="CW41" s="230">
        <v>2793</v>
      </c>
      <c r="CX41" s="230">
        <v>2854</v>
      </c>
      <c r="CY41" s="228">
        <v>-60</v>
      </c>
      <c r="CZ41" s="229">
        <v>-2.1100000000000001E-2</v>
      </c>
      <c r="DA41" s="228">
        <v>29.41</v>
      </c>
      <c r="DB41" s="228">
        <v>30.02</v>
      </c>
      <c r="DC41" s="228">
        <v>-0.61</v>
      </c>
      <c r="DD41" s="228">
        <v>-0.61</v>
      </c>
      <c r="DE41" s="228">
        <v>48.07</v>
      </c>
      <c r="DF41" s="228">
        <v>48.02</v>
      </c>
      <c r="DG41" s="228">
        <v>-18.66</v>
      </c>
      <c r="DH41" s="228">
        <v>0.05</v>
      </c>
      <c r="DI41" s="228">
        <v>29.09</v>
      </c>
      <c r="DJ41" s="228">
        <v>29.89</v>
      </c>
      <c r="DK41" s="228">
        <v>-0.8</v>
      </c>
      <c r="DL41" s="228">
        <v>-0.8</v>
      </c>
      <c r="DM41" s="228">
        <v>30.6</v>
      </c>
      <c r="DN41" s="228">
        <v>30.41</v>
      </c>
      <c r="DO41" s="228">
        <v>0.19</v>
      </c>
      <c r="DP41" s="228">
        <v>0.19</v>
      </c>
      <c r="DQ41" s="228">
        <v>0.67</v>
      </c>
      <c r="DR41" s="228">
        <v>0.65</v>
      </c>
      <c r="DS41" s="228">
        <v>0.02</v>
      </c>
      <c r="DT41" s="229">
        <v>3.0800000000000001E-2</v>
      </c>
      <c r="DU41" s="231">
        <v>1600</v>
      </c>
      <c r="DV41" s="231">
        <v>1500</v>
      </c>
      <c r="DW41" s="228">
        <v>0.27</v>
      </c>
      <c r="DX41" s="228">
        <v>0.35</v>
      </c>
      <c r="DY41" s="228">
        <v>-0.08</v>
      </c>
      <c r="DZ41" s="229">
        <v>-0.2286</v>
      </c>
      <c r="EA41" s="229">
        <v>8.4400000000000003E-2</v>
      </c>
      <c r="EB41" s="230">
        <v>677350</v>
      </c>
      <c r="EC41" s="229">
        <v>1.9E-3</v>
      </c>
      <c r="ED41" s="229">
        <v>8.4400000000000003E-2</v>
      </c>
      <c r="EE41" s="228">
        <v>3.05</v>
      </c>
      <c r="EF41" s="229">
        <v>1.9E-3</v>
      </c>
      <c r="EG41" s="230">
        <v>1415077</v>
      </c>
      <c r="EH41" s="230">
        <v>518877</v>
      </c>
      <c r="EI41" s="229">
        <v>1.7272000000000001</v>
      </c>
      <c r="EJ41" s="229">
        <v>0.4239</v>
      </c>
      <c r="EK41" s="231">
        <v>3730.25</v>
      </c>
      <c r="EL41" s="228">
        <v>961.38</v>
      </c>
      <c r="EM41" s="228">
        <v>693.28</v>
      </c>
      <c r="EN41" s="228">
        <v>49.72</v>
      </c>
      <c r="EO41" s="231">
        <v>5384.91</v>
      </c>
      <c r="EP41" s="231">
        <v>2127.64</v>
      </c>
      <c r="EQ41" s="231">
        <v>3257.27</v>
      </c>
      <c r="ER41" s="229">
        <v>1.5308999999999999</v>
      </c>
      <c r="ES41" s="228">
        <v>871.69</v>
      </c>
      <c r="ET41" s="228">
        <v>546.19000000000005</v>
      </c>
      <c r="EU41" s="231">
        <v>1343.69</v>
      </c>
      <c r="EV41" s="231">
        <v>26647500</v>
      </c>
      <c r="EW41" s="231">
        <v>2761.57</v>
      </c>
      <c r="EX41" s="231">
        <v>2767.76</v>
      </c>
      <c r="EY41" s="228">
        <v>-6.19</v>
      </c>
      <c r="EZ41" s="229">
        <v>-2.2000000000000001E-3</v>
      </c>
      <c r="FA41" s="229">
        <v>0.6492</v>
      </c>
      <c r="FB41" s="227" t="s">
        <v>556</v>
      </c>
      <c r="FC41">
        <f t="shared" si="0"/>
        <v>113</v>
      </c>
    </row>
    <row r="42" spans="1:159" ht="17.25" thickBot="1" x14ac:dyDescent="0.3">
      <c r="A42" s="226">
        <v>45940</v>
      </c>
      <c r="B42" s="227" t="s">
        <v>161</v>
      </c>
      <c r="C42" s="227" t="s">
        <v>613</v>
      </c>
      <c r="D42" s="228">
        <v>850</v>
      </c>
      <c r="E42" s="228">
        <v>18</v>
      </c>
      <c r="F42" s="228">
        <v>756</v>
      </c>
      <c r="G42" s="228">
        <v>763.25</v>
      </c>
      <c r="H42" s="228">
        <v>-7.25</v>
      </c>
      <c r="I42" s="229">
        <v>-9.4999999999999998E-3</v>
      </c>
      <c r="J42" s="228">
        <v>753.4</v>
      </c>
      <c r="K42" s="228">
        <v>761.15</v>
      </c>
      <c r="L42" s="228">
        <v>-7.75</v>
      </c>
      <c r="M42" s="229">
        <v>-1.0200000000000001E-2</v>
      </c>
      <c r="N42" s="228">
        <v>756</v>
      </c>
      <c r="O42" s="228">
        <v>763.25</v>
      </c>
      <c r="P42" s="228">
        <v>-7.25</v>
      </c>
      <c r="Q42" s="229">
        <v>-9.4999999999999998E-3</v>
      </c>
      <c r="R42" s="228">
        <v>760.05</v>
      </c>
      <c r="S42" s="228">
        <v>766.75</v>
      </c>
      <c r="T42" s="228">
        <v>-6.7</v>
      </c>
      <c r="U42" s="229">
        <v>-8.6999999999999994E-3</v>
      </c>
      <c r="V42" s="228">
        <v>767.75</v>
      </c>
      <c r="W42" s="228">
        <v>771.85</v>
      </c>
      <c r="X42" s="228">
        <v>-4.0999999999999996</v>
      </c>
      <c r="Y42" s="229">
        <v>-5.3E-3</v>
      </c>
      <c r="Z42" s="228">
        <v>2.6</v>
      </c>
      <c r="AA42" s="228">
        <v>2.1</v>
      </c>
      <c r="AB42" s="228">
        <v>0.5</v>
      </c>
      <c r="AC42" s="229">
        <v>3.5000000000000001E-3</v>
      </c>
      <c r="AD42" s="228">
        <v>2.6</v>
      </c>
      <c r="AE42" s="228">
        <v>2.1</v>
      </c>
      <c r="AF42" s="228">
        <v>0.5</v>
      </c>
      <c r="AG42" s="229">
        <v>3.5000000000000001E-3</v>
      </c>
      <c r="AH42" s="228">
        <v>6.65</v>
      </c>
      <c r="AI42" s="228">
        <v>5.6</v>
      </c>
      <c r="AJ42" s="228">
        <v>1.05</v>
      </c>
      <c r="AK42" s="229">
        <v>8.8000000000000005E-3</v>
      </c>
      <c r="AL42" s="228">
        <v>14.35</v>
      </c>
      <c r="AM42" s="228">
        <v>10.7</v>
      </c>
      <c r="AN42" s="228">
        <v>3.65</v>
      </c>
      <c r="AO42" s="229">
        <v>1.9E-2</v>
      </c>
      <c r="AP42" s="228">
        <v>755.82</v>
      </c>
      <c r="AQ42" s="228">
        <v>759.54</v>
      </c>
      <c r="AR42" s="228">
        <v>0</v>
      </c>
      <c r="AS42" s="228">
        <v>193</v>
      </c>
      <c r="AT42" s="228">
        <v>274</v>
      </c>
      <c r="AU42" s="228">
        <v>-81</v>
      </c>
      <c r="AV42" s="229">
        <v>-0.29670000000000002</v>
      </c>
      <c r="AW42" s="228">
        <v>180</v>
      </c>
      <c r="AX42" s="228">
        <v>257</v>
      </c>
      <c r="AY42" s="228">
        <v>-77</v>
      </c>
      <c r="AZ42" s="229">
        <v>-0.30130000000000001</v>
      </c>
      <c r="BA42" s="228">
        <v>12</v>
      </c>
      <c r="BB42" s="228">
        <v>16</v>
      </c>
      <c r="BC42" s="228">
        <v>-4</v>
      </c>
      <c r="BD42" s="229">
        <v>-0.26340000000000002</v>
      </c>
      <c r="BE42" s="228">
        <v>1</v>
      </c>
      <c r="BF42" s="228">
        <v>1</v>
      </c>
      <c r="BG42" s="228">
        <v>0</v>
      </c>
      <c r="BH42" s="229">
        <v>0.29409999999999997</v>
      </c>
      <c r="BI42" s="228">
        <v>485</v>
      </c>
      <c r="BJ42" s="228">
        <v>829</v>
      </c>
      <c r="BK42" s="228">
        <v>-344</v>
      </c>
      <c r="BL42" s="229">
        <v>-0.41470000000000001</v>
      </c>
      <c r="BM42" s="228">
        <v>188</v>
      </c>
      <c r="BN42" s="228">
        <v>203</v>
      </c>
      <c r="BO42" s="228">
        <v>-15</v>
      </c>
      <c r="BP42" s="229">
        <v>-7.3700000000000002E-2</v>
      </c>
      <c r="BQ42" s="228">
        <v>866</v>
      </c>
      <c r="BR42" s="230">
        <v>1307</v>
      </c>
      <c r="BS42" s="228">
        <v>-440</v>
      </c>
      <c r="BT42" s="229">
        <v>-0.33689999999999998</v>
      </c>
      <c r="BU42" s="230">
        <v>2749237</v>
      </c>
      <c r="BV42" s="230">
        <v>2437030</v>
      </c>
      <c r="BW42" s="230">
        <v>312207</v>
      </c>
      <c r="BX42" s="229">
        <v>0.12809999999999999</v>
      </c>
      <c r="BY42" s="230">
        <v>1398</v>
      </c>
      <c r="BZ42" s="230">
        <v>1383</v>
      </c>
      <c r="CA42" s="228">
        <v>16</v>
      </c>
      <c r="CB42" s="229">
        <v>1.12E-2</v>
      </c>
      <c r="CC42" s="230">
        <v>1364</v>
      </c>
      <c r="CD42" s="230">
        <v>1352</v>
      </c>
      <c r="CE42" s="228">
        <v>12</v>
      </c>
      <c r="CF42" s="229">
        <v>8.8999999999999999E-3</v>
      </c>
      <c r="CG42" s="228">
        <v>32</v>
      </c>
      <c r="CH42" s="228">
        <v>29</v>
      </c>
      <c r="CI42" s="228">
        <v>3</v>
      </c>
      <c r="CJ42" s="229">
        <v>0.1013</v>
      </c>
      <c r="CK42" s="228">
        <v>2</v>
      </c>
      <c r="CL42" s="228">
        <v>2</v>
      </c>
      <c r="CM42" s="228">
        <v>1</v>
      </c>
      <c r="CN42" s="229">
        <v>0.28570000000000001</v>
      </c>
      <c r="CO42" s="228">
        <v>449</v>
      </c>
      <c r="CP42" s="228">
        <v>417</v>
      </c>
      <c r="CQ42" s="228">
        <v>31</v>
      </c>
      <c r="CR42" s="229">
        <v>7.5300000000000006E-2</v>
      </c>
      <c r="CS42" s="228">
        <v>278</v>
      </c>
      <c r="CT42" s="228">
        <v>246</v>
      </c>
      <c r="CU42" s="228">
        <v>33</v>
      </c>
      <c r="CV42" s="229">
        <v>0.1328</v>
      </c>
      <c r="CW42" s="230">
        <v>2125</v>
      </c>
      <c r="CX42" s="230">
        <v>2046</v>
      </c>
      <c r="CY42" s="228">
        <v>80</v>
      </c>
      <c r="CZ42" s="229">
        <v>3.8899999999999997E-2</v>
      </c>
      <c r="DA42" s="228">
        <v>32.44</v>
      </c>
      <c r="DB42" s="228">
        <v>32.35</v>
      </c>
      <c r="DC42" s="228">
        <v>0.09</v>
      </c>
      <c r="DD42" s="228">
        <v>0.09</v>
      </c>
      <c r="DE42" s="228">
        <v>41.94</v>
      </c>
      <c r="DF42" s="228">
        <v>42.02</v>
      </c>
      <c r="DG42" s="228">
        <v>-9.5</v>
      </c>
      <c r="DH42" s="228">
        <v>-0.08</v>
      </c>
      <c r="DI42" s="228">
        <v>32.869999999999997</v>
      </c>
      <c r="DJ42" s="228">
        <v>32.409999999999997</v>
      </c>
      <c r="DK42" s="228">
        <v>0.46</v>
      </c>
      <c r="DL42" s="228">
        <v>0.46</v>
      </c>
      <c r="DM42" s="228">
        <v>31.34</v>
      </c>
      <c r="DN42" s="228">
        <v>32.1</v>
      </c>
      <c r="DO42" s="228">
        <v>-0.76</v>
      </c>
      <c r="DP42" s="228">
        <v>-0.76</v>
      </c>
      <c r="DQ42" s="228">
        <v>0.62</v>
      </c>
      <c r="DR42" s="228">
        <v>0.59</v>
      </c>
      <c r="DS42" s="228">
        <v>0.03</v>
      </c>
      <c r="DT42" s="229">
        <v>5.0799999999999998E-2</v>
      </c>
      <c r="DU42" s="228">
        <v>840</v>
      </c>
      <c r="DV42" s="228">
        <v>700</v>
      </c>
      <c r="DW42" s="228">
        <v>0.39</v>
      </c>
      <c r="DX42" s="228">
        <v>0.25</v>
      </c>
      <c r="DY42" s="228">
        <v>0.14000000000000001</v>
      </c>
      <c r="DZ42" s="229">
        <v>0.56000000000000005</v>
      </c>
      <c r="EA42" s="229">
        <v>2.46E-2</v>
      </c>
      <c r="EB42" s="230">
        <v>409700</v>
      </c>
      <c r="EC42" s="229">
        <v>5.4000000000000003E-3</v>
      </c>
      <c r="ED42" s="229">
        <v>2.46E-2</v>
      </c>
      <c r="EE42" s="228">
        <v>3.72</v>
      </c>
      <c r="EF42" s="229">
        <v>4.8999999999999998E-3</v>
      </c>
      <c r="EG42" s="230">
        <v>1534315</v>
      </c>
      <c r="EH42" s="230">
        <v>954221</v>
      </c>
      <c r="EI42" s="229">
        <v>0.6079</v>
      </c>
      <c r="EJ42" s="229">
        <v>0.55810000000000004</v>
      </c>
      <c r="EK42" s="228">
        <v>507.23</v>
      </c>
      <c r="EL42" s="228">
        <v>186.47</v>
      </c>
      <c r="EM42" s="228">
        <v>192.68</v>
      </c>
      <c r="EN42" s="228">
        <v>26.44</v>
      </c>
      <c r="EO42" s="228">
        <v>886.38</v>
      </c>
      <c r="EP42" s="231">
        <v>1346.52</v>
      </c>
      <c r="EQ42" s="228">
        <v>-460.14</v>
      </c>
      <c r="ER42" s="229">
        <v>-0.3417</v>
      </c>
      <c r="ES42" s="228">
        <v>472.42</v>
      </c>
      <c r="ET42" s="228">
        <v>268.14999999999998</v>
      </c>
      <c r="EU42" s="231">
        <v>1398.63</v>
      </c>
      <c r="EV42" s="231">
        <v>100245792</v>
      </c>
      <c r="EW42" s="231">
        <v>2139.1999999999998</v>
      </c>
      <c r="EX42" s="231">
        <v>2072.46</v>
      </c>
      <c r="EY42" s="228">
        <v>66.739999999999995</v>
      </c>
      <c r="EZ42" s="229">
        <v>3.2199999999999999E-2</v>
      </c>
      <c r="FA42" s="229">
        <v>0.28050000000000003</v>
      </c>
      <c r="FB42" s="227" t="s">
        <v>567</v>
      </c>
      <c r="FC42">
        <f t="shared" si="0"/>
        <v>34</v>
      </c>
    </row>
    <row r="43" spans="1:159" ht="17.25" thickBot="1" x14ac:dyDescent="0.3">
      <c r="A43" s="226">
        <v>45940</v>
      </c>
      <c r="B43" s="227" t="s">
        <v>175</v>
      </c>
      <c r="C43" s="227" t="s">
        <v>198</v>
      </c>
      <c r="D43" s="228">
        <v>625</v>
      </c>
      <c r="E43" s="228">
        <v>18</v>
      </c>
      <c r="F43" s="231">
        <v>1611.6</v>
      </c>
      <c r="G43" s="231">
        <v>1617.4</v>
      </c>
      <c r="H43" s="228">
        <v>-5.8</v>
      </c>
      <c r="I43" s="229">
        <v>-3.5999999999999999E-3</v>
      </c>
      <c r="J43" s="231">
        <v>1614.2</v>
      </c>
      <c r="K43" s="231">
        <v>1621.4</v>
      </c>
      <c r="L43" s="228">
        <v>-7.2</v>
      </c>
      <c r="M43" s="229">
        <v>-4.4000000000000003E-3</v>
      </c>
      <c r="N43" s="231">
        <v>1611.6</v>
      </c>
      <c r="O43" s="231">
        <v>1617.4</v>
      </c>
      <c r="P43" s="228">
        <v>-5.8</v>
      </c>
      <c r="Q43" s="229">
        <v>-3.5999999999999999E-3</v>
      </c>
      <c r="R43" s="231">
        <v>1600.1</v>
      </c>
      <c r="S43" s="231">
        <v>1606.3</v>
      </c>
      <c r="T43" s="228">
        <v>-6.2</v>
      </c>
      <c r="U43" s="229">
        <v>-3.8999999999999998E-3</v>
      </c>
      <c r="V43" s="231">
        <v>1593.7</v>
      </c>
      <c r="W43" s="231">
        <v>1602.5</v>
      </c>
      <c r="X43" s="228">
        <v>-8.8000000000000007</v>
      </c>
      <c r="Y43" s="229">
        <v>-5.4999999999999997E-3</v>
      </c>
      <c r="Z43" s="228">
        <v>-2.6</v>
      </c>
      <c r="AA43" s="228">
        <v>-4</v>
      </c>
      <c r="AB43" s="228">
        <v>1.4</v>
      </c>
      <c r="AC43" s="229">
        <v>-1.6000000000000001E-3</v>
      </c>
      <c r="AD43" s="228">
        <v>-2.6</v>
      </c>
      <c r="AE43" s="228">
        <v>-4</v>
      </c>
      <c r="AF43" s="228">
        <v>1.4</v>
      </c>
      <c r="AG43" s="229">
        <v>-1.6000000000000001E-3</v>
      </c>
      <c r="AH43" s="228">
        <v>-14.1</v>
      </c>
      <c r="AI43" s="228">
        <v>-15.1</v>
      </c>
      <c r="AJ43" s="228">
        <v>1</v>
      </c>
      <c r="AK43" s="229">
        <v>-8.6999999999999994E-3</v>
      </c>
      <c r="AL43" s="228">
        <v>-20.5</v>
      </c>
      <c r="AM43" s="228">
        <v>-18.899999999999999</v>
      </c>
      <c r="AN43" s="228">
        <v>-1.6</v>
      </c>
      <c r="AO43" s="229">
        <v>-1.2699999999999999E-2</v>
      </c>
      <c r="AP43" s="231">
        <v>1617.4</v>
      </c>
      <c r="AQ43" s="231">
        <v>1605.4</v>
      </c>
      <c r="AR43" s="228">
        <v>0</v>
      </c>
      <c r="AS43" s="228">
        <v>185</v>
      </c>
      <c r="AT43" s="228">
        <v>305</v>
      </c>
      <c r="AU43" s="228">
        <v>-120</v>
      </c>
      <c r="AV43" s="229">
        <v>-0.39369999999999999</v>
      </c>
      <c r="AW43" s="228">
        <v>161</v>
      </c>
      <c r="AX43" s="228">
        <v>277</v>
      </c>
      <c r="AY43" s="228">
        <v>-117</v>
      </c>
      <c r="AZ43" s="229">
        <v>-0.42120000000000002</v>
      </c>
      <c r="BA43" s="228">
        <v>23</v>
      </c>
      <c r="BB43" s="228">
        <v>26</v>
      </c>
      <c r="BC43" s="228">
        <v>-4</v>
      </c>
      <c r="BD43" s="229">
        <v>-0.14449999999999999</v>
      </c>
      <c r="BE43" s="228">
        <v>2</v>
      </c>
      <c r="BF43" s="228">
        <v>1</v>
      </c>
      <c r="BG43" s="228">
        <v>1</v>
      </c>
      <c r="BH43" s="229">
        <v>0.875</v>
      </c>
      <c r="BI43" s="228">
        <v>507</v>
      </c>
      <c r="BJ43" s="228">
        <v>549</v>
      </c>
      <c r="BK43" s="228">
        <v>-41</v>
      </c>
      <c r="BL43" s="229">
        <v>-7.5300000000000006E-2</v>
      </c>
      <c r="BM43" s="228">
        <v>198</v>
      </c>
      <c r="BN43" s="228">
        <v>257</v>
      </c>
      <c r="BO43" s="228">
        <v>-60</v>
      </c>
      <c r="BP43" s="229">
        <v>-0.2316</v>
      </c>
      <c r="BQ43" s="228">
        <v>890</v>
      </c>
      <c r="BR43" s="230">
        <v>1110</v>
      </c>
      <c r="BS43" s="228">
        <v>-221</v>
      </c>
      <c r="BT43" s="229">
        <v>-0.1988</v>
      </c>
      <c r="BU43" s="230">
        <v>459246</v>
      </c>
      <c r="BV43" s="230">
        <v>1609589</v>
      </c>
      <c r="BW43" s="230">
        <v>-1150343</v>
      </c>
      <c r="BX43" s="229">
        <v>-0.7147</v>
      </c>
      <c r="BY43" s="230">
        <v>2538</v>
      </c>
      <c r="BZ43" s="230">
        <v>2524</v>
      </c>
      <c r="CA43" s="228">
        <v>15</v>
      </c>
      <c r="CB43" s="229">
        <v>5.8999999999999999E-3</v>
      </c>
      <c r="CC43" s="230">
        <v>2448</v>
      </c>
      <c r="CD43" s="230">
        <v>2445</v>
      </c>
      <c r="CE43" s="228">
        <v>3</v>
      </c>
      <c r="CF43" s="229">
        <v>1.1999999999999999E-3</v>
      </c>
      <c r="CG43" s="228">
        <v>86</v>
      </c>
      <c r="CH43" s="228">
        <v>75</v>
      </c>
      <c r="CI43" s="228">
        <v>11</v>
      </c>
      <c r="CJ43" s="229">
        <v>0.15029999999999999</v>
      </c>
      <c r="CK43" s="228">
        <v>4</v>
      </c>
      <c r="CL43" s="228">
        <v>3</v>
      </c>
      <c r="CM43" s="228">
        <v>1</v>
      </c>
      <c r="CN43" s="229">
        <v>0.2581</v>
      </c>
      <c r="CO43" s="228">
        <v>397</v>
      </c>
      <c r="CP43" s="228">
        <v>398</v>
      </c>
      <c r="CQ43" s="228">
        <v>-2</v>
      </c>
      <c r="CR43" s="229">
        <v>-4.0000000000000001E-3</v>
      </c>
      <c r="CS43" s="228">
        <v>288</v>
      </c>
      <c r="CT43" s="228">
        <v>292</v>
      </c>
      <c r="CU43" s="228">
        <v>-4</v>
      </c>
      <c r="CV43" s="229">
        <v>-1.35E-2</v>
      </c>
      <c r="CW43" s="230">
        <v>3223</v>
      </c>
      <c r="CX43" s="230">
        <v>3214</v>
      </c>
      <c r="CY43" s="228">
        <v>9</v>
      </c>
      <c r="CZ43" s="229">
        <v>2.8999999999999998E-3</v>
      </c>
      <c r="DA43" s="228">
        <v>23.88</v>
      </c>
      <c r="DB43" s="228">
        <v>25.09</v>
      </c>
      <c r="DC43" s="228">
        <v>-1.21</v>
      </c>
      <c r="DD43" s="228">
        <v>-1.21</v>
      </c>
      <c r="DE43" s="228">
        <v>38.78</v>
      </c>
      <c r="DF43" s="228">
        <v>38.869999999999997</v>
      </c>
      <c r="DG43" s="228">
        <v>-14.9</v>
      </c>
      <c r="DH43" s="228">
        <v>-0.09</v>
      </c>
      <c r="DI43" s="228">
        <v>23.82</v>
      </c>
      <c r="DJ43" s="228">
        <v>25.06</v>
      </c>
      <c r="DK43" s="228">
        <v>-1.24</v>
      </c>
      <c r="DL43" s="228">
        <v>-1.24</v>
      </c>
      <c r="DM43" s="228">
        <v>24.02</v>
      </c>
      <c r="DN43" s="228">
        <v>25.15</v>
      </c>
      <c r="DO43" s="228">
        <v>-1.1299999999999999</v>
      </c>
      <c r="DP43" s="228">
        <v>-1.1299999999999999</v>
      </c>
      <c r="DQ43" s="228">
        <v>0.73</v>
      </c>
      <c r="DR43" s="228">
        <v>0.73</v>
      </c>
      <c r="DS43" s="228">
        <v>0</v>
      </c>
      <c r="DT43" s="229">
        <v>0</v>
      </c>
      <c r="DU43" s="231">
        <v>1700</v>
      </c>
      <c r="DV43" s="231">
        <v>1600</v>
      </c>
      <c r="DW43" s="228">
        <v>0.39</v>
      </c>
      <c r="DX43" s="228">
        <v>0.47</v>
      </c>
      <c r="DY43" s="228">
        <v>-0.08</v>
      </c>
      <c r="DZ43" s="229">
        <v>-0.17019999999999999</v>
      </c>
      <c r="EA43" s="229">
        <v>3.56E-2</v>
      </c>
      <c r="EB43" s="230">
        <v>485000</v>
      </c>
      <c r="EC43" s="229">
        <v>-7.1000000000000004E-3</v>
      </c>
      <c r="ED43" s="229">
        <v>3.56E-2</v>
      </c>
      <c r="EE43" s="228">
        <v>-12</v>
      </c>
      <c r="EF43" s="229">
        <v>-7.4000000000000003E-3</v>
      </c>
      <c r="EG43" s="230">
        <v>272906</v>
      </c>
      <c r="EH43" s="230">
        <v>1214014</v>
      </c>
      <c r="EI43" s="229">
        <v>-0.7752</v>
      </c>
      <c r="EJ43" s="229">
        <v>0.59419999999999995</v>
      </c>
      <c r="EK43" s="228">
        <v>526.04999999999995</v>
      </c>
      <c r="EL43" s="228">
        <v>195.7</v>
      </c>
      <c r="EM43" s="228">
        <v>185.21</v>
      </c>
      <c r="EN43" s="228">
        <v>38.159999999999997</v>
      </c>
      <c r="EO43" s="228">
        <v>906.95</v>
      </c>
      <c r="EP43" s="231">
        <v>1126.55</v>
      </c>
      <c r="EQ43" s="228">
        <v>-219.6</v>
      </c>
      <c r="ER43" s="229">
        <v>-0.19489999999999999</v>
      </c>
      <c r="ES43" s="228">
        <v>407.65</v>
      </c>
      <c r="ET43" s="228">
        <v>274.17</v>
      </c>
      <c r="EU43" s="231">
        <v>2537.81</v>
      </c>
      <c r="EV43" s="231">
        <v>63212268</v>
      </c>
      <c r="EW43" s="231">
        <v>3219.63</v>
      </c>
      <c r="EX43" s="231">
        <v>3217.91</v>
      </c>
      <c r="EY43" s="228">
        <v>1.72</v>
      </c>
      <c r="EZ43" s="229">
        <v>5.0000000000000001E-4</v>
      </c>
      <c r="FA43" s="229">
        <v>0.31640000000000001</v>
      </c>
      <c r="FB43" s="227" t="s">
        <v>567</v>
      </c>
      <c r="FC43">
        <f t="shared" si="0"/>
        <v>90</v>
      </c>
    </row>
    <row r="44" spans="1:159" ht="17.25" thickBot="1" x14ac:dyDescent="0.3">
      <c r="A44" s="226">
        <v>45940</v>
      </c>
      <c r="B44" s="227" t="s">
        <v>170</v>
      </c>
      <c r="C44" s="227" t="s">
        <v>199</v>
      </c>
      <c r="D44" s="228">
        <v>375</v>
      </c>
      <c r="E44" s="228">
        <v>18</v>
      </c>
      <c r="F44" s="231">
        <v>1572.2</v>
      </c>
      <c r="G44" s="231">
        <v>1517.3</v>
      </c>
      <c r="H44" s="228">
        <v>54.9</v>
      </c>
      <c r="I44" s="229">
        <v>3.6200000000000003E-2</v>
      </c>
      <c r="J44" s="231">
        <v>1561.8</v>
      </c>
      <c r="K44" s="231">
        <v>1513.1</v>
      </c>
      <c r="L44" s="228">
        <v>48.7</v>
      </c>
      <c r="M44" s="229">
        <v>3.2199999999999999E-2</v>
      </c>
      <c r="N44" s="231">
        <v>1572.2</v>
      </c>
      <c r="O44" s="231">
        <v>1517.3</v>
      </c>
      <c r="P44" s="228">
        <v>54.9</v>
      </c>
      <c r="Q44" s="229">
        <v>3.6200000000000003E-2</v>
      </c>
      <c r="R44" s="231">
        <v>1581.2</v>
      </c>
      <c r="S44" s="231">
        <v>1525.8</v>
      </c>
      <c r="T44" s="228">
        <v>55.4</v>
      </c>
      <c r="U44" s="229">
        <v>3.6299999999999999E-2</v>
      </c>
      <c r="V44" s="231">
        <v>1590</v>
      </c>
      <c r="W44" s="231">
        <v>1531.9</v>
      </c>
      <c r="X44" s="228">
        <v>58.1</v>
      </c>
      <c r="Y44" s="229">
        <v>3.7900000000000003E-2</v>
      </c>
      <c r="Z44" s="228">
        <v>10.4</v>
      </c>
      <c r="AA44" s="228">
        <v>4.2</v>
      </c>
      <c r="AB44" s="228">
        <v>6.2</v>
      </c>
      <c r="AC44" s="229">
        <v>6.7000000000000002E-3</v>
      </c>
      <c r="AD44" s="228">
        <v>10.4</v>
      </c>
      <c r="AE44" s="228">
        <v>4.2</v>
      </c>
      <c r="AF44" s="228">
        <v>6.2</v>
      </c>
      <c r="AG44" s="229">
        <v>6.7000000000000002E-3</v>
      </c>
      <c r="AH44" s="228">
        <v>19.399999999999999</v>
      </c>
      <c r="AI44" s="228">
        <v>12.7</v>
      </c>
      <c r="AJ44" s="228">
        <v>6.7</v>
      </c>
      <c r="AK44" s="229">
        <v>1.24E-2</v>
      </c>
      <c r="AL44" s="228">
        <v>28.2</v>
      </c>
      <c r="AM44" s="228">
        <v>18.8</v>
      </c>
      <c r="AN44" s="228">
        <v>9.4</v>
      </c>
      <c r="AO44" s="229">
        <v>1.8100000000000002E-2</v>
      </c>
      <c r="AP44" s="231">
        <v>1555.19</v>
      </c>
      <c r="AQ44" s="231">
        <v>1558.88</v>
      </c>
      <c r="AR44" s="228">
        <v>0</v>
      </c>
      <c r="AS44" s="228">
        <v>555</v>
      </c>
      <c r="AT44" s="228">
        <v>211</v>
      </c>
      <c r="AU44" s="228">
        <v>344</v>
      </c>
      <c r="AV44" s="229">
        <v>1.6282000000000001</v>
      </c>
      <c r="AW44" s="228">
        <v>529</v>
      </c>
      <c r="AX44" s="228">
        <v>203</v>
      </c>
      <c r="AY44" s="228">
        <v>326</v>
      </c>
      <c r="AZ44" s="229">
        <v>1.6054999999999999</v>
      </c>
      <c r="BA44" s="228">
        <v>22</v>
      </c>
      <c r="BB44" s="228">
        <v>8</v>
      </c>
      <c r="BC44" s="228">
        <v>15</v>
      </c>
      <c r="BD44" s="229">
        <v>1.8571</v>
      </c>
      <c r="BE44" s="228">
        <v>4</v>
      </c>
      <c r="BF44" s="228">
        <v>0</v>
      </c>
      <c r="BG44" s="228">
        <v>3</v>
      </c>
      <c r="BH44" s="229">
        <v>11.2</v>
      </c>
      <c r="BI44" s="230">
        <v>3265</v>
      </c>
      <c r="BJ44" s="228">
        <v>807</v>
      </c>
      <c r="BK44" s="230">
        <v>2458</v>
      </c>
      <c r="BL44" s="229">
        <v>3.044</v>
      </c>
      <c r="BM44" s="230">
        <v>1244</v>
      </c>
      <c r="BN44" s="228">
        <v>259</v>
      </c>
      <c r="BO44" s="228">
        <v>986</v>
      </c>
      <c r="BP44" s="229">
        <v>3.8079999999999998</v>
      </c>
      <c r="BQ44" s="230">
        <v>5065</v>
      </c>
      <c r="BR44" s="230">
        <v>1278</v>
      </c>
      <c r="BS44" s="230">
        <v>3788</v>
      </c>
      <c r="BT44" s="229">
        <v>2.9647000000000001</v>
      </c>
      <c r="BU44" s="230">
        <v>1556526</v>
      </c>
      <c r="BV44" s="230">
        <v>954937</v>
      </c>
      <c r="BW44" s="230">
        <v>601589</v>
      </c>
      <c r="BX44" s="229">
        <v>0.63</v>
      </c>
      <c r="BY44" s="230">
        <v>1748</v>
      </c>
      <c r="BZ44" s="230">
        <v>1699</v>
      </c>
      <c r="CA44" s="228">
        <v>49</v>
      </c>
      <c r="CB44" s="229">
        <v>2.9100000000000001E-2</v>
      </c>
      <c r="CC44" s="230">
        <v>1725</v>
      </c>
      <c r="CD44" s="230">
        <v>1681</v>
      </c>
      <c r="CE44" s="228">
        <v>44</v>
      </c>
      <c r="CF44" s="229">
        <v>2.6100000000000002E-2</v>
      </c>
      <c r="CG44" s="228">
        <v>20</v>
      </c>
      <c r="CH44" s="228">
        <v>17</v>
      </c>
      <c r="CI44" s="228">
        <v>3</v>
      </c>
      <c r="CJ44" s="229">
        <v>0.1903</v>
      </c>
      <c r="CK44" s="228">
        <v>3</v>
      </c>
      <c r="CL44" s="228">
        <v>1</v>
      </c>
      <c r="CM44" s="228">
        <v>2</v>
      </c>
      <c r="CN44" s="229">
        <v>2.7856999999999998</v>
      </c>
      <c r="CO44" s="228">
        <v>636</v>
      </c>
      <c r="CP44" s="228">
        <v>557</v>
      </c>
      <c r="CQ44" s="228">
        <v>79</v>
      </c>
      <c r="CR44" s="229">
        <v>0.14149999999999999</v>
      </c>
      <c r="CS44" s="228">
        <v>508</v>
      </c>
      <c r="CT44" s="228">
        <v>317</v>
      </c>
      <c r="CU44" s="228">
        <v>191</v>
      </c>
      <c r="CV44" s="229">
        <v>0.60170000000000001</v>
      </c>
      <c r="CW44" s="230">
        <v>2891</v>
      </c>
      <c r="CX44" s="230">
        <v>2572</v>
      </c>
      <c r="CY44" s="228">
        <v>319</v>
      </c>
      <c r="CZ44" s="229">
        <v>0.124</v>
      </c>
      <c r="DA44" s="228">
        <v>20.309999999999999</v>
      </c>
      <c r="DB44" s="228">
        <v>18.899999999999999</v>
      </c>
      <c r="DC44" s="228">
        <v>1.41</v>
      </c>
      <c r="DD44" s="228">
        <v>1.41</v>
      </c>
      <c r="DE44" s="228">
        <v>26.49</v>
      </c>
      <c r="DF44" s="228">
        <v>26.21</v>
      </c>
      <c r="DG44" s="228">
        <v>-6.18</v>
      </c>
      <c r="DH44" s="228">
        <v>0.28000000000000003</v>
      </c>
      <c r="DI44" s="228">
        <v>19.829999999999998</v>
      </c>
      <c r="DJ44" s="228">
        <v>18.7</v>
      </c>
      <c r="DK44" s="228">
        <v>1.1299999999999999</v>
      </c>
      <c r="DL44" s="228">
        <v>1.1299999999999999</v>
      </c>
      <c r="DM44" s="228">
        <v>21.56</v>
      </c>
      <c r="DN44" s="228">
        <v>19.55</v>
      </c>
      <c r="DO44" s="228">
        <v>2.0099999999999998</v>
      </c>
      <c r="DP44" s="228">
        <v>2.0099999999999998</v>
      </c>
      <c r="DQ44" s="228">
        <v>0.8</v>
      </c>
      <c r="DR44" s="228">
        <v>0.56999999999999995</v>
      </c>
      <c r="DS44" s="228">
        <v>0.23</v>
      </c>
      <c r="DT44" s="229">
        <v>0.40350000000000003</v>
      </c>
      <c r="DU44" s="231">
        <v>1600</v>
      </c>
      <c r="DV44" s="231">
        <v>1500</v>
      </c>
      <c r="DW44" s="228">
        <v>0.38</v>
      </c>
      <c r="DX44" s="228">
        <v>0.32</v>
      </c>
      <c r="DY44" s="228">
        <v>0.06</v>
      </c>
      <c r="DZ44" s="229">
        <v>0.1875</v>
      </c>
      <c r="EA44" s="229">
        <v>1.34E-2</v>
      </c>
      <c r="EB44" s="230">
        <v>113625</v>
      </c>
      <c r="EC44" s="229">
        <v>5.7000000000000002E-3</v>
      </c>
      <c r="ED44" s="229">
        <v>1.34E-2</v>
      </c>
      <c r="EE44" s="228">
        <v>3.69</v>
      </c>
      <c r="EF44" s="229">
        <v>2.3999999999999998E-3</v>
      </c>
      <c r="EG44" s="230">
        <v>579022</v>
      </c>
      <c r="EH44" s="230">
        <v>503096</v>
      </c>
      <c r="EI44" s="229">
        <v>0.15090000000000001</v>
      </c>
      <c r="EJ44" s="229">
        <v>0.372</v>
      </c>
      <c r="EK44" s="231">
        <v>3322.57</v>
      </c>
      <c r="EL44" s="231">
        <v>1199.6500000000001</v>
      </c>
      <c r="EM44" s="228">
        <v>549.29</v>
      </c>
      <c r="EN44" s="228">
        <v>26.64</v>
      </c>
      <c r="EO44" s="231">
        <v>5071.51</v>
      </c>
      <c r="EP44" s="231">
        <v>1249.31</v>
      </c>
      <c r="EQ44" s="231">
        <v>3822.2</v>
      </c>
      <c r="ER44" s="229">
        <v>3.0594999999999999</v>
      </c>
      <c r="ES44" s="228">
        <v>647.5</v>
      </c>
      <c r="ET44" s="228">
        <v>473.89</v>
      </c>
      <c r="EU44" s="231">
        <v>1748.06</v>
      </c>
      <c r="EV44" s="231">
        <v>57073940</v>
      </c>
      <c r="EW44" s="231">
        <v>2869.46</v>
      </c>
      <c r="EX44" s="231">
        <v>2495.23</v>
      </c>
      <c r="EY44" s="228">
        <v>374.23</v>
      </c>
      <c r="EZ44" s="229">
        <v>0.15</v>
      </c>
      <c r="FA44" s="229">
        <v>0.32219999999999999</v>
      </c>
      <c r="FB44" s="227" t="s">
        <v>555</v>
      </c>
      <c r="FC44">
        <f t="shared" si="0"/>
        <v>23</v>
      </c>
    </row>
    <row r="45" spans="1:159" ht="17.25" thickBot="1" x14ac:dyDescent="0.3">
      <c r="A45" s="226">
        <v>45940</v>
      </c>
      <c r="B45" s="227" t="s">
        <v>227</v>
      </c>
      <c r="C45" s="227" t="s">
        <v>200</v>
      </c>
      <c r="D45" s="228">
        <v>1350</v>
      </c>
      <c r="E45" s="228">
        <v>18</v>
      </c>
      <c r="F45" s="228">
        <v>385.7</v>
      </c>
      <c r="G45" s="228">
        <v>385.45</v>
      </c>
      <c r="H45" s="228">
        <v>0.25</v>
      </c>
      <c r="I45" s="229">
        <v>5.9999999999999995E-4</v>
      </c>
      <c r="J45" s="228">
        <v>384.5</v>
      </c>
      <c r="K45" s="228">
        <v>383.35</v>
      </c>
      <c r="L45" s="228">
        <v>1.1499999999999999</v>
      </c>
      <c r="M45" s="229">
        <v>3.0000000000000001E-3</v>
      </c>
      <c r="N45" s="228">
        <v>385.7</v>
      </c>
      <c r="O45" s="228">
        <v>385.45</v>
      </c>
      <c r="P45" s="228">
        <v>0.25</v>
      </c>
      <c r="Q45" s="229">
        <v>5.9999999999999995E-4</v>
      </c>
      <c r="R45" s="228">
        <v>386.7</v>
      </c>
      <c r="S45" s="228">
        <v>386.65</v>
      </c>
      <c r="T45" s="228">
        <v>0.05</v>
      </c>
      <c r="U45" s="229">
        <v>1E-4</v>
      </c>
      <c r="V45" s="228">
        <v>389.3</v>
      </c>
      <c r="W45" s="228">
        <v>389.1</v>
      </c>
      <c r="X45" s="228">
        <v>0.2</v>
      </c>
      <c r="Y45" s="229">
        <v>5.0000000000000001E-4</v>
      </c>
      <c r="Z45" s="228">
        <v>1.2</v>
      </c>
      <c r="AA45" s="228">
        <v>2.1</v>
      </c>
      <c r="AB45" s="228">
        <v>-0.9</v>
      </c>
      <c r="AC45" s="229">
        <v>3.0999999999999999E-3</v>
      </c>
      <c r="AD45" s="228">
        <v>1.2</v>
      </c>
      <c r="AE45" s="228">
        <v>2.1</v>
      </c>
      <c r="AF45" s="228">
        <v>-0.9</v>
      </c>
      <c r="AG45" s="229">
        <v>3.0999999999999999E-3</v>
      </c>
      <c r="AH45" s="228">
        <v>2.2000000000000002</v>
      </c>
      <c r="AI45" s="228">
        <v>3.3</v>
      </c>
      <c r="AJ45" s="228">
        <v>-1.1000000000000001</v>
      </c>
      <c r="AK45" s="229">
        <v>5.7000000000000002E-3</v>
      </c>
      <c r="AL45" s="228">
        <v>4.8</v>
      </c>
      <c r="AM45" s="228">
        <v>5.75</v>
      </c>
      <c r="AN45" s="228">
        <v>-0.95</v>
      </c>
      <c r="AO45" s="229">
        <v>1.2500000000000001E-2</v>
      </c>
      <c r="AP45" s="228">
        <v>386.48</v>
      </c>
      <c r="AQ45" s="228">
        <v>387.17</v>
      </c>
      <c r="AR45" s="228">
        <v>0</v>
      </c>
      <c r="AS45" s="228">
        <v>219</v>
      </c>
      <c r="AT45" s="228">
        <v>201</v>
      </c>
      <c r="AU45" s="228">
        <v>17</v>
      </c>
      <c r="AV45" s="229">
        <v>8.6499999999999994E-2</v>
      </c>
      <c r="AW45" s="228">
        <v>178</v>
      </c>
      <c r="AX45" s="228">
        <v>177</v>
      </c>
      <c r="AY45" s="228">
        <v>1</v>
      </c>
      <c r="AZ45" s="229">
        <v>7.4000000000000003E-3</v>
      </c>
      <c r="BA45" s="228">
        <v>34</v>
      </c>
      <c r="BB45" s="228">
        <v>19</v>
      </c>
      <c r="BC45" s="228">
        <v>16</v>
      </c>
      <c r="BD45" s="229">
        <v>0.84589999999999999</v>
      </c>
      <c r="BE45" s="228">
        <v>6</v>
      </c>
      <c r="BF45" s="228">
        <v>6</v>
      </c>
      <c r="BG45" s="228">
        <v>0</v>
      </c>
      <c r="BH45" s="229">
        <v>6.0299999999999999E-2</v>
      </c>
      <c r="BI45" s="228">
        <v>650</v>
      </c>
      <c r="BJ45" s="228">
        <v>767</v>
      </c>
      <c r="BK45" s="228">
        <v>-117</v>
      </c>
      <c r="BL45" s="229">
        <v>-0.15240000000000001</v>
      </c>
      <c r="BM45" s="228">
        <v>303</v>
      </c>
      <c r="BN45" s="228">
        <v>348</v>
      </c>
      <c r="BO45" s="228">
        <v>-45</v>
      </c>
      <c r="BP45" s="229">
        <v>-0.12959999999999999</v>
      </c>
      <c r="BQ45" s="230">
        <v>1171</v>
      </c>
      <c r="BR45" s="230">
        <v>1316</v>
      </c>
      <c r="BS45" s="228">
        <v>-145</v>
      </c>
      <c r="BT45" s="229">
        <v>-0.1099</v>
      </c>
      <c r="BU45" s="230">
        <v>5520794</v>
      </c>
      <c r="BV45" s="230">
        <v>5021808</v>
      </c>
      <c r="BW45" s="230">
        <v>498986</v>
      </c>
      <c r="BX45" s="229">
        <v>9.9400000000000002E-2</v>
      </c>
      <c r="BY45" s="230">
        <v>2730</v>
      </c>
      <c r="BZ45" s="230">
        <v>2698</v>
      </c>
      <c r="CA45" s="228">
        <v>31</v>
      </c>
      <c r="CB45" s="229">
        <v>1.17E-2</v>
      </c>
      <c r="CC45" s="230">
        <v>2630</v>
      </c>
      <c r="CD45" s="230">
        <v>2615</v>
      </c>
      <c r="CE45" s="228">
        <v>15</v>
      </c>
      <c r="CF45" s="229">
        <v>5.7999999999999996E-3</v>
      </c>
      <c r="CG45" s="228">
        <v>84</v>
      </c>
      <c r="CH45" s="228">
        <v>71</v>
      </c>
      <c r="CI45" s="228">
        <v>13</v>
      </c>
      <c r="CJ45" s="229">
        <v>0.1779</v>
      </c>
      <c r="CK45" s="228">
        <v>16</v>
      </c>
      <c r="CL45" s="228">
        <v>12</v>
      </c>
      <c r="CM45" s="228">
        <v>4</v>
      </c>
      <c r="CN45" s="229">
        <v>0.30599999999999999</v>
      </c>
      <c r="CO45" s="230">
        <v>1154</v>
      </c>
      <c r="CP45" s="230">
        <v>1100</v>
      </c>
      <c r="CQ45" s="228">
        <v>54</v>
      </c>
      <c r="CR45" s="229">
        <v>4.8800000000000003E-2</v>
      </c>
      <c r="CS45" s="228">
        <v>760</v>
      </c>
      <c r="CT45" s="228">
        <v>737</v>
      </c>
      <c r="CU45" s="228">
        <v>23</v>
      </c>
      <c r="CV45" s="229">
        <v>3.1399999999999997E-2</v>
      </c>
      <c r="CW45" s="230">
        <v>4644</v>
      </c>
      <c r="CX45" s="230">
        <v>4536</v>
      </c>
      <c r="CY45" s="228">
        <v>108</v>
      </c>
      <c r="CZ45" s="229">
        <v>2.3900000000000001E-2</v>
      </c>
      <c r="DA45" s="228">
        <v>18.04</v>
      </c>
      <c r="DB45" s="228">
        <v>17.68</v>
      </c>
      <c r="DC45" s="228">
        <v>0.36</v>
      </c>
      <c r="DD45" s="228">
        <v>0.36</v>
      </c>
      <c r="DE45" s="228">
        <v>29.03</v>
      </c>
      <c r="DF45" s="228">
        <v>29.1</v>
      </c>
      <c r="DG45" s="228">
        <v>-10.99</v>
      </c>
      <c r="DH45" s="228">
        <v>-7.0000000000000007E-2</v>
      </c>
      <c r="DI45" s="228">
        <v>18.14</v>
      </c>
      <c r="DJ45" s="228">
        <v>17.8</v>
      </c>
      <c r="DK45" s="228">
        <v>0.34</v>
      </c>
      <c r="DL45" s="228">
        <v>0.34</v>
      </c>
      <c r="DM45" s="228">
        <v>17.84</v>
      </c>
      <c r="DN45" s="228">
        <v>17.43</v>
      </c>
      <c r="DO45" s="228">
        <v>0.41</v>
      </c>
      <c r="DP45" s="228">
        <v>0.41</v>
      </c>
      <c r="DQ45" s="228">
        <v>0.66</v>
      </c>
      <c r="DR45" s="228">
        <v>0.67</v>
      </c>
      <c r="DS45" s="228">
        <v>-0.01</v>
      </c>
      <c r="DT45" s="229">
        <v>-1.49E-2</v>
      </c>
      <c r="DU45" s="228">
        <v>395</v>
      </c>
      <c r="DV45" s="228">
        <v>380</v>
      </c>
      <c r="DW45" s="228">
        <v>0.47</v>
      </c>
      <c r="DX45" s="228">
        <v>0.45</v>
      </c>
      <c r="DY45" s="228">
        <v>0.02</v>
      </c>
      <c r="DZ45" s="229">
        <v>4.4400000000000002E-2</v>
      </c>
      <c r="EA45" s="229">
        <v>3.6499999999999998E-2</v>
      </c>
      <c r="EB45" s="230">
        <v>2157300</v>
      </c>
      <c r="EC45" s="229">
        <v>2.5999999999999999E-3</v>
      </c>
      <c r="ED45" s="229">
        <v>3.6499999999999998E-2</v>
      </c>
      <c r="EE45" s="228">
        <v>0.69</v>
      </c>
      <c r="EF45" s="229">
        <v>1.8E-3</v>
      </c>
      <c r="EG45" s="230">
        <v>3648570</v>
      </c>
      <c r="EH45" s="230">
        <v>3258150</v>
      </c>
      <c r="EI45" s="229">
        <v>0.1198</v>
      </c>
      <c r="EJ45" s="229">
        <v>0.66090000000000004</v>
      </c>
      <c r="EK45" s="228">
        <v>671.24</v>
      </c>
      <c r="EL45" s="228">
        <v>303.14</v>
      </c>
      <c r="EM45" s="228">
        <v>219.09</v>
      </c>
      <c r="EN45" s="228">
        <v>54.65</v>
      </c>
      <c r="EO45" s="231">
        <v>1193.47</v>
      </c>
      <c r="EP45" s="231">
        <v>1336.34</v>
      </c>
      <c r="EQ45" s="228">
        <v>-142.87</v>
      </c>
      <c r="ER45" s="229">
        <v>-0.1069</v>
      </c>
      <c r="ES45" s="231">
        <v>1204.52</v>
      </c>
      <c r="ET45" s="228">
        <v>769.54</v>
      </c>
      <c r="EU45" s="231">
        <v>2730.26</v>
      </c>
      <c r="EV45" s="231">
        <v>227199238</v>
      </c>
      <c r="EW45" s="231">
        <v>4704.32</v>
      </c>
      <c r="EX45" s="231">
        <v>4592.5</v>
      </c>
      <c r="EY45" s="228">
        <v>111.82</v>
      </c>
      <c r="EZ45" s="229">
        <v>2.4299999999999999E-2</v>
      </c>
      <c r="FA45" s="229">
        <v>0.53</v>
      </c>
      <c r="FB45" s="227" t="s">
        <v>555</v>
      </c>
      <c r="FC45">
        <f t="shared" si="0"/>
        <v>100</v>
      </c>
    </row>
    <row r="46" spans="1:159" ht="17.25" thickBot="1" x14ac:dyDescent="0.3">
      <c r="A46" s="226">
        <v>45940</v>
      </c>
      <c r="B46" s="227" t="s">
        <v>221</v>
      </c>
      <c r="C46" s="227" t="s">
        <v>470</v>
      </c>
      <c r="D46" s="228">
        <v>375</v>
      </c>
      <c r="E46" s="228">
        <v>18</v>
      </c>
      <c r="F46" s="231">
        <v>1731.1</v>
      </c>
      <c r="G46" s="231">
        <v>1729.4</v>
      </c>
      <c r="H46" s="228">
        <v>1.7</v>
      </c>
      <c r="I46" s="229">
        <v>1E-3</v>
      </c>
      <c r="J46" s="231">
        <v>1722.3</v>
      </c>
      <c r="K46" s="231">
        <v>1720.1</v>
      </c>
      <c r="L46" s="228">
        <v>2.2000000000000002</v>
      </c>
      <c r="M46" s="229">
        <v>1.2999999999999999E-3</v>
      </c>
      <c r="N46" s="231">
        <v>1731.1</v>
      </c>
      <c r="O46" s="231">
        <v>1729.4</v>
      </c>
      <c r="P46" s="228">
        <v>1.7</v>
      </c>
      <c r="Q46" s="229">
        <v>1E-3</v>
      </c>
      <c r="R46" s="231">
        <v>1731.5</v>
      </c>
      <c r="S46" s="231">
        <v>1731.6</v>
      </c>
      <c r="T46" s="228">
        <v>-0.1</v>
      </c>
      <c r="U46" s="229">
        <v>-1E-4</v>
      </c>
      <c r="V46" s="231">
        <v>1739.2</v>
      </c>
      <c r="W46" s="231">
        <v>1734</v>
      </c>
      <c r="X46" s="228">
        <v>5.2</v>
      </c>
      <c r="Y46" s="229">
        <v>3.0000000000000001E-3</v>
      </c>
      <c r="Z46" s="228">
        <v>8.8000000000000007</v>
      </c>
      <c r="AA46" s="228">
        <v>9.3000000000000007</v>
      </c>
      <c r="AB46" s="228">
        <v>-0.5</v>
      </c>
      <c r="AC46" s="229">
        <v>5.1000000000000004E-3</v>
      </c>
      <c r="AD46" s="228">
        <v>8.8000000000000007</v>
      </c>
      <c r="AE46" s="228">
        <v>9.3000000000000007</v>
      </c>
      <c r="AF46" s="228">
        <v>-0.5</v>
      </c>
      <c r="AG46" s="229">
        <v>5.1000000000000004E-3</v>
      </c>
      <c r="AH46" s="228">
        <v>9.1999999999999993</v>
      </c>
      <c r="AI46" s="228">
        <v>11.5</v>
      </c>
      <c r="AJ46" s="228">
        <v>-2.2999999999999998</v>
      </c>
      <c r="AK46" s="229">
        <v>5.3E-3</v>
      </c>
      <c r="AL46" s="228">
        <v>16.899999999999999</v>
      </c>
      <c r="AM46" s="228">
        <v>13.9</v>
      </c>
      <c r="AN46" s="228">
        <v>3</v>
      </c>
      <c r="AO46" s="229">
        <v>9.7999999999999997E-3</v>
      </c>
      <c r="AP46" s="231">
        <v>1737.08</v>
      </c>
      <c r="AQ46" s="231">
        <v>1738.96</v>
      </c>
      <c r="AR46" s="228">
        <v>0</v>
      </c>
      <c r="AS46" s="228">
        <v>430</v>
      </c>
      <c r="AT46" s="228">
        <v>408</v>
      </c>
      <c r="AU46" s="228">
        <v>22</v>
      </c>
      <c r="AV46" s="229">
        <v>5.2999999999999999E-2</v>
      </c>
      <c r="AW46" s="228">
        <v>415</v>
      </c>
      <c r="AX46" s="228">
        <v>396</v>
      </c>
      <c r="AY46" s="228">
        <v>19</v>
      </c>
      <c r="AZ46" s="229">
        <v>4.7399999999999998E-2</v>
      </c>
      <c r="BA46" s="228">
        <v>13</v>
      </c>
      <c r="BB46" s="228">
        <v>11</v>
      </c>
      <c r="BC46" s="228">
        <v>2</v>
      </c>
      <c r="BD46" s="229">
        <v>0.16869999999999999</v>
      </c>
      <c r="BE46" s="228">
        <v>2</v>
      </c>
      <c r="BF46" s="228">
        <v>1</v>
      </c>
      <c r="BG46" s="228">
        <v>1</v>
      </c>
      <c r="BH46" s="229">
        <v>1.0667</v>
      </c>
      <c r="BI46" s="230">
        <v>1234</v>
      </c>
      <c r="BJ46" s="230">
        <v>1239</v>
      </c>
      <c r="BK46" s="228">
        <v>-5</v>
      </c>
      <c r="BL46" s="229">
        <v>-4.0000000000000001E-3</v>
      </c>
      <c r="BM46" s="228">
        <v>639</v>
      </c>
      <c r="BN46" s="228">
        <v>699</v>
      </c>
      <c r="BO46" s="228">
        <v>-59</v>
      </c>
      <c r="BP46" s="229">
        <v>-8.4699999999999998E-2</v>
      </c>
      <c r="BQ46" s="230">
        <v>2303</v>
      </c>
      <c r="BR46" s="230">
        <v>2346</v>
      </c>
      <c r="BS46" s="228">
        <v>-43</v>
      </c>
      <c r="BT46" s="229">
        <v>-1.8100000000000002E-2</v>
      </c>
      <c r="BU46" s="230">
        <v>1415956</v>
      </c>
      <c r="BV46" s="230">
        <v>1189851</v>
      </c>
      <c r="BW46" s="230">
        <v>226105</v>
      </c>
      <c r="BX46" s="229">
        <v>0.19</v>
      </c>
      <c r="BY46" s="230">
        <v>2182</v>
      </c>
      <c r="BZ46" s="230">
        <v>2210</v>
      </c>
      <c r="CA46" s="228">
        <v>-29</v>
      </c>
      <c r="CB46" s="229">
        <v>-1.2999999999999999E-2</v>
      </c>
      <c r="CC46" s="230">
        <v>2135</v>
      </c>
      <c r="CD46" s="230">
        <v>2165</v>
      </c>
      <c r="CE46" s="228">
        <v>-29</v>
      </c>
      <c r="CF46" s="229">
        <v>-1.3599999999999999E-2</v>
      </c>
      <c r="CG46" s="228">
        <v>44</v>
      </c>
      <c r="CH46" s="228">
        <v>43</v>
      </c>
      <c r="CI46" s="228">
        <v>0</v>
      </c>
      <c r="CJ46" s="229">
        <v>6.0000000000000001E-3</v>
      </c>
      <c r="CK46" s="228">
        <v>3</v>
      </c>
      <c r="CL46" s="228">
        <v>2</v>
      </c>
      <c r="CM46" s="228">
        <v>0</v>
      </c>
      <c r="CN46" s="229">
        <v>0.1111</v>
      </c>
      <c r="CO46" s="228">
        <v>727</v>
      </c>
      <c r="CP46" s="228">
        <v>796</v>
      </c>
      <c r="CQ46" s="228">
        <v>-70</v>
      </c>
      <c r="CR46" s="229">
        <v>-8.7300000000000003E-2</v>
      </c>
      <c r="CS46" s="228">
        <v>505</v>
      </c>
      <c r="CT46" s="228">
        <v>505</v>
      </c>
      <c r="CU46" s="228">
        <v>-1</v>
      </c>
      <c r="CV46" s="229">
        <v>-1.8E-3</v>
      </c>
      <c r="CW46" s="230">
        <v>3413</v>
      </c>
      <c r="CX46" s="230">
        <v>3512</v>
      </c>
      <c r="CY46" s="228">
        <v>-99</v>
      </c>
      <c r="CZ46" s="229">
        <v>-2.8299999999999999E-2</v>
      </c>
      <c r="DA46" s="228">
        <v>36.31</v>
      </c>
      <c r="DB46" s="228">
        <v>38.03</v>
      </c>
      <c r="DC46" s="228">
        <v>-1.72</v>
      </c>
      <c r="DD46" s="228">
        <v>-1.72</v>
      </c>
      <c r="DE46" s="228">
        <v>43.16</v>
      </c>
      <c r="DF46" s="228">
        <v>43.27</v>
      </c>
      <c r="DG46" s="228">
        <v>-6.85</v>
      </c>
      <c r="DH46" s="228">
        <v>-0.11</v>
      </c>
      <c r="DI46" s="228">
        <v>36.049999999999997</v>
      </c>
      <c r="DJ46" s="228">
        <v>37.700000000000003</v>
      </c>
      <c r="DK46" s="228">
        <v>-1.65</v>
      </c>
      <c r="DL46" s="228">
        <v>-1.65</v>
      </c>
      <c r="DM46" s="228">
        <v>36.83</v>
      </c>
      <c r="DN46" s="228">
        <v>38.61</v>
      </c>
      <c r="DO46" s="228">
        <v>-1.78</v>
      </c>
      <c r="DP46" s="228">
        <v>-1.78</v>
      </c>
      <c r="DQ46" s="228">
        <v>0.69</v>
      </c>
      <c r="DR46" s="228">
        <v>0.63</v>
      </c>
      <c r="DS46" s="228">
        <v>0.06</v>
      </c>
      <c r="DT46" s="229">
        <v>9.5200000000000007E-2</v>
      </c>
      <c r="DU46" s="231">
        <v>1700</v>
      </c>
      <c r="DV46" s="231">
        <v>1540</v>
      </c>
      <c r="DW46" s="228">
        <v>0.52</v>
      </c>
      <c r="DX46" s="228">
        <v>0.56000000000000005</v>
      </c>
      <c r="DY46" s="228">
        <v>-0.04</v>
      </c>
      <c r="DZ46" s="229">
        <v>-7.1400000000000005E-2</v>
      </c>
      <c r="EA46" s="229">
        <v>2.12E-2</v>
      </c>
      <c r="EB46" s="230">
        <v>263625</v>
      </c>
      <c r="EC46" s="229">
        <v>2.0000000000000001E-4</v>
      </c>
      <c r="ED46" s="229">
        <v>2.12E-2</v>
      </c>
      <c r="EE46" s="228">
        <v>1.88</v>
      </c>
      <c r="EF46" s="229">
        <v>1.1000000000000001E-3</v>
      </c>
      <c r="EG46" s="230">
        <v>449282</v>
      </c>
      <c r="EH46" s="230">
        <v>546241</v>
      </c>
      <c r="EI46" s="229">
        <v>-0.17749999999999999</v>
      </c>
      <c r="EJ46" s="229">
        <v>0.31730000000000003</v>
      </c>
      <c r="EK46" s="231">
        <v>1296.03</v>
      </c>
      <c r="EL46" s="228">
        <v>628.38</v>
      </c>
      <c r="EM46" s="228">
        <v>431.05</v>
      </c>
      <c r="EN46" s="228">
        <v>73.3</v>
      </c>
      <c r="EO46" s="231">
        <v>2355.46</v>
      </c>
      <c r="EP46" s="231">
        <v>2386.7600000000002</v>
      </c>
      <c r="EQ46" s="228">
        <v>-31.3</v>
      </c>
      <c r="ER46" s="229">
        <v>-1.3100000000000001E-2</v>
      </c>
      <c r="ES46" s="228">
        <v>740.48</v>
      </c>
      <c r="ET46" s="228">
        <v>465.57</v>
      </c>
      <c r="EU46" s="231">
        <v>2181.6</v>
      </c>
      <c r="EV46" s="231">
        <v>50163899</v>
      </c>
      <c r="EW46" s="231">
        <v>3387.65</v>
      </c>
      <c r="EX46" s="231">
        <v>3483.14</v>
      </c>
      <c r="EY46" s="228">
        <v>-95.49</v>
      </c>
      <c r="EZ46" s="229">
        <v>-2.7400000000000001E-2</v>
      </c>
      <c r="FA46" s="229">
        <v>0.39300000000000002</v>
      </c>
      <c r="FB46" s="227" t="s">
        <v>556</v>
      </c>
      <c r="FC46">
        <f t="shared" si="0"/>
        <v>47</v>
      </c>
    </row>
    <row r="47" spans="1:159" ht="17.25" thickBot="1" x14ac:dyDescent="0.3">
      <c r="A47" s="226">
        <v>45940</v>
      </c>
      <c r="B47" s="227" t="s">
        <v>168</v>
      </c>
      <c r="C47" s="227" t="s">
        <v>201</v>
      </c>
      <c r="D47" s="228">
        <v>225</v>
      </c>
      <c r="E47" s="228">
        <v>18</v>
      </c>
      <c r="F47" s="231">
        <v>2238.8000000000002</v>
      </c>
      <c r="G47" s="231">
        <v>2218.6999999999998</v>
      </c>
      <c r="H47" s="228">
        <v>20.100000000000001</v>
      </c>
      <c r="I47" s="229">
        <v>9.1000000000000004E-3</v>
      </c>
      <c r="J47" s="231">
        <v>2227.8000000000002</v>
      </c>
      <c r="K47" s="231">
        <v>2208.6</v>
      </c>
      <c r="L47" s="228">
        <v>19.2</v>
      </c>
      <c r="M47" s="229">
        <v>8.6999999999999994E-3</v>
      </c>
      <c r="N47" s="231">
        <v>2238.8000000000002</v>
      </c>
      <c r="O47" s="231">
        <v>2218.6999999999998</v>
      </c>
      <c r="P47" s="228">
        <v>20.100000000000001</v>
      </c>
      <c r="Q47" s="229">
        <v>9.1000000000000004E-3</v>
      </c>
      <c r="R47" s="231">
        <v>2225.8000000000002</v>
      </c>
      <c r="S47" s="231">
        <v>2207.6999999999998</v>
      </c>
      <c r="T47" s="228">
        <v>18.100000000000001</v>
      </c>
      <c r="U47" s="229">
        <v>8.2000000000000007E-3</v>
      </c>
      <c r="V47" s="231">
        <v>2239.1999999999998</v>
      </c>
      <c r="W47" s="231">
        <v>2220.9</v>
      </c>
      <c r="X47" s="228">
        <v>18.3</v>
      </c>
      <c r="Y47" s="229">
        <v>8.2000000000000007E-3</v>
      </c>
      <c r="Z47" s="228">
        <v>11</v>
      </c>
      <c r="AA47" s="228">
        <v>10.1</v>
      </c>
      <c r="AB47" s="228">
        <v>0.9</v>
      </c>
      <c r="AC47" s="229">
        <v>4.8999999999999998E-3</v>
      </c>
      <c r="AD47" s="228">
        <v>11</v>
      </c>
      <c r="AE47" s="228">
        <v>10.1</v>
      </c>
      <c r="AF47" s="228">
        <v>0.9</v>
      </c>
      <c r="AG47" s="229">
        <v>4.8999999999999998E-3</v>
      </c>
      <c r="AH47" s="228">
        <v>-2</v>
      </c>
      <c r="AI47" s="228">
        <v>-0.9</v>
      </c>
      <c r="AJ47" s="228">
        <v>-1.1000000000000001</v>
      </c>
      <c r="AK47" s="229">
        <v>-8.9999999999999998E-4</v>
      </c>
      <c r="AL47" s="228">
        <v>11.4</v>
      </c>
      <c r="AM47" s="228">
        <v>12.3</v>
      </c>
      <c r="AN47" s="228">
        <v>-0.9</v>
      </c>
      <c r="AO47" s="229">
        <v>5.1000000000000004E-3</v>
      </c>
      <c r="AP47" s="231">
        <v>2232</v>
      </c>
      <c r="AQ47" s="231">
        <v>2220.41</v>
      </c>
      <c r="AR47" s="228">
        <v>0</v>
      </c>
      <c r="AS47" s="228">
        <v>138</v>
      </c>
      <c r="AT47" s="228">
        <v>128</v>
      </c>
      <c r="AU47" s="228">
        <v>10</v>
      </c>
      <c r="AV47" s="229">
        <v>7.5800000000000006E-2</v>
      </c>
      <c r="AW47" s="228">
        <v>113</v>
      </c>
      <c r="AX47" s="228">
        <v>99</v>
      </c>
      <c r="AY47" s="228">
        <v>14</v>
      </c>
      <c r="AZ47" s="229">
        <v>0.1399</v>
      </c>
      <c r="BA47" s="228">
        <v>22</v>
      </c>
      <c r="BB47" s="228">
        <v>27</v>
      </c>
      <c r="BC47" s="228">
        <v>-5</v>
      </c>
      <c r="BD47" s="229">
        <v>-0.1888</v>
      </c>
      <c r="BE47" s="228">
        <v>3</v>
      </c>
      <c r="BF47" s="228">
        <v>2</v>
      </c>
      <c r="BG47" s="228">
        <v>1</v>
      </c>
      <c r="BH47" s="229">
        <v>0.42220000000000002</v>
      </c>
      <c r="BI47" s="228">
        <v>297</v>
      </c>
      <c r="BJ47" s="228">
        <v>148</v>
      </c>
      <c r="BK47" s="228">
        <v>148</v>
      </c>
      <c r="BL47" s="229">
        <v>0.99760000000000004</v>
      </c>
      <c r="BM47" s="228">
        <v>90</v>
      </c>
      <c r="BN47" s="228">
        <v>42</v>
      </c>
      <c r="BO47" s="228">
        <v>48</v>
      </c>
      <c r="BP47" s="229">
        <v>1.1234</v>
      </c>
      <c r="BQ47" s="228">
        <v>525</v>
      </c>
      <c r="BR47" s="228">
        <v>319</v>
      </c>
      <c r="BS47" s="228">
        <v>206</v>
      </c>
      <c r="BT47" s="229">
        <v>0.64400000000000002</v>
      </c>
      <c r="BU47" s="230">
        <v>344135</v>
      </c>
      <c r="BV47" s="230">
        <v>418606</v>
      </c>
      <c r="BW47" s="230">
        <v>-74471</v>
      </c>
      <c r="BX47" s="229">
        <v>-0.1779</v>
      </c>
      <c r="BY47" s="230">
        <v>1212</v>
      </c>
      <c r="BZ47" s="230">
        <v>1195</v>
      </c>
      <c r="CA47" s="228">
        <v>17</v>
      </c>
      <c r="CB47" s="229">
        <v>1.4200000000000001E-2</v>
      </c>
      <c r="CC47" s="230">
        <v>1081</v>
      </c>
      <c r="CD47" s="230">
        <v>1071</v>
      </c>
      <c r="CE47" s="228">
        <v>10</v>
      </c>
      <c r="CF47" s="229">
        <v>9.4999999999999998E-3</v>
      </c>
      <c r="CG47" s="228">
        <v>124</v>
      </c>
      <c r="CH47" s="228">
        <v>117</v>
      </c>
      <c r="CI47" s="228">
        <v>6</v>
      </c>
      <c r="CJ47" s="229">
        <v>5.1900000000000002E-2</v>
      </c>
      <c r="CK47" s="228">
        <v>8</v>
      </c>
      <c r="CL47" s="228">
        <v>7</v>
      </c>
      <c r="CM47" s="228">
        <v>1</v>
      </c>
      <c r="CN47" s="229">
        <v>0.1111</v>
      </c>
      <c r="CO47" s="228">
        <v>370</v>
      </c>
      <c r="CP47" s="228">
        <v>366</v>
      </c>
      <c r="CQ47" s="228">
        <v>4</v>
      </c>
      <c r="CR47" s="229">
        <v>1.14E-2</v>
      </c>
      <c r="CS47" s="228">
        <v>299</v>
      </c>
      <c r="CT47" s="228">
        <v>287</v>
      </c>
      <c r="CU47" s="228">
        <v>13</v>
      </c>
      <c r="CV47" s="229">
        <v>4.3900000000000002E-2</v>
      </c>
      <c r="CW47" s="230">
        <v>1882</v>
      </c>
      <c r="CX47" s="230">
        <v>1848</v>
      </c>
      <c r="CY47" s="228">
        <v>34</v>
      </c>
      <c r="CZ47" s="229">
        <v>1.83E-2</v>
      </c>
      <c r="DA47" s="228">
        <v>22.99</v>
      </c>
      <c r="DB47" s="228">
        <v>23.09</v>
      </c>
      <c r="DC47" s="228">
        <v>-0.1</v>
      </c>
      <c r="DD47" s="228">
        <v>-0.1</v>
      </c>
      <c r="DE47" s="228">
        <v>28.31</v>
      </c>
      <c r="DF47" s="228">
        <v>28.36</v>
      </c>
      <c r="DG47" s="228">
        <v>-5.32</v>
      </c>
      <c r="DH47" s="228">
        <v>-0.05</v>
      </c>
      <c r="DI47" s="228">
        <v>22.99</v>
      </c>
      <c r="DJ47" s="228">
        <v>23.2</v>
      </c>
      <c r="DK47" s="228">
        <v>-0.21</v>
      </c>
      <c r="DL47" s="228">
        <v>-0.21</v>
      </c>
      <c r="DM47" s="228">
        <v>23</v>
      </c>
      <c r="DN47" s="228">
        <v>22.69</v>
      </c>
      <c r="DO47" s="228">
        <v>0.31</v>
      </c>
      <c r="DP47" s="228">
        <v>0.31</v>
      </c>
      <c r="DQ47" s="228">
        <v>0.81</v>
      </c>
      <c r="DR47" s="228">
        <v>0.78</v>
      </c>
      <c r="DS47" s="228">
        <v>0.03</v>
      </c>
      <c r="DT47" s="229">
        <v>3.85E-2</v>
      </c>
      <c r="DU47" s="231">
        <v>2340</v>
      </c>
      <c r="DV47" s="231">
        <v>2300</v>
      </c>
      <c r="DW47" s="228">
        <v>0.3</v>
      </c>
      <c r="DX47" s="228">
        <v>0.28999999999999998</v>
      </c>
      <c r="DY47" s="228">
        <v>0.01</v>
      </c>
      <c r="DZ47" s="229">
        <v>3.4500000000000003E-2</v>
      </c>
      <c r="EA47" s="229">
        <v>0.1081</v>
      </c>
      <c r="EB47" s="230">
        <v>554850</v>
      </c>
      <c r="EC47" s="229">
        <v>-5.7999999999999996E-3</v>
      </c>
      <c r="ED47" s="229">
        <v>0.1081</v>
      </c>
      <c r="EE47" s="228">
        <v>-11.59</v>
      </c>
      <c r="EF47" s="229">
        <v>-5.1999999999999998E-3</v>
      </c>
      <c r="EG47" s="230">
        <v>199055</v>
      </c>
      <c r="EH47" s="230">
        <v>278024</v>
      </c>
      <c r="EI47" s="229">
        <v>-0.28399999999999997</v>
      </c>
      <c r="EJ47" s="229">
        <v>0.57840000000000003</v>
      </c>
      <c r="EK47" s="228">
        <v>306.24</v>
      </c>
      <c r="EL47" s="228">
        <v>89.26</v>
      </c>
      <c r="EM47" s="228">
        <v>137.38999999999999</v>
      </c>
      <c r="EN47" s="228">
        <v>30.6</v>
      </c>
      <c r="EO47" s="228">
        <v>532.9</v>
      </c>
      <c r="EP47" s="228">
        <v>321.58999999999997</v>
      </c>
      <c r="EQ47" s="228">
        <v>211.31</v>
      </c>
      <c r="ER47" s="229">
        <v>0.65710000000000002</v>
      </c>
      <c r="ES47" s="228">
        <v>385.43</v>
      </c>
      <c r="ET47" s="228">
        <v>297.70999999999998</v>
      </c>
      <c r="EU47" s="231">
        <v>1211.26</v>
      </c>
      <c r="EV47" s="231">
        <v>19990944</v>
      </c>
      <c r="EW47" s="231">
        <v>1894.4</v>
      </c>
      <c r="EX47" s="231">
        <v>1850.77</v>
      </c>
      <c r="EY47" s="228">
        <v>43.63</v>
      </c>
      <c r="EZ47" s="229">
        <v>2.3599999999999999E-2</v>
      </c>
      <c r="FA47" s="229">
        <v>0.4204</v>
      </c>
      <c r="FB47" s="227" t="s">
        <v>555</v>
      </c>
      <c r="FC47">
        <f t="shared" si="0"/>
        <v>131</v>
      </c>
    </row>
    <row r="48" spans="1:159" ht="17.25" thickBot="1" x14ac:dyDescent="0.3">
      <c r="A48" s="226">
        <v>45940</v>
      </c>
      <c r="B48" s="227" t="s">
        <v>215</v>
      </c>
      <c r="C48" s="227" t="s">
        <v>202</v>
      </c>
      <c r="D48" s="228">
        <v>1250</v>
      </c>
      <c r="E48" s="228">
        <v>18</v>
      </c>
      <c r="F48" s="228">
        <v>542.65</v>
      </c>
      <c r="G48" s="228">
        <v>540.1</v>
      </c>
      <c r="H48" s="228">
        <v>2.5499999999999998</v>
      </c>
      <c r="I48" s="229">
        <v>4.7000000000000002E-3</v>
      </c>
      <c r="J48" s="228">
        <v>541.4</v>
      </c>
      <c r="K48" s="228">
        <v>537.75</v>
      </c>
      <c r="L48" s="228">
        <v>3.65</v>
      </c>
      <c r="M48" s="229">
        <v>6.7999999999999996E-3</v>
      </c>
      <c r="N48" s="228">
        <v>542.65</v>
      </c>
      <c r="O48" s="228">
        <v>540.1</v>
      </c>
      <c r="P48" s="228">
        <v>2.5499999999999998</v>
      </c>
      <c r="Q48" s="229">
        <v>4.7000000000000002E-3</v>
      </c>
      <c r="R48" s="228">
        <v>543.45000000000005</v>
      </c>
      <c r="S48" s="228">
        <v>540.75</v>
      </c>
      <c r="T48" s="228">
        <v>2.7</v>
      </c>
      <c r="U48" s="229">
        <v>5.0000000000000001E-3</v>
      </c>
      <c r="V48" s="228">
        <v>547.4</v>
      </c>
      <c r="W48" s="228">
        <v>543.85</v>
      </c>
      <c r="X48" s="228">
        <v>3.55</v>
      </c>
      <c r="Y48" s="229">
        <v>6.4999999999999997E-3</v>
      </c>
      <c r="Z48" s="228">
        <v>1.25</v>
      </c>
      <c r="AA48" s="228">
        <v>2.35</v>
      </c>
      <c r="AB48" s="228">
        <v>-1.1000000000000001</v>
      </c>
      <c r="AC48" s="229">
        <v>2.3E-3</v>
      </c>
      <c r="AD48" s="228">
        <v>1.25</v>
      </c>
      <c r="AE48" s="228">
        <v>2.35</v>
      </c>
      <c r="AF48" s="228">
        <v>-1.1000000000000001</v>
      </c>
      <c r="AG48" s="229">
        <v>2.3E-3</v>
      </c>
      <c r="AH48" s="228">
        <v>2.0499999999999998</v>
      </c>
      <c r="AI48" s="228">
        <v>3</v>
      </c>
      <c r="AJ48" s="228">
        <v>-0.95</v>
      </c>
      <c r="AK48" s="229">
        <v>3.8E-3</v>
      </c>
      <c r="AL48" s="228">
        <v>6</v>
      </c>
      <c r="AM48" s="228">
        <v>6.1</v>
      </c>
      <c r="AN48" s="228">
        <v>-0.1</v>
      </c>
      <c r="AO48" s="229">
        <v>1.11E-2</v>
      </c>
      <c r="AP48" s="228">
        <v>543.23</v>
      </c>
      <c r="AQ48" s="228">
        <v>543.71</v>
      </c>
      <c r="AR48" s="228">
        <v>0</v>
      </c>
      <c r="AS48" s="228">
        <v>189</v>
      </c>
      <c r="AT48" s="228">
        <v>294</v>
      </c>
      <c r="AU48" s="228">
        <v>-105</v>
      </c>
      <c r="AV48" s="229">
        <v>-0.35749999999999998</v>
      </c>
      <c r="AW48" s="228">
        <v>165</v>
      </c>
      <c r="AX48" s="228">
        <v>263</v>
      </c>
      <c r="AY48" s="228">
        <v>-98</v>
      </c>
      <c r="AZ48" s="229">
        <v>-0.37380000000000002</v>
      </c>
      <c r="BA48" s="228">
        <v>22</v>
      </c>
      <c r="BB48" s="228">
        <v>28</v>
      </c>
      <c r="BC48" s="228">
        <v>-6</v>
      </c>
      <c r="BD48" s="229">
        <v>-0.22359999999999999</v>
      </c>
      <c r="BE48" s="228">
        <v>2</v>
      </c>
      <c r="BF48" s="228">
        <v>3</v>
      </c>
      <c r="BG48" s="228">
        <v>0</v>
      </c>
      <c r="BH48" s="229">
        <v>-0.17069999999999999</v>
      </c>
      <c r="BI48" s="228">
        <v>604</v>
      </c>
      <c r="BJ48" s="228">
        <v>868</v>
      </c>
      <c r="BK48" s="228">
        <v>-264</v>
      </c>
      <c r="BL48" s="229">
        <v>-0.30430000000000001</v>
      </c>
      <c r="BM48" s="228">
        <v>183</v>
      </c>
      <c r="BN48" s="228">
        <v>288</v>
      </c>
      <c r="BO48" s="228">
        <v>-105</v>
      </c>
      <c r="BP48" s="229">
        <v>-0.36549999999999999</v>
      </c>
      <c r="BQ48" s="228">
        <v>976</v>
      </c>
      <c r="BR48" s="230">
        <v>1451</v>
      </c>
      <c r="BS48" s="228">
        <v>-475</v>
      </c>
      <c r="BT48" s="229">
        <v>-0.32719999999999999</v>
      </c>
      <c r="BU48" s="230">
        <v>1290668</v>
      </c>
      <c r="BV48" s="230">
        <v>1961670</v>
      </c>
      <c r="BW48" s="230">
        <v>-671002</v>
      </c>
      <c r="BX48" s="229">
        <v>-0.34210000000000002</v>
      </c>
      <c r="BY48" s="230">
        <v>1385</v>
      </c>
      <c r="BZ48" s="230">
        <v>1390</v>
      </c>
      <c r="CA48" s="228">
        <v>-6</v>
      </c>
      <c r="CB48" s="229">
        <v>-4.1000000000000003E-3</v>
      </c>
      <c r="CC48" s="230">
        <v>1258</v>
      </c>
      <c r="CD48" s="230">
        <v>1272</v>
      </c>
      <c r="CE48" s="228">
        <v>-14</v>
      </c>
      <c r="CF48" s="229">
        <v>-1.0999999999999999E-2</v>
      </c>
      <c r="CG48" s="228">
        <v>121</v>
      </c>
      <c r="CH48" s="228">
        <v>113</v>
      </c>
      <c r="CI48" s="228">
        <v>8</v>
      </c>
      <c r="CJ48" s="229">
        <v>6.6500000000000004E-2</v>
      </c>
      <c r="CK48" s="228">
        <v>6</v>
      </c>
      <c r="CL48" s="228">
        <v>5</v>
      </c>
      <c r="CM48" s="228">
        <v>1</v>
      </c>
      <c r="CN48" s="229">
        <v>0.16</v>
      </c>
      <c r="CO48" s="228">
        <v>546</v>
      </c>
      <c r="CP48" s="228">
        <v>548</v>
      </c>
      <c r="CQ48" s="228">
        <v>-2</v>
      </c>
      <c r="CR48" s="229">
        <v>-3.5000000000000001E-3</v>
      </c>
      <c r="CS48" s="228">
        <v>403</v>
      </c>
      <c r="CT48" s="228">
        <v>396</v>
      </c>
      <c r="CU48" s="228">
        <v>7</v>
      </c>
      <c r="CV48" s="229">
        <v>1.6400000000000001E-2</v>
      </c>
      <c r="CW48" s="230">
        <v>2333</v>
      </c>
      <c r="CX48" s="230">
        <v>2334</v>
      </c>
      <c r="CY48" s="228">
        <v>-1</v>
      </c>
      <c r="CZ48" s="229">
        <v>-5.0000000000000001E-4</v>
      </c>
      <c r="DA48" s="228">
        <v>23.69</v>
      </c>
      <c r="DB48" s="228">
        <v>24.23</v>
      </c>
      <c r="DC48" s="228">
        <v>-0.54</v>
      </c>
      <c r="DD48" s="228">
        <v>-0.54</v>
      </c>
      <c r="DE48" s="228">
        <v>36.57</v>
      </c>
      <c r="DF48" s="228">
        <v>36.659999999999997</v>
      </c>
      <c r="DG48" s="228">
        <v>-12.88</v>
      </c>
      <c r="DH48" s="228">
        <v>-0.09</v>
      </c>
      <c r="DI48" s="228">
        <v>23.59</v>
      </c>
      <c r="DJ48" s="228">
        <v>24.08</v>
      </c>
      <c r="DK48" s="228">
        <v>-0.49</v>
      </c>
      <c r="DL48" s="228">
        <v>-0.49</v>
      </c>
      <c r="DM48" s="228">
        <v>24.04</v>
      </c>
      <c r="DN48" s="228">
        <v>24.67</v>
      </c>
      <c r="DO48" s="228">
        <v>-0.63</v>
      </c>
      <c r="DP48" s="228">
        <v>-0.63</v>
      </c>
      <c r="DQ48" s="228">
        <v>0.74</v>
      </c>
      <c r="DR48" s="228">
        <v>0.72</v>
      </c>
      <c r="DS48" s="228">
        <v>0.02</v>
      </c>
      <c r="DT48" s="229">
        <v>2.7799999999999998E-2</v>
      </c>
      <c r="DU48" s="228">
        <v>550</v>
      </c>
      <c r="DV48" s="228">
        <v>530</v>
      </c>
      <c r="DW48" s="228">
        <v>0.3</v>
      </c>
      <c r="DX48" s="228">
        <v>0.33</v>
      </c>
      <c r="DY48" s="228">
        <v>-0.03</v>
      </c>
      <c r="DZ48" s="229">
        <v>-9.0899999999999995E-2</v>
      </c>
      <c r="EA48" s="229">
        <v>9.1399999999999995E-2</v>
      </c>
      <c r="EB48" s="230">
        <v>2178750</v>
      </c>
      <c r="EC48" s="229">
        <v>1.5E-3</v>
      </c>
      <c r="ED48" s="229">
        <v>9.1399999999999995E-2</v>
      </c>
      <c r="EE48" s="228">
        <v>0.48</v>
      </c>
      <c r="EF48" s="229">
        <v>8.9999999999999998E-4</v>
      </c>
      <c r="EG48" s="230">
        <v>859163</v>
      </c>
      <c r="EH48" s="230">
        <v>610074</v>
      </c>
      <c r="EI48" s="229">
        <v>0.4083</v>
      </c>
      <c r="EJ48" s="229">
        <v>0.66569999999999996</v>
      </c>
      <c r="EK48" s="228">
        <v>624.91</v>
      </c>
      <c r="EL48" s="228">
        <v>181.34</v>
      </c>
      <c r="EM48" s="228">
        <v>189.22</v>
      </c>
      <c r="EN48" s="228">
        <v>28.99</v>
      </c>
      <c r="EO48" s="228">
        <v>995.47</v>
      </c>
      <c r="EP48" s="231">
        <v>1467.34</v>
      </c>
      <c r="EQ48" s="228">
        <v>-471.87</v>
      </c>
      <c r="ER48" s="229">
        <v>-0.3216</v>
      </c>
      <c r="ES48" s="228">
        <v>564.65</v>
      </c>
      <c r="ET48" s="228">
        <v>397.89</v>
      </c>
      <c r="EU48" s="231">
        <v>1385</v>
      </c>
      <c r="EV48" s="231">
        <v>48077012</v>
      </c>
      <c r="EW48" s="231">
        <v>2347.5500000000002</v>
      </c>
      <c r="EX48" s="231">
        <v>2341.15</v>
      </c>
      <c r="EY48" s="228">
        <v>6.4</v>
      </c>
      <c r="EZ48" s="229">
        <v>2.7000000000000001E-3</v>
      </c>
      <c r="FA48" s="229">
        <v>0.89439999999999997</v>
      </c>
      <c r="FB48" s="227" t="s">
        <v>556</v>
      </c>
      <c r="FC48">
        <f t="shared" si="0"/>
        <v>127</v>
      </c>
    </row>
    <row r="49" spans="1:159" ht="17.25" thickBot="1" x14ac:dyDescent="0.3">
      <c r="A49" s="226">
        <v>45940</v>
      </c>
      <c r="B49" s="227" t="s">
        <v>184</v>
      </c>
      <c r="C49" s="227" t="s">
        <v>523</v>
      </c>
      <c r="D49" s="228">
        <v>1800</v>
      </c>
      <c r="E49" s="228">
        <v>18</v>
      </c>
      <c r="F49" s="228">
        <v>289.14999999999998</v>
      </c>
      <c r="G49" s="228">
        <v>286.3</v>
      </c>
      <c r="H49" s="228">
        <v>2.85</v>
      </c>
      <c r="I49" s="229">
        <v>0.01</v>
      </c>
      <c r="J49" s="228">
        <v>287.75</v>
      </c>
      <c r="K49" s="228">
        <v>284.55</v>
      </c>
      <c r="L49" s="228">
        <v>3.2</v>
      </c>
      <c r="M49" s="229">
        <v>1.12E-2</v>
      </c>
      <c r="N49" s="228">
        <v>289.14999999999998</v>
      </c>
      <c r="O49" s="228">
        <v>286.3</v>
      </c>
      <c r="P49" s="228">
        <v>2.85</v>
      </c>
      <c r="Q49" s="229">
        <v>0.01</v>
      </c>
      <c r="R49" s="228">
        <v>290.8</v>
      </c>
      <c r="S49" s="228">
        <v>287.7</v>
      </c>
      <c r="T49" s="228">
        <v>3.1</v>
      </c>
      <c r="U49" s="229">
        <v>1.0800000000000001E-2</v>
      </c>
      <c r="V49" s="228">
        <v>292.60000000000002</v>
      </c>
      <c r="W49" s="228">
        <v>289.55</v>
      </c>
      <c r="X49" s="228">
        <v>3.05</v>
      </c>
      <c r="Y49" s="229">
        <v>1.0500000000000001E-2</v>
      </c>
      <c r="Z49" s="228">
        <v>1.4</v>
      </c>
      <c r="AA49" s="228">
        <v>1.75</v>
      </c>
      <c r="AB49" s="228">
        <v>-0.35</v>
      </c>
      <c r="AC49" s="229">
        <v>4.8999999999999998E-3</v>
      </c>
      <c r="AD49" s="228">
        <v>1.4</v>
      </c>
      <c r="AE49" s="228">
        <v>1.75</v>
      </c>
      <c r="AF49" s="228">
        <v>-0.35</v>
      </c>
      <c r="AG49" s="229">
        <v>4.8999999999999998E-3</v>
      </c>
      <c r="AH49" s="228">
        <v>3.05</v>
      </c>
      <c r="AI49" s="228">
        <v>3.15</v>
      </c>
      <c r="AJ49" s="228">
        <v>-0.1</v>
      </c>
      <c r="AK49" s="229">
        <v>1.06E-2</v>
      </c>
      <c r="AL49" s="228">
        <v>4.8499999999999996</v>
      </c>
      <c r="AM49" s="228">
        <v>5</v>
      </c>
      <c r="AN49" s="228">
        <v>-0.15</v>
      </c>
      <c r="AO49" s="229">
        <v>1.6899999999999998E-2</v>
      </c>
      <c r="AP49" s="228">
        <v>289.95999999999998</v>
      </c>
      <c r="AQ49" s="228">
        <v>291.57</v>
      </c>
      <c r="AR49" s="228">
        <v>0</v>
      </c>
      <c r="AS49" s="228">
        <v>165</v>
      </c>
      <c r="AT49" s="228">
        <v>157</v>
      </c>
      <c r="AU49" s="228">
        <v>9</v>
      </c>
      <c r="AV49" s="229">
        <v>5.5100000000000003E-2</v>
      </c>
      <c r="AW49" s="228">
        <v>142</v>
      </c>
      <c r="AX49" s="228">
        <v>125</v>
      </c>
      <c r="AY49" s="228">
        <v>16</v>
      </c>
      <c r="AZ49" s="229">
        <v>0.13109999999999999</v>
      </c>
      <c r="BA49" s="228">
        <v>18</v>
      </c>
      <c r="BB49" s="228">
        <v>22</v>
      </c>
      <c r="BC49" s="228">
        <v>-4</v>
      </c>
      <c r="BD49" s="229">
        <v>-0.19070000000000001</v>
      </c>
      <c r="BE49" s="228">
        <v>5</v>
      </c>
      <c r="BF49" s="228">
        <v>9</v>
      </c>
      <c r="BG49" s="228">
        <v>-4</v>
      </c>
      <c r="BH49" s="229">
        <v>-0.39529999999999998</v>
      </c>
      <c r="BI49" s="228">
        <v>477</v>
      </c>
      <c r="BJ49" s="228">
        <v>317</v>
      </c>
      <c r="BK49" s="228">
        <v>161</v>
      </c>
      <c r="BL49" s="229">
        <v>0.50760000000000005</v>
      </c>
      <c r="BM49" s="228">
        <v>124</v>
      </c>
      <c r="BN49" s="228">
        <v>81</v>
      </c>
      <c r="BO49" s="228">
        <v>43</v>
      </c>
      <c r="BP49" s="229">
        <v>0.52429999999999999</v>
      </c>
      <c r="BQ49" s="228">
        <v>767</v>
      </c>
      <c r="BR49" s="228">
        <v>555</v>
      </c>
      <c r="BS49" s="228">
        <v>212</v>
      </c>
      <c r="BT49" s="229">
        <v>0.38219999999999998</v>
      </c>
      <c r="BU49" s="230">
        <v>2777036</v>
      </c>
      <c r="BV49" s="230">
        <v>4823797</v>
      </c>
      <c r="BW49" s="230">
        <v>-2046761</v>
      </c>
      <c r="BX49" s="229">
        <v>-0.42430000000000001</v>
      </c>
      <c r="BY49" s="230">
        <v>1505</v>
      </c>
      <c r="BZ49" s="230">
        <v>1489</v>
      </c>
      <c r="CA49" s="228">
        <v>17</v>
      </c>
      <c r="CB49" s="229">
        <v>1.12E-2</v>
      </c>
      <c r="CC49" s="230">
        <v>1420</v>
      </c>
      <c r="CD49" s="230">
        <v>1409</v>
      </c>
      <c r="CE49" s="228">
        <v>11</v>
      </c>
      <c r="CF49" s="229">
        <v>8.0999999999999996E-3</v>
      </c>
      <c r="CG49" s="228">
        <v>76</v>
      </c>
      <c r="CH49" s="228">
        <v>72</v>
      </c>
      <c r="CI49" s="228">
        <v>4</v>
      </c>
      <c r="CJ49" s="229">
        <v>4.9200000000000001E-2</v>
      </c>
      <c r="CK49" s="228">
        <v>10</v>
      </c>
      <c r="CL49" s="228">
        <v>8</v>
      </c>
      <c r="CM49" s="228">
        <v>2</v>
      </c>
      <c r="CN49" s="229">
        <v>0.2092</v>
      </c>
      <c r="CO49" s="228">
        <v>529</v>
      </c>
      <c r="CP49" s="228">
        <v>533</v>
      </c>
      <c r="CQ49" s="228">
        <v>-3</v>
      </c>
      <c r="CR49" s="229">
        <v>-6.4000000000000003E-3</v>
      </c>
      <c r="CS49" s="228">
        <v>300</v>
      </c>
      <c r="CT49" s="228">
        <v>293</v>
      </c>
      <c r="CU49" s="228">
        <v>7</v>
      </c>
      <c r="CV49" s="229">
        <v>2.4199999999999999E-2</v>
      </c>
      <c r="CW49" s="230">
        <v>2334</v>
      </c>
      <c r="CX49" s="230">
        <v>2314</v>
      </c>
      <c r="CY49" s="228">
        <v>20</v>
      </c>
      <c r="CZ49" s="229">
        <v>8.8000000000000005E-3</v>
      </c>
      <c r="DA49" s="228">
        <v>29.68</v>
      </c>
      <c r="DB49" s="228">
        <v>30.86</v>
      </c>
      <c r="DC49" s="228">
        <v>-1.18</v>
      </c>
      <c r="DD49" s="228">
        <v>-1.18</v>
      </c>
      <c r="DE49" s="228">
        <v>32.75</v>
      </c>
      <c r="DF49" s="228">
        <v>32.799999999999997</v>
      </c>
      <c r="DG49" s="228">
        <v>-3.07</v>
      </c>
      <c r="DH49" s="228">
        <v>-0.05</v>
      </c>
      <c r="DI49" s="228">
        <v>30.09</v>
      </c>
      <c r="DJ49" s="228">
        <v>31.31</v>
      </c>
      <c r="DK49" s="228">
        <v>-1.22</v>
      </c>
      <c r="DL49" s="228">
        <v>-1.22</v>
      </c>
      <c r="DM49" s="228">
        <v>28.1</v>
      </c>
      <c r="DN49" s="228">
        <v>29.1</v>
      </c>
      <c r="DO49" s="228">
        <v>-1</v>
      </c>
      <c r="DP49" s="228">
        <v>-1</v>
      </c>
      <c r="DQ49" s="228">
        <v>0.56999999999999995</v>
      </c>
      <c r="DR49" s="228">
        <v>0.55000000000000004</v>
      </c>
      <c r="DS49" s="228">
        <v>0.02</v>
      </c>
      <c r="DT49" s="229">
        <v>3.6400000000000002E-2</v>
      </c>
      <c r="DU49" s="228">
        <v>320</v>
      </c>
      <c r="DV49" s="228">
        <v>300</v>
      </c>
      <c r="DW49" s="228">
        <v>0.26</v>
      </c>
      <c r="DX49" s="228">
        <v>0.26</v>
      </c>
      <c r="DY49" s="228">
        <v>0</v>
      </c>
      <c r="DZ49" s="229">
        <v>0</v>
      </c>
      <c r="EA49" s="229">
        <v>5.6599999999999998E-2</v>
      </c>
      <c r="EB49" s="230">
        <v>2764800</v>
      </c>
      <c r="EC49" s="229">
        <v>5.7000000000000002E-3</v>
      </c>
      <c r="ED49" s="229">
        <v>5.6599999999999998E-2</v>
      </c>
      <c r="EE49" s="228">
        <v>1.61</v>
      </c>
      <c r="EF49" s="229">
        <v>5.5999999999999999E-3</v>
      </c>
      <c r="EG49" s="230">
        <v>1378810</v>
      </c>
      <c r="EH49" s="230">
        <v>3187634</v>
      </c>
      <c r="EI49" s="229">
        <v>-0.5675</v>
      </c>
      <c r="EJ49" s="229">
        <v>0.4965</v>
      </c>
      <c r="EK49" s="228">
        <v>507.52</v>
      </c>
      <c r="EL49" s="228">
        <v>123.12</v>
      </c>
      <c r="EM49" s="228">
        <v>166.08</v>
      </c>
      <c r="EN49" s="228">
        <v>24.68</v>
      </c>
      <c r="EO49" s="228">
        <v>796.72</v>
      </c>
      <c r="EP49" s="228">
        <v>572.23</v>
      </c>
      <c r="EQ49" s="228">
        <v>224.49</v>
      </c>
      <c r="ER49" s="229">
        <v>0.39229999999999998</v>
      </c>
      <c r="ES49" s="228">
        <v>567.64</v>
      </c>
      <c r="ET49" s="228">
        <v>303.99</v>
      </c>
      <c r="EU49" s="231">
        <v>1505.8</v>
      </c>
      <c r="EV49" s="231">
        <v>81400589</v>
      </c>
      <c r="EW49" s="231">
        <v>2377.4299999999998</v>
      </c>
      <c r="EX49" s="231">
        <v>2341.17</v>
      </c>
      <c r="EY49" s="228">
        <v>36.26</v>
      </c>
      <c r="EZ49" s="229">
        <v>1.55E-2</v>
      </c>
      <c r="FA49" s="229">
        <v>0.99180000000000001</v>
      </c>
      <c r="FB49" s="227" t="s">
        <v>555</v>
      </c>
      <c r="FC49">
        <f t="shared" si="0"/>
        <v>85</v>
      </c>
    </row>
    <row r="50" spans="1:159" ht="17.25" thickBot="1" x14ac:dyDescent="0.3">
      <c r="A50" s="226">
        <v>45940</v>
      </c>
      <c r="B50" s="227" t="s">
        <v>184</v>
      </c>
      <c r="C50" s="227" t="s">
        <v>203</v>
      </c>
      <c r="D50" s="228">
        <v>200</v>
      </c>
      <c r="E50" s="228">
        <v>18</v>
      </c>
      <c r="F50" s="231">
        <v>3988.3</v>
      </c>
      <c r="G50" s="231">
        <v>3973.2</v>
      </c>
      <c r="H50" s="228">
        <v>15.1</v>
      </c>
      <c r="I50" s="229">
        <v>3.8E-3</v>
      </c>
      <c r="J50" s="231">
        <v>3966</v>
      </c>
      <c r="K50" s="231">
        <v>3957.2</v>
      </c>
      <c r="L50" s="228">
        <v>8.8000000000000007</v>
      </c>
      <c r="M50" s="229">
        <v>2.2000000000000001E-3</v>
      </c>
      <c r="N50" s="231">
        <v>3988.3</v>
      </c>
      <c r="O50" s="231">
        <v>3973.2</v>
      </c>
      <c r="P50" s="228">
        <v>15.1</v>
      </c>
      <c r="Q50" s="229">
        <v>3.8E-3</v>
      </c>
      <c r="R50" s="231">
        <v>4005.8</v>
      </c>
      <c r="S50" s="231">
        <v>3984.6</v>
      </c>
      <c r="T50" s="228">
        <v>21.2</v>
      </c>
      <c r="U50" s="229">
        <v>5.3E-3</v>
      </c>
      <c r="V50" s="231">
        <v>4012</v>
      </c>
      <c r="W50" s="231">
        <v>4001</v>
      </c>
      <c r="X50" s="228">
        <v>11</v>
      </c>
      <c r="Y50" s="229">
        <v>2.7000000000000001E-3</v>
      </c>
      <c r="Z50" s="228">
        <v>22.3</v>
      </c>
      <c r="AA50" s="228">
        <v>16</v>
      </c>
      <c r="AB50" s="228">
        <v>6.3</v>
      </c>
      <c r="AC50" s="229">
        <v>5.5999999999999999E-3</v>
      </c>
      <c r="AD50" s="228">
        <v>22.3</v>
      </c>
      <c r="AE50" s="228">
        <v>16</v>
      </c>
      <c r="AF50" s="228">
        <v>6.3</v>
      </c>
      <c r="AG50" s="229">
        <v>5.5999999999999999E-3</v>
      </c>
      <c r="AH50" s="228">
        <v>39.799999999999997</v>
      </c>
      <c r="AI50" s="228">
        <v>27.4</v>
      </c>
      <c r="AJ50" s="228">
        <v>12.4</v>
      </c>
      <c r="AK50" s="229">
        <v>0.01</v>
      </c>
      <c r="AL50" s="228">
        <v>46</v>
      </c>
      <c r="AM50" s="228">
        <v>43.8</v>
      </c>
      <c r="AN50" s="228">
        <v>2.2000000000000002</v>
      </c>
      <c r="AO50" s="229">
        <v>1.1599999999999999E-2</v>
      </c>
      <c r="AP50" s="231">
        <v>3997.23</v>
      </c>
      <c r="AQ50" s="231">
        <v>4018.74</v>
      </c>
      <c r="AR50" s="228">
        <v>0</v>
      </c>
      <c r="AS50" s="228">
        <v>401</v>
      </c>
      <c r="AT50" s="228">
        <v>184</v>
      </c>
      <c r="AU50" s="228">
        <v>217</v>
      </c>
      <c r="AV50" s="229">
        <v>1.1777</v>
      </c>
      <c r="AW50" s="228">
        <v>391</v>
      </c>
      <c r="AX50" s="228">
        <v>181</v>
      </c>
      <c r="AY50" s="228">
        <v>211</v>
      </c>
      <c r="AZ50" s="229">
        <v>1.1659999999999999</v>
      </c>
      <c r="BA50" s="228">
        <v>9</v>
      </c>
      <c r="BB50" s="228">
        <v>3</v>
      </c>
      <c r="BC50" s="228">
        <v>6</v>
      </c>
      <c r="BD50" s="229">
        <v>1.7073</v>
      </c>
      <c r="BE50" s="228">
        <v>1</v>
      </c>
      <c r="BF50" s="228">
        <v>0</v>
      </c>
      <c r="BG50" s="228">
        <v>0</v>
      </c>
      <c r="BH50" s="229">
        <v>6</v>
      </c>
      <c r="BI50" s="228">
        <v>976</v>
      </c>
      <c r="BJ50" s="228">
        <v>422</v>
      </c>
      <c r="BK50" s="228">
        <v>554</v>
      </c>
      <c r="BL50" s="229">
        <v>1.3119000000000001</v>
      </c>
      <c r="BM50" s="228">
        <v>260</v>
      </c>
      <c r="BN50" s="228">
        <v>116</v>
      </c>
      <c r="BO50" s="228">
        <v>144</v>
      </c>
      <c r="BP50" s="229">
        <v>1.2471000000000001</v>
      </c>
      <c r="BQ50" s="230">
        <v>1637</v>
      </c>
      <c r="BR50" s="228">
        <v>722</v>
      </c>
      <c r="BS50" s="228">
        <v>915</v>
      </c>
      <c r="BT50" s="229">
        <v>1.2673000000000001</v>
      </c>
      <c r="BU50" s="230">
        <v>539324</v>
      </c>
      <c r="BV50" s="230">
        <v>195820</v>
      </c>
      <c r="BW50" s="230">
        <v>343504</v>
      </c>
      <c r="BX50" s="229">
        <v>1.7542</v>
      </c>
      <c r="BY50" s="230">
        <v>1186</v>
      </c>
      <c r="BZ50" s="230">
        <v>1169</v>
      </c>
      <c r="CA50" s="228">
        <v>17</v>
      </c>
      <c r="CB50" s="229">
        <v>1.4500000000000001E-2</v>
      </c>
      <c r="CC50" s="230">
        <v>1170</v>
      </c>
      <c r="CD50" s="230">
        <v>1154</v>
      </c>
      <c r="CE50" s="228">
        <v>16</v>
      </c>
      <c r="CF50" s="229">
        <v>1.3899999999999999E-2</v>
      </c>
      <c r="CG50" s="228">
        <v>15</v>
      </c>
      <c r="CH50" s="228">
        <v>15</v>
      </c>
      <c r="CI50" s="228">
        <v>1</v>
      </c>
      <c r="CJ50" s="229">
        <v>4.3200000000000002E-2</v>
      </c>
      <c r="CK50" s="228">
        <v>1</v>
      </c>
      <c r="CL50" s="228">
        <v>0</v>
      </c>
      <c r="CM50" s="228">
        <v>0</v>
      </c>
      <c r="CN50" s="229">
        <v>0.8</v>
      </c>
      <c r="CO50" s="228">
        <v>296</v>
      </c>
      <c r="CP50" s="228">
        <v>274</v>
      </c>
      <c r="CQ50" s="228">
        <v>22</v>
      </c>
      <c r="CR50" s="229">
        <v>8.09E-2</v>
      </c>
      <c r="CS50" s="228">
        <v>204</v>
      </c>
      <c r="CT50" s="228">
        <v>202</v>
      </c>
      <c r="CU50" s="228">
        <v>2</v>
      </c>
      <c r="CV50" s="229">
        <v>1.1900000000000001E-2</v>
      </c>
      <c r="CW50" s="230">
        <v>1687</v>
      </c>
      <c r="CX50" s="230">
        <v>1645</v>
      </c>
      <c r="CY50" s="228">
        <v>42</v>
      </c>
      <c r="CZ50" s="229">
        <v>2.53E-2</v>
      </c>
      <c r="DA50" s="228">
        <v>23.01</v>
      </c>
      <c r="DB50" s="228">
        <v>23.58</v>
      </c>
      <c r="DC50" s="228">
        <v>-0.56999999999999995</v>
      </c>
      <c r="DD50" s="228">
        <v>-0.56999999999999995</v>
      </c>
      <c r="DE50" s="228">
        <v>35.409999999999997</v>
      </c>
      <c r="DF50" s="228">
        <v>35.5</v>
      </c>
      <c r="DG50" s="228">
        <v>-12.4</v>
      </c>
      <c r="DH50" s="228">
        <v>-0.09</v>
      </c>
      <c r="DI50" s="228">
        <v>23.04</v>
      </c>
      <c r="DJ50" s="228">
        <v>23.5</v>
      </c>
      <c r="DK50" s="228">
        <v>-0.46</v>
      </c>
      <c r="DL50" s="228">
        <v>-0.46</v>
      </c>
      <c r="DM50" s="228">
        <v>22.89</v>
      </c>
      <c r="DN50" s="228">
        <v>23.86</v>
      </c>
      <c r="DO50" s="228">
        <v>-0.97</v>
      </c>
      <c r="DP50" s="228">
        <v>-0.97</v>
      </c>
      <c r="DQ50" s="228">
        <v>0.69</v>
      </c>
      <c r="DR50" s="228">
        <v>0.74</v>
      </c>
      <c r="DS50" s="228">
        <v>-0.05</v>
      </c>
      <c r="DT50" s="229">
        <v>-6.7599999999999993E-2</v>
      </c>
      <c r="DU50" s="231">
        <v>4000</v>
      </c>
      <c r="DV50" s="231">
        <v>3900</v>
      </c>
      <c r="DW50" s="228">
        <v>0.27</v>
      </c>
      <c r="DX50" s="228">
        <v>0.27</v>
      </c>
      <c r="DY50" s="228">
        <v>0</v>
      </c>
      <c r="DZ50" s="229">
        <v>0</v>
      </c>
      <c r="EA50" s="229">
        <v>1.3599999999999999E-2</v>
      </c>
      <c r="EB50" s="230">
        <v>38000</v>
      </c>
      <c r="EC50" s="229">
        <v>4.4000000000000003E-3</v>
      </c>
      <c r="ED50" s="229">
        <v>1.3599999999999999E-2</v>
      </c>
      <c r="EE50" s="228">
        <v>21.51</v>
      </c>
      <c r="EF50" s="229">
        <v>5.4000000000000003E-3</v>
      </c>
      <c r="EG50" s="230">
        <v>316196</v>
      </c>
      <c r="EH50" s="230">
        <v>98259</v>
      </c>
      <c r="EI50" s="229">
        <v>2.218</v>
      </c>
      <c r="EJ50" s="229">
        <v>0.58630000000000004</v>
      </c>
      <c r="EK50" s="231">
        <v>1012.79</v>
      </c>
      <c r="EL50" s="228">
        <v>258.27</v>
      </c>
      <c r="EM50" s="228">
        <v>401.69</v>
      </c>
      <c r="EN50" s="228">
        <v>23.11</v>
      </c>
      <c r="EO50" s="231">
        <v>1672.75</v>
      </c>
      <c r="EP50" s="228">
        <v>729.71</v>
      </c>
      <c r="EQ50" s="228">
        <v>943.05</v>
      </c>
      <c r="ER50" s="229">
        <v>1.2924</v>
      </c>
      <c r="ES50" s="228">
        <v>303.68</v>
      </c>
      <c r="ET50" s="228">
        <v>197.64</v>
      </c>
      <c r="EU50" s="231">
        <v>1186.3499999999999</v>
      </c>
      <c r="EV50" s="231">
        <v>20374200</v>
      </c>
      <c r="EW50" s="231">
        <v>1687.67</v>
      </c>
      <c r="EX50" s="231">
        <v>1639.57</v>
      </c>
      <c r="EY50" s="228">
        <v>48.1</v>
      </c>
      <c r="EZ50" s="229">
        <v>2.93E-2</v>
      </c>
      <c r="FA50" s="229">
        <v>0.20760000000000001</v>
      </c>
      <c r="FB50" s="227" t="s">
        <v>555</v>
      </c>
      <c r="FC50">
        <f t="shared" si="0"/>
        <v>16</v>
      </c>
    </row>
    <row r="51" spans="1:159" ht="17.25" thickBot="1" x14ac:dyDescent="0.3">
      <c r="A51" s="226">
        <v>45940</v>
      </c>
      <c r="B51" s="227" t="s">
        <v>221</v>
      </c>
      <c r="C51" s="227" t="s">
        <v>573</v>
      </c>
      <c r="D51" s="228">
        <v>425</v>
      </c>
      <c r="E51" s="228">
        <v>18</v>
      </c>
      <c r="F51" s="231">
        <v>1179</v>
      </c>
      <c r="G51" s="231">
        <v>1181.9000000000001</v>
      </c>
      <c r="H51" s="228">
        <v>-2.9</v>
      </c>
      <c r="I51" s="229">
        <v>-2.5000000000000001E-3</v>
      </c>
      <c r="J51" s="231">
        <v>1176.9000000000001</v>
      </c>
      <c r="K51" s="231">
        <v>1176.7</v>
      </c>
      <c r="L51" s="228">
        <v>0.2</v>
      </c>
      <c r="M51" s="229">
        <v>2.0000000000000001E-4</v>
      </c>
      <c r="N51" s="231">
        <v>1179</v>
      </c>
      <c r="O51" s="231">
        <v>1181.9000000000001</v>
      </c>
      <c r="P51" s="228">
        <v>-2.9</v>
      </c>
      <c r="Q51" s="229">
        <v>-2.5000000000000001E-3</v>
      </c>
      <c r="R51" s="231">
        <v>1179.2</v>
      </c>
      <c r="S51" s="231">
        <v>1182.2</v>
      </c>
      <c r="T51" s="228">
        <v>-3</v>
      </c>
      <c r="U51" s="229">
        <v>-2.5000000000000001E-3</v>
      </c>
      <c r="V51" s="231">
        <v>1183.8</v>
      </c>
      <c r="W51" s="231">
        <v>1184.7</v>
      </c>
      <c r="X51" s="228">
        <v>-0.9</v>
      </c>
      <c r="Y51" s="229">
        <v>-8.0000000000000004E-4</v>
      </c>
      <c r="Z51" s="228">
        <v>2.1</v>
      </c>
      <c r="AA51" s="228">
        <v>5.2</v>
      </c>
      <c r="AB51" s="228">
        <v>-3.1</v>
      </c>
      <c r="AC51" s="229">
        <v>1.8E-3</v>
      </c>
      <c r="AD51" s="228">
        <v>2.1</v>
      </c>
      <c r="AE51" s="228">
        <v>5.2</v>
      </c>
      <c r="AF51" s="228">
        <v>-3.1</v>
      </c>
      <c r="AG51" s="229">
        <v>1.8E-3</v>
      </c>
      <c r="AH51" s="228">
        <v>2.2999999999999998</v>
      </c>
      <c r="AI51" s="228">
        <v>5.5</v>
      </c>
      <c r="AJ51" s="228">
        <v>-3.2</v>
      </c>
      <c r="AK51" s="229">
        <v>2E-3</v>
      </c>
      <c r="AL51" s="228">
        <v>6.9</v>
      </c>
      <c r="AM51" s="228">
        <v>8</v>
      </c>
      <c r="AN51" s="228">
        <v>-1.1000000000000001</v>
      </c>
      <c r="AO51" s="229">
        <v>5.8999999999999999E-3</v>
      </c>
      <c r="AP51" s="231">
        <v>1181.31</v>
      </c>
      <c r="AQ51" s="231">
        <v>1181.53</v>
      </c>
      <c r="AR51" s="228">
        <v>0</v>
      </c>
      <c r="AS51" s="228">
        <v>46</v>
      </c>
      <c r="AT51" s="228">
        <v>72</v>
      </c>
      <c r="AU51" s="228">
        <v>-26</v>
      </c>
      <c r="AV51" s="229">
        <v>-0.3634</v>
      </c>
      <c r="AW51" s="228">
        <v>41</v>
      </c>
      <c r="AX51" s="228">
        <v>66</v>
      </c>
      <c r="AY51" s="228">
        <v>-25</v>
      </c>
      <c r="AZ51" s="229">
        <v>-0.37990000000000002</v>
      </c>
      <c r="BA51" s="228">
        <v>4</v>
      </c>
      <c r="BB51" s="228">
        <v>5</v>
      </c>
      <c r="BC51" s="228">
        <v>-1</v>
      </c>
      <c r="BD51" s="229">
        <v>-0.1474</v>
      </c>
      <c r="BE51" s="228">
        <v>0</v>
      </c>
      <c r="BF51" s="228">
        <v>0</v>
      </c>
      <c r="BG51" s="228">
        <v>0</v>
      </c>
      <c r="BH51" s="229">
        <v>-0.22220000000000001</v>
      </c>
      <c r="BI51" s="228">
        <v>194</v>
      </c>
      <c r="BJ51" s="228">
        <v>127</v>
      </c>
      <c r="BK51" s="228">
        <v>67</v>
      </c>
      <c r="BL51" s="229">
        <v>0.5302</v>
      </c>
      <c r="BM51" s="228">
        <v>37</v>
      </c>
      <c r="BN51" s="228">
        <v>57</v>
      </c>
      <c r="BO51" s="228">
        <v>-20</v>
      </c>
      <c r="BP51" s="229">
        <v>-0.35630000000000001</v>
      </c>
      <c r="BQ51" s="228">
        <v>277</v>
      </c>
      <c r="BR51" s="228">
        <v>256</v>
      </c>
      <c r="BS51" s="228">
        <v>21</v>
      </c>
      <c r="BT51" s="229">
        <v>8.1600000000000006E-2</v>
      </c>
      <c r="BU51" s="230">
        <v>117505</v>
      </c>
      <c r="BV51" s="230">
        <v>532396</v>
      </c>
      <c r="BW51" s="230">
        <v>-414891</v>
      </c>
      <c r="BX51" s="229">
        <v>-0.77929999999999999</v>
      </c>
      <c r="BY51" s="228">
        <v>472</v>
      </c>
      <c r="BZ51" s="228">
        <v>472</v>
      </c>
      <c r="CA51" s="228">
        <v>0</v>
      </c>
      <c r="CB51" s="229">
        <v>5.0000000000000001E-4</v>
      </c>
      <c r="CC51" s="228">
        <v>436</v>
      </c>
      <c r="CD51" s="228">
        <v>437</v>
      </c>
      <c r="CE51" s="228">
        <v>-1</v>
      </c>
      <c r="CF51" s="229">
        <v>-1.9E-3</v>
      </c>
      <c r="CG51" s="228">
        <v>34</v>
      </c>
      <c r="CH51" s="228">
        <v>33</v>
      </c>
      <c r="CI51" s="228">
        <v>1</v>
      </c>
      <c r="CJ51" s="229">
        <v>3.3500000000000002E-2</v>
      </c>
      <c r="CK51" s="228">
        <v>1</v>
      </c>
      <c r="CL51" s="228">
        <v>1</v>
      </c>
      <c r="CM51" s="228">
        <v>0</v>
      </c>
      <c r="CN51" s="229">
        <v>0</v>
      </c>
      <c r="CO51" s="228">
        <v>244</v>
      </c>
      <c r="CP51" s="228">
        <v>201</v>
      </c>
      <c r="CQ51" s="228">
        <v>43</v>
      </c>
      <c r="CR51" s="229">
        <v>0.214</v>
      </c>
      <c r="CS51" s="228">
        <v>132</v>
      </c>
      <c r="CT51" s="228">
        <v>127</v>
      </c>
      <c r="CU51" s="228">
        <v>5</v>
      </c>
      <c r="CV51" s="229">
        <v>0.04</v>
      </c>
      <c r="CW51" s="228">
        <v>847</v>
      </c>
      <c r="CX51" s="228">
        <v>799</v>
      </c>
      <c r="CY51" s="228">
        <v>48</v>
      </c>
      <c r="CZ51" s="229">
        <v>6.0400000000000002E-2</v>
      </c>
      <c r="DA51" s="228">
        <v>40.01</v>
      </c>
      <c r="DB51" s="228">
        <v>38.119999999999997</v>
      </c>
      <c r="DC51" s="228">
        <v>1.89</v>
      </c>
      <c r="DD51" s="228">
        <v>1.89</v>
      </c>
      <c r="DE51" s="228">
        <v>44.39</v>
      </c>
      <c r="DF51" s="228">
        <v>44.5</v>
      </c>
      <c r="DG51" s="228">
        <v>-4.38</v>
      </c>
      <c r="DH51" s="228">
        <v>-0.11</v>
      </c>
      <c r="DI51" s="228">
        <v>40.15</v>
      </c>
      <c r="DJ51" s="228">
        <v>37.85</v>
      </c>
      <c r="DK51" s="228">
        <v>2.2999999999999998</v>
      </c>
      <c r="DL51" s="228">
        <v>2.2999999999999998</v>
      </c>
      <c r="DM51" s="228">
        <v>39.24</v>
      </c>
      <c r="DN51" s="228">
        <v>38.729999999999997</v>
      </c>
      <c r="DO51" s="228">
        <v>0.51</v>
      </c>
      <c r="DP51" s="228">
        <v>0.51</v>
      </c>
      <c r="DQ51" s="228">
        <v>0.54</v>
      </c>
      <c r="DR51" s="228">
        <v>0.63</v>
      </c>
      <c r="DS51" s="228">
        <v>-0.09</v>
      </c>
      <c r="DT51" s="229">
        <v>-0.1429</v>
      </c>
      <c r="DU51" s="231">
        <v>1300</v>
      </c>
      <c r="DV51" s="231">
        <v>1160</v>
      </c>
      <c r="DW51" s="228">
        <v>0.19</v>
      </c>
      <c r="DX51" s="228">
        <v>0.45</v>
      </c>
      <c r="DY51" s="228">
        <v>-0.26</v>
      </c>
      <c r="DZ51" s="229">
        <v>-0.57779999999999998</v>
      </c>
      <c r="EA51" s="229">
        <v>7.4899999999999994E-2</v>
      </c>
      <c r="EB51" s="230">
        <v>290275</v>
      </c>
      <c r="EC51" s="229">
        <v>2.0000000000000001E-4</v>
      </c>
      <c r="ED51" s="229">
        <v>7.4899999999999994E-2</v>
      </c>
      <c r="EE51" s="228">
        <v>0.22</v>
      </c>
      <c r="EF51" s="229">
        <v>2.0000000000000001E-4</v>
      </c>
      <c r="EG51" s="230">
        <v>55092</v>
      </c>
      <c r="EH51" s="230">
        <v>367336</v>
      </c>
      <c r="EI51" s="229">
        <v>-0.85</v>
      </c>
      <c r="EJ51" s="229">
        <v>0.46879999999999999</v>
      </c>
      <c r="EK51" s="228">
        <v>208.89</v>
      </c>
      <c r="EL51" s="228">
        <v>36.22</v>
      </c>
      <c r="EM51" s="228">
        <v>45.64</v>
      </c>
      <c r="EN51" s="228">
        <v>16.57</v>
      </c>
      <c r="EO51" s="228">
        <v>290.75</v>
      </c>
      <c r="EP51" s="228">
        <v>262.02</v>
      </c>
      <c r="EQ51" s="228">
        <v>28.73</v>
      </c>
      <c r="ER51" s="229">
        <v>0.10970000000000001</v>
      </c>
      <c r="ES51" s="228">
        <v>257.91000000000003</v>
      </c>
      <c r="ET51" s="228">
        <v>126.11</v>
      </c>
      <c r="EU51" s="228">
        <v>471.77</v>
      </c>
      <c r="EV51" s="231">
        <v>12039544</v>
      </c>
      <c r="EW51" s="228">
        <v>855.79</v>
      </c>
      <c r="EX51" s="228">
        <v>805.78</v>
      </c>
      <c r="EY51" s="228">
        <v>50.01</v>
      </c>
      <c r="EZ51" s="229">
        <v>6.2100000000000002E-2</v>
      </c>
      <c r="FA51" s="229">
        <v>0.5968</v>
      </c>
      <c r="FB51" s="227" t="s">
        <v>567</v>
      </c>
      <c r="FC51">
        <f t="shared" si="0"/>
        <v>36</v>
      </c>
    </row>
    <row r="52" spans="1:159" ht="17.25" thickBot="1" x14ac:dyDescent="0.3">
      <c r="A52" s="226">
        <v>45940</v>
      </c>
      <c r="B52" s="227" t="s">
        <v>168</v>
      </c>
      <c r="C52" s="227" t="s">
        <v>204</v>
      </c>
      <c r="D52" s="228">
        <v>1250</v>
      </c>
      <c r="E52" s="228">
        <v>18</v>
      </c>
      <c r="F52" s="228">
        <v>491.35</v>
      </c>
      <c r="G52" s="228">
        <v>488.15</v>
      </c>
      <c r="H52" s="228">
        <v>3.2</v>
      </c>
      <c r="I52" s="229">
        <v>6.6E-3</v>
      </c>
      <c r="J52" s="228">
        <v>489.7</v>
      </c>
      <c r="K52" s="228">
        <v>485.4</v>
      </c>
      <c r="L52" s="228">
        <v>4.3</v>
      </c>
      <c r="M52" s="229">
        <v>8.8999999999999999E-3</v>
      </c>
      <c r="N52" s="228">
        <v>491.35</v>
      </c>
      <c r="O52" s="228">
        <v>488.15</v>
      </c>
      <c r="P52" s="228">
        <v>3.2</v>
      </c>
      <c r="Q52" s="229">
        <v>6.6E-3</v>
      </c>
      <c r="R52" s="228">
        <v>491.25</v>
      </c>
      <c r="S52" s="228">
        <v>487.95</v>
      </c>
      <c r="T52" s="228">
        <v>3.3</v>
      </c>
      <c r="U52" s="229">
        <v>6.7999999999999996E-3</v>
      </c>
      <c r="V52" s="228">
        <v>494.3</v>
      </c>
      <c r="W52" s="228">
        <v>491</v>
      </c>
      <c r="X52" s="228">
        <v>3.3</v>
      </c>
      <c r="Y52" s="229">
        <v>6.7000000000000002E-3</v>
      </c>
      <c r="Z52" s="228">
        <v>1.65</v>
      </c>
      <c r="AA52" s="228">
        <v>2.75</v>
      </c>
      <c r="AB52" s="228">
        <v>-1.1000000000000001</v>
      </c>
      <c r="AC52" s="229">
        <v>3.3999999999999998E-3</v>
      </c>
      <c r="AD52" s="228">
        <v>1.65</v>
      </c>
      <c r="AE52" s="228">
        <v>2.75</v>
      </c>
      <c r="AF52" s="228">
        <v>-1.1000000000000001</v>
      </c>
      <c r="AG52" s="229">
        <v>3.3999999999999998E-3</v>
      </c>
      <c r="AH52" s="228">
        <v>1.55</v>
      </c>
      <c r="AI52" s="228">
        <v>2.5499999999999998</v>
      </c>
      <c r="AJ52" s="228">
        <v>-1</v>
      </c>
      <c r="AK52" s="229">
        <v>3.2000000000000002E-3</v>
      </c>
      <c r="AL52" s="228">
        <v>4.5999999999999996</v>
      </c>
      <c r="AM52" s="228">
        <v>5.6</v>
      </c>
      <c r="AN52" s="228">
        <v>-1</v>
      </c>
      <c r="AO52" s="229">
        <v>9.4000000000000004E-3</v>
      </c>
      <c r="AP52" s="228">
        <v>491.46</v>
      </c>
      <c r="AQ52" s="228">
        <v>491.01</v>
      </c>
      <c r="AR52" s="228">
        <v>0</v>
      </c>
      <c r="AS52" s="228">
        <v>117</v>
      </c>
      <c r="AT52" s="228">
        <v>174</v>
      </c>
      <c r="AU52" s="228">
        <v>-57</v>
      </c>
      <c r="AV52" s="229">
        <v>-0.32919999999999999</v>
      </c>
      <c r="AW52" s="228">
        <v>102</v>
      </c>
      <c r="AX52" s="228">
        <v>160</v>
      </c>
      <c r="AY52" s="228">
        <v>-58</v>
      </c>
      <c r="AZ52" s="229">
        <v>-0.36099999999999999</v>
      </c>
      <c r="BA52" s="228">
        <v>13</v>
      </c>
      <c r="BB52" s="228">
        <v>13</v>
      </c>
      <c r="BC52" s="228">
        <v>0</v>
      </c>
      <c r="BD52" s="229">
        <v>2.93E-2</v>
      </c>
      <c r="BE52" s="228">
        <v>2</v>
      </c>
      <c r="BF52" s="228">
        <v>2</v>
      </c>
      <c r="BG52" s="228">
        <v>0</v>
      </c>
      <c r="BH52" s="229">
        <v>0</v>
      </c>
      <c r="BI52" s="228">
        <v>501</v>
      </c>
      <c r="BJ52" s="228">
        <v>689</v>
      </c>
      <c r="BK52" s="228">
        <v>-188</v>
      </c>
      <c r="BL52" s="229">
        <v>-0.27260000000000001</v>
      </c>
      <c r="BM52" s="228">
        <v>194</v>
      </c>
      <c r="BN52" s="228">
        <v>298</v>
      </c>
      <c r="BO52" s="228">
        <v>-103</v>
      </c>
      <c r="BP52" s="229">
        <v>-0.34770000000000001</v>
      </c>
      <c r="BQ52" s="228">
        <v>812</v>
      </c>
      <c r="BR52" s="230">
        <v>1161</v>
      </c>
      <c r="BS52" s="228">
        <v>-349</v>
      </c>
      <c r="BT52" s="229">
        <v>-0.3004</v>
      </c>
      <c r="BU52" s="230">
        <v>1666109</v>
      </c>
      <c r="BV52" s="230">
        <v>3106532</v>
      </c>
      <c r="BW52" s="230">
        <v>-1440423</v>
      </c>
      <c r="BX52" s="229">
        <v>-0.4637</v>
      </c>
      <c r="BY52" s="230">
        <v>1409</v>
      </c>
      <c r="BZ52" s="230">
        <v>1425</v>
      </c>
      <c r="CA52" s="228">
        <v>-16</v>
      </c>
      <c r="CB52" s="229">
        <v>-1.15E-2</v>
      </c>
      <c r="CC52" s="230">
        <v>1318</v>
      </c>
      <c r="CD52" s="230">
        <v>1336</v>
      </c>
      <c r="CE52" s="228">
        <v>-18</v>
      </c>
      <c r="CF52" s="229">
        <v>-1.34E-2</v>
      </c>
      <c r="CG52" s="228">
        <v>84</v>
      </c>
      <c r="CH52" s="228">
        <v>83</v>
      </c>
      <c r="CI52" s="228">
        <v>1</v>
      </c>
      <c r="CJ52" s="229">
        <v>8.8000000000000005E-3</v>
      </c>
      <c r="CK52" s="228">
        <v>7</v>
      </c>
      <c r="CL52" s="228">
        <v>6</v>
      </c>
      <c r="CM52" s="228">
        <v>1</v>
      </c>
      <c r="CN52" s="229">
        <v>0.13270000000000001</v>
      </c>
      <c r="CO52" s="228">
        <v>922</v>
      </c>
      <c r="CP52" s="228">
        <v>932</v>
      </c>
      <c r="CQ52" s="228">
        <v>-10</v>
      </c>
      <c r="CR52" s="229">
        <v>-1.06E-2</v>
      </c>
      <c r="CS52" s="228">
        <v>408</v>
      </c>
      <c r="CT52" s="228">
        <v>398</v>
      </c>
      <c r="CU52" s="228">
        <v>10</v>
      </c>
      <c r="CV52" s="229">
        <v>2.5499999999999998E-2</v>
      </c>
      <c r="CW52" s="230">
        <v>2739</v>
      </c>
      <c r="CX52" s="230">
        <v>2755</v>
      </c>
      <c r="CY52" s="228">
        <v>-16</v>
      </c>
      <c r="CZ52" s="229">
        <v>-5.8999999999999999E-3</v>
      </c>
      <c r="DA52" s="228">
        <v>20.43</v>
      </c>
      <c r="DB52" s="228">
        <v>21.31</v>
      </c>
      <c r="DC52" s="228">
        <v>-0.88</v>
      </c>
      <c r="DD52" s="228">
        <v>-0.88</v>
      </c>
      <c r="DE52" s="228">
        <v>25.62</v>
      </c>
      <c r="DF52" s="228">
        <v>25.66</v>
      </c>
      <c r="DG52" s="228">
        <v>-5.19</v>
      </c>
      <c r="DH52" s="228">
        <v>-0.04</v>
      </c>
      <c r="DI52" s="228">
        <v>20.61</v>
      </c>
      <c r="DJ52" s="228">
        <v>21.42</v>
      </c>
      <c r="DK52" s="228">
        <v>-0.81</v>
      </c>
      <c r="DL52" s="228">
        <v>-0.81</v>
      </c>
      <c r="DM52" s="228">
        <v>19.95</v>
      </c>
      <c r="DN52" s="228">
        <v>21.04</v>
      </c>
      <c r="DO52" s="228">
        <v>-1.0900000000000001</v>
      </c>
      <c r="DP52" s="228">
        <v>-1.0900000000000001</v>
      </c>
      <c r="DQ52" s="228">
        <v>0.44</v>
      </c>
      <c r="DR52" s="228">
        <v>0.43</v>
      </c>
      <c r="DS52" s="228">
        <v>0.01</v>
      </c>
      <c r="DT52" s="229">
        <v>2.3300000000000001E-2</v>
      </c>
      <c r="DU52" s="228">
        <v>500</v>
      </c>
      <c r="DV52" s="228">
        <v>500</v>
      </c>
      <c r="DW52" s="228">
        <v>0.39</v>
      </c>
      <c r="DX52" s="228">
        <v>0.43</v>
      </c>
      <c r="DY52" s="228">
        <v>-0.04</v>
      </c>
      <c r="DZ52" s="229">
        <v>-9.2999999999999999E-2</v>
      </c>
      <c r="EA52" s="229">
        <v>6.4600000000000005E-2</v>
      </c>
      <c r="EB52" s="230">
        <v>1820000</v>
      </c>
      <c r="EC52" s="229">
        <v>-2.0000000000000001E-4</v>
      </c>
      <c r="ED52" s="229">
        <v>6.4600000000000005E-2</v>
      </c>
      <c r="EE52" s="228">
        <v>-0.45</v>
      </c>
      <c r="EF52" s="229">
        <v>-8.9999999999999998E-4</v>
      </c>
      <c r="EG52" s="230">
        <v>1004158</v>
      </c>
      <c r="EH52" s="230">
        <v>2202057</v>
      </c>
      <c r="EI52" s="229">
        <v>-0.54400000000000004</v>
      </c>
      <c r="EJ52" s="229">
        <v>0.60270000000000001</v>
      </c>
      <c r="EK52" s="228">
        <v>520.13</v>
      </c>
      <c r="EL52" s="228">
        <v>191.09</v>
      </c>
      <c r="EM52" s="228">
        <v>116.9</v>
      </c>
      <c r="EN52" s="228">
        <v>42.88</v>
      </c>
      <c r="EO52" s="228">
        <v>828.11</v>
      </c>
      <c r="EP52" s="231">
        <v>1174.24</v>
      </c>
      <c r="EQ52" s="228">
        <v>-346.13</v>
      </c>
      <c r="ER52" s="229">
        <v>-0.29480000000000001</v>
      </c>
      <c r="ES52" s="228">
        <v>981.07</v>
      </c>
      <c r="ET52" s="228">
        <v>403.42</v>
      </c>
      <c r="EU52" s="231">
        <v>1408.79</v>
      </c>
      <c r="EV52" s="231">
        <v>89873278</v>
      </c>
      <c r="EW52" s="231">
        <v>2793.27</v>
      </c>
      <c r="EX52" s="231">
        <v>2799.03</v>
      </c>
      <c r="EY52" s="228">
        <v>-5.76</v>
      </c>
      <c r="EZ52" s="229">
        <v>-2.0999999999999999E-3</v>
      </c>
      <c r="FA52" s="229">
        <v>0.62019999999999997</v>
      </c>
      <c r="FB52" s="227" t="s">
        <v>556</v>
      </c>
      <c r="FC52">
        <f t="shared" si="0"/>
        <v>91</v>
      </c>
    </row>
    <row r="53" spans="1:159" ht="17.25" thickBot="1" x14ac:dyDescent="0.3">
      <c r="A53" s="226">
        <v>45940</v>
      </c>
      <c r="B53" s="227" t="s">
        <v>157</v>
      </c>
      <c r="C53" s="227" t="s">
        <v>524</v>
      </c>
      <c r="D53" s="228">
        <v>325</v>
      </c>
      <c r="E53" s="228">
        <v>18</v>
      </c>
      <c r="F53" s="231">
        <v>2237.8000000000002</v>
      </c>
      <c r="G53" s="231">
        <v>2243.6</v>
      </c>
      <c r="H53" s="228">
        <v>-5.8</v>
      </c>
      <c r="I53" s="229">
        <v>-2.5999999999999999E-3</v>
      </c>
      <c r="J53" s="231">
        <v>2227.6999999999998</v>
      </c>
      <c r="K53" s="231">
        <v>2234.6999999999998</v>
      </c>
      <c r="L53" s="228">
        <v>-7</v>
      </c>
      <c r="M53" s="229">
        <v>-3.0999999999999999E-3</v>
      </c>
      <c r="N53" s="231">
        <v>2237.8000000000002</v>
      </c>
      <c r="O53" s="231">
        <v>2243.6</v>
      </c>
      <c r="P53" s="228">
        <v>-5.8</v>
      </c>
      <c r="Q53" s="229">
        <v>-2.5999999999999999E-3</v>
      </c>
      <c r="R53" s="231">
        <v>2242.1999999999998</v>
      </c>
      <c r="S53" s="231">
        <v>2249.9</v>
      </c>
      <c r="T53" s="228">
        <v>-7.7</v>
      </c>
      <c r="U53" s="229">
        <v>-3.3999999999999998E-3</v>
      </c>
      <c r="V53" s="231">
        <v>2261.6</v>
      </c>
      <c r="W53" s="231">
        <v>2248.6999999999998</v>
      </c>
      <c r="X53" s="228">
        <v>12.9</v>
      </c>
      <c r="Y53" s="229">
        <v>5.7000000000000002E-3</v>
      </c>
      <c r="Z53" s="228">
        <v>10.1</v>
      </c>
      <c r="AA53" s="228">
        <v>8.9</v>
      </c>
      <c r="AB53" s="228">
        <v>1.2</v>
      </c>
      <c r="AC53" s="229">
        <v>4.4999999999999997E-3</v>
      </c>
      <c r="AD53" s="228">
        <v>10.1</v>
      </c>
      <c r="AE53" s="228">
        <v>8.9</v>
      </c>
      <c r="AF53" s="228">
        <v>1.2</v>
      </c>
      <c r="AG53" s="229">
        <v>4.4999999999999997E-3</v>
      </c>
      <c r="AH53" s="228">
        <v>14.5</v>
      </c>
      <c r="AI53" s="228">
        <v>15.2</v>
      </c>
      <c r="AJ53" s="228">
        <v>-0.7</v>
      </c>
      <c r="AK53" s="229">
        <v>6.4999999999999997E-3</v>
      </c>
      <c r="AL53" s="228">
        <v>33.9</v>
      </c>
      <c r="AM53" s="228">
        <v>14</v>
      </c>
      <c r="AN53" s="228">
        <v>19.899999999999999</v>
      </c>
      <c r="AO53" s="229">
        <v>1.52E-2</v>
      </c>
      <c r="AP53" s="231">
        <v>2246.02</v>
      </c>
      <c r="AQ53" s="231">
        <v>2252.48</v>
      </c>
      <c r="AR53" s="228">
        <v>0</v>
      </c>
      <c r="AS53" s="228">
        <v>71</v>
      </c>
      <c r="AT53" s="228">
        <v>110</v>
      </c>
      <c r="AU53" s="228">
        <v>-40</v>
      </c>
      <c r="AV53" s="229">
        <v>-0.36009999999999998</v>
      </c>
      <c r="AW53" s="228">
        <v>68</v>
      </c>
      <c r="AX53" s="228">
        <v>107</v>
      </c>
      <c r="AY53" s="228">
        <v>-40</v>
      </c>
      <c r="AZ53" s="229">
        <v>-0.36899999999999999</v>
      </c>
      <c r="BA53" s="228">
        <v>3</v>
      </c>
      <c r="BB53" s="228">
        <v>3</v>
      </c>
      <c r="BC53" s="228">
        <v>0</v>
      </c>
      <c r="BD53" s="229">
        <v>-0.1429</v>
      </c>
      <c r="BE53" s="228">
        <v>0</v>
      </c>
      <c r="BF53" s="228">
        <v>0</v>
      </c>
      <c r="BG53" s="228">
        <v>0</v>
      </c>
      <c r="BH53" s="229">
        <v>0</v>
      </c>
      <c r="BI53" s="228">
        <v>61</v>
      </c>
      <c r="BJ53" s="228">
        <v>83</v>
      </c>
      <c r="BK53" s="228">
        <v>-22</v>
      </c>
      <c r="BL53" s="229">
        <v>-0.26500000000000001</v>
      </c>
      <c r="BM53" s="228">
        <v>44</v>
      </c>
      <c r="BN53" s="228">
        <v>91</v>
      </c>
      <c r="BO53" s="228">
        <v>-48</v>
      </c>
      <c r="BP53" s="229">
        <v>-0.52310000000000001</v>
      </c>
      <c r="BQ53" s="228">
        <v>175</v>
      </c>
      <c r="BR53" s="228">
        <v>284</v>
      </c>
      <c r="BS53" s="228">
        <v>-109</v>
      </c>
      <c r="BT53" s="229">
        <v>-0.38479999999999998</v>
      </c>
      <c r="BU53" s="230">
        <v>212045</v>
      </c>
      <c r="BV53" s="230">
        <v>279977</v>
      </c>
      <c r="BW53" s="230">
        <v>-67932</v>
      </c>
      <c r="BX53" s="229">
        <v>-0.24260000000000001</v>
      </c>
      <c r="BY53" s="228">
        <v>583</v>
      </c>
      <c r="BZ53" s="228">
        <v>569</v>
      </c>
      <c r="CA53" s="228">
        <v>14</v>
      </c>
      <c r="CB53" s="229">
        <v>2.47E-2</v>
      </c>
      <c r="CC53" s="228">
        <v>575</v>
      </c>
      <c r="CD53" s="228">
        <v>562</v>
      </c>
      <c r="CE53" s="228">
        <v>13</v>
      </c>
      <c r="CF53" s="229">
        <v>2.3300000000000001E-2</v>
      </c>
      <c r="CG53" s="228">
        <v>7</v>
      </c>
      <c r="CH53" s="228">
        <v>7</v>
      </c>
      <c r="CI53" s="228">
        <v>1</v>
      </c>
      <c r="CJ53" s="229">
        <v>9.8900000000000002E-2</v>
      </c>
      <c r="CK53" s="228">
        <v>1</v>
      </c>
      <c r="CL53" s="228">
        <v>1</v>
      </c>
      <c r="CM53" s="228">
        <v>0</v>
      </c>
      <c r="CN53" s="229">
        <v>0.36359999999999998</v>
      </c>
      <c r="CO53" s="228">
        <v>94</v>
      </c>
      <c r="CP53" s="228">
        <v>91</v>
      </c>
      <c r="CQ53" s="228">
        <v>3</v>
      </c>
      <c r="CR53" s="229">
        <v>3.44E-2</v>
      </c>
      <c r="CS53" s="228">
        <v>60</v>
      </c>
      <c r="CT53" s="228">
        <v>58</v>
      </c>
      <c r="CU53" s="228">
        <v>2</v>
      </c>
      <c r="CV53" s="229">
        <v>3.0200000000000001E-2</v>
      </c>
      <c r="CW53" s="228">
        <v>737</v>
      </c>
      <c r="CX53" s="228">
        <v>718</v>
      </c>
      <c r="CY53" s="228">
        <v>19</v>
      </c>
      <c r="CZ53" s="229">
        <v>2.63E-2</v>
      </c>
      <c r="DA53" s="228">
        <v>26.04</v>
      </c>
      <c r="DB53" s="228">
        <v>26.26</v>
      </c>
      <c r="DC53" s="228">
        <v>-0.22</v>
      </c>
      <c r="DD53" s="228">
        <v>-0.22</v>
      </c>
      <c r="DE53" s="228">
        <v>30.39</v>
      </c>
      <c r="DF53" s="228">
        <v>30.46</v>
      </c>
      <c r="DG53" s="228">
        <v>-4.3499999999999996</v>
      </c>
      <c r="DH53" s="228">
        <v>-7.0000000000000007E-2</v>
      </c>
      <c r="DI53" s="228">
        <v>26.11</v>
      </c>
      <c r="DJ53" s="228">
        <v>26.63</v>
      </c>
      <c r="DK53" s="228">
        <v>-0.52</v>
      </c>
      <c r="DL53" s="228">
        <v>-0.52</v>
      </c>
      <c r="DM53" s="228">
        <v>25.95</v>
      </c>
      <c r="DN53" s="228">
        <v>25.92</v>
      </c>
      <c r="DO53" s="228">
        <v>0.03</v>
      </c>
      <c r="DP53" s="228">
        <v>0.03</v>
      </c>
      <c r="DQ53" s="228">
        <v>0.63</v>
      </c>
      <c r="DR53" s="228">
        <v>0.64</v>
      </c>
      <c r="DS53" s="228">
        <v>-0.01</v>
      </c>
      <c r="DT53" s="229">
        <v>-1.5599999999999999E-2</v>
      </c>
      <c r="DU53" s="231">
        <v>2400</v>
      </c>
      <c r="DV53" s="231">
        <v>2200</v>
      </c>
      <c r="DW53" s="228">
        <v>0.72</v>
      </c>
      <c r="DX53" s="228">
        <v>1.1100000000000001</v>
      </c>
      <c r="DY53" s="228">
        <v>-0.39</v>
      </c>
      <c r="DZ53" s="229">
        <v>-0.35139999999999999</v>
      </c>
      <c r="EA53" s="229">
        <v>1.43E-2</v>
      </c>
      <c r="EB53" s="230">
        <v>33150</v>
      </c>
      <c r="EC53" s="229">
        <v>2E-3</v>
      </c>
      <c r="ED53" s="229">
        <v>1.43E-2</v>
      </c>
      <c r="EE53" s="228">
        <v>6.46</v>
      </c>
      <c r="EF53" s="229">
        <v>2.8999999999999998E-3</v>
      </c>
      <c r="EG53" s="230">
        <v>119527</v>
      </c>
      <c r="EH53" s="230">
        <v>158264</v>
      </c>
      <c r="EI53" s="229">
        <v>-0.24479999999999999</v>
      </c>
      <c r="EJ53" s="229">
        <v>0.56369999999999998</v>
      </c>
      <c r="EK53" s="228">
        <v>63.24</v>
      </c>
      <c r="EL53" s="228">
        <v>44.46</v>
      </c>
      <c r="EM53" s="228">
        <v>70.959999999999994</v>
      </c>
      <c r="EN53" s="228">
        <v>12.13</v>
      </c>
      <c r="EO53" s="228">
        <v>178.66</v>
      </c>
      <c r="EP53" s="228">
        <v>289.89</v>
      </c>
      <c r="EQ53" s="228">
        <v>-111.23</v>
      </c>
      <c r="ER53" s="229">
        <v>-0.38369999999999999</v>
      </c>
      <c r="ES53" s="228">
        <v>98.65</v>
      </c>
      <c r="ET53" s="228">
        <v>59.27</v>
      </c>
      <c r="EU53" s="228">
        <v>583.30999999999995</v>
      </c>
      <c r="EV53" s="231">
        <v>12425041</v>
      </c>
      <c r="EW53" s="228">
        <v>741.23</v>
      </c>
      <c r="EX53" s="228">
        <v>723.74</v>
      </c>
      <c r="EY53" s="228">
        <v>17.489999999999998</v>
      </c>
      <c r="EZ53" s="229">
        <v>2.4199999999999999E-2</v>
      </c>
      <c r="FA53" s="229">
        <v>0.26500000000000001</v>
      </c>
      <c r="FB53" s="227" t="s">
        <v>567</v>
      </c>
      <c r="FC53">
        <f t="shared" si="0"/>
        <v>8</v>
      </c>
    </row>
    <row r="54" spans="1:159" ht="17.25" thickBot="1" x14ac:dyDescent="0.3">
      <c r="A54" s="226">
        <v>45940</v>
      </c>
      <c r="B54" s="227" t="s">
        <v>616</v>
      </c>
      <c r="C54" s="227" t="s">
        <v>601</v>
      </c>
      <c r="D54" s="228">
        <v>2075</v>
      </c>
      <c r="E54" s="228">
        <v>18</v>
      </c>
      <c r="F54" s="228">
        <v>467.6</v>
      </c>
      <c r="G54" s="228">
        <v>470.7</v>
      </c>
      <c r="H54" s="228">
        <v>-3.1</v>
      </c>
      <c r="I54" s="229">
        <v>-6.6E-3</v>
      </c>
      <c r="J54" s="228">
        <v>464.85</v>
      </c>
      <c r="K54" s="228">
        <v>468</v>
      </c>
      <c r="L54" s="228">
        <v>-3.15</v>
      </c>
      <c r="M54" s="229">
        <v>-6.7000000000000002E-3</v>
      </c>
      <c r="N54" s="228">
        <v>467.6</v>
      </c>
      <c r="O54" s="228">
        <v>470.7</v>
      </c>
      <c r="P54" s="228">
        <v>-3.1</v>
      </c>
      <c r="Q54" s="229">
        <v>-6.6E-3</v>
      </c>
      <c r="R54" s="228">
        <v>469.95</v>
      </c>
      <c r="S54" s="228">
        <v>473.65</v>
      </c>
      <c r="T54" s="228">
        <v>-3.7</v>
      </c>
      <c r="U54" s="229">
        <v>-7.7999999999999996E-3</v>
      </c>
      <c r="V54" s="228">
        <v>471.05</v>
      </c>
      <c r="W54" s="228">
        <v>474.1</v>
      </c>
      <c r="X54" s="228">
        <v>-3.05</v>
      </c>
      <c r="Y54" s="229">
        <v>-6.4000000000000003E-3</v>
      </c>
      <c r="Z54" s="228">
        <v>2.75</v>
      </c>
      <c r="AA54" s="228">
        <v>2.7</v>
      </c>
      <c r="AB54" s="228">
        <v>0.05</v>
      </c>
      <c r="AC54" s="229">
        <v>5.8999999999999999E-3</v>
      </c>
      <c r="AD54" s="228">
        <v>2.75</v>
      </c>
      <c r="AE54" s="228">
        <v>2.7</v>
      </c>
      <c r="AF54" s="228">
        <v>0.05</v>
      </c>
      <c r="AG54" s="229">
        <v>5.8999999999999999E-3</v>
      </c>
      <c r="AH54" s="228">
        <v>5.0999999999999996</v>
      </c>
      <c r="AI54" s="228">
        <v>5.65</v>
      </c>
      <c r="AJ54" s="228">
        <v>-0.55000000000000004</v>
      </c>
      <c r="AK54" s="229">
        <v>1.0999999999999999E-2</v>
      </c>
      <c r="AL54" s="228">
        <v>6.2</v>
      </c>
      <c r="AM54" s="228">
        <v>6.1</v>
      </c>
      <c r="AN54" s="228">
        <v>0.1</v>
      </c>
      <c r="AO54" s="229">
        <v>1.3299999999999999E-2</v>
      </c>
      <c r="AP54" s="228">
        <v>468.49</v>
      </c>
      <c r="AQ54" s="228">
        <v>471.53</v>
      </c>
      <c r="AR54" s="228">
        <v>0</v>
      </c>
      <c r="AS54" s="228">
        <v>180</v>
      </c>
      <c r="AT54" s="228">
        <v>149</v>
      </c>
      <c r="AU54" s="228">
        <v>31</v>
      </c>
      <c r="AV54" s="229">
        <v>0.2104</v>
      </c>
      <c r="AW54" s="228">
        <v>163</v>
      </c>
      <c r="AX54" s="228">
        <v>139</v>
      </c>
      <c r="AY54" s="228">
        <v>24</v>
      </c>
      <c r="AZ54" s="229">
        <v>0.17130000000000001</v>
      </c>
      <c r="BA54" s="228">
        <v>17</v>
      </c>
      <c r="BB54" s="228">
        <v>9</v>
      </c>
      <c r="BC54" s="228">
        <v>8</v>
      </c>
      <c r="BD54" s="229">
        <v>0.86170000000000002</v>
      </c>
      <c r="BE54" s="228">
        <v>1</v>
      </c>
      <c r="BF54" s="228">
        <v>1</v>
      </c>
      <c r="BG54" s="228">
        <v>0</v>
      </c>
      <c r="BH54" s="229">
        <v>-0.2727</v>
      </c>
      <c r="BI54" s="228">
        <v>349</v>
      </c>
      <c r="BJ54" s="228">
        <v>484</v>
      </c>
      <c r="BK54" s="228">
        <v>-135</v>
      </c>
      <c r="BL54" s="229">
        <v>-0.27860000000000001</v>
      </c>
      <c r="BM54" s="228">
        <v>211</v>
      </c>
      <c r="BN54" s="228">
        <v>239</v>
      </c>
      <c r="BO54" s="228">
        <v>-28</v>
      </c>
      <c r="BP54" s="229">
        <v>-0.1187</v>
      </c>
      <c r="BQ54" s="228">
        <v>741</v>
      </c>
      <c r="BR54" s="228">
        <v>873</v>
      </c>
      <c r="BS54" s="228">
        <v>-132</v>
      </c>
      <c r="BT54" s="229">
        <v>-0.15129999999999999</v>
      </c>
      <c r="BU54" s="230">
        <v>2311161</v>
      </c>
      <c r="BV54" s="230">
        <v>3467884</v>
      </c>
      <c r="BW54" s="230">
        <v>-1156723</v>
      </c>
      <c r="BX54" s="229">
        <v>-0.33360000000000001</v>
      </c>
      <c r="BY54" s="228">
        <v>886</v>
      </c>
      <c r="BZ54" s="228">
        <v>866</v>
      </c>
      <c r="CA54" s="228">
        <v>20</v>
      </c>
      <c r="CB54" s="229">
        <v>2.3E-2</v>
      </c>
      <c r="CC54" s="228">
        <v>854</v>
      </c>
      <c r="CD54" s="228">
        <v>843</v>
      </c>
      <c r="CE54" s="228">
        <v>11</v>
      </c>
      <c r="CF54" s="229">
        <v>1.35E-2</v>
      </c>
      <c r="CG54" s="228">
        <v>30</v>
      </c>
      <c r="CH54" s="228">
        <v>22</v>
      </c>
      <c r="CI54" s="228">
        <v>8</v>
      </c>
      <c r="CJ54" s="229">
        <v>0.36840000000000001</v>
      </c>
      <c r="CK54" s="228">
        <v>2</v>
      </c>
      <c r="CL54" s="228">
        <v>1</v>
      </c>
      <c r="CM54" s="228">
        <v>0</v>
      </c>
      <c r="CN54" s="229">
        <v>0.33329999999999999</v>
      </c>
      <c r="CO54" s="228">
        <v>336</v>
      </c>
      <c r="CP54" s="228">
        <v>309</v>
      </c>
      <c r="CQ54" s="228">
        <v>27</v>
      </c>
      <c r="CR54" s="229">
        <v>8.8499999999999995E-2</v>
      </c>
      <c r="CS54" s="228">
        <v>263</v>
      </c>
      <c r="CT54" s="228">
        <v>257</v>
      </c>
      <c r="CU54" s="228">
        <v>6</v>
      </c>
      <c r="CV54" s="229">
        <v>2.1899999999999999E-2</v>
      </c>
      <c r="CW54" s="230">
        <v>1485</v>
      </c>
      <c r="CX54" s="230">
        <v>1432</v>
      </c>
      <c r="CY54" s="228">
        <v>53</v>
      </c>
      <c r="CZ54" s="229">
        <v>3.6900000000000002E-2</v>
      </c>
      <c r="DA54" s="228">
        <v>29.14</v>
      </c>
      <c r="DB54" s="228">
        <v>29.87</v>
      </c>
      <c r="DC54" s="228">
        <v>-0.73</v>
      </c>
      <c r="DD54" s="228">
        <v>-0.73</v>
      </c>
      <c r="DE54" s="228">
        <v>40.74</v>
      </c>
      <c r="DF54" s="228">
        <v>40.840000000000003</v>
      </c>
      <c r="DG54" s="228">
        <v>-11.6</v>
      </c>
      <c r="DH54" s="228">
        <v>-0.1</v>
      </c>
      <c r="DI54" s="228">
        <v>29.28</v>
      </c>
      <c r="DJ54" s="228">
        <v>29.77</v>
      </c>
      <c r="DK54" s="228">
        <v>-0.49</v>
      </c>
      <c r="DL54" s="228">
        <v>-0.49</v>
      </c>
      <c r="DM54" s="228">
        <v>28.91</v>
      </c>
      <c r="DN54" s="228">
        <v>30.06</v>
      </c>
      <c r="DO54" s="228">
        <v>-1.1499999999999999</v>
      </c>
      <c r="DP54" s="228">
        <v>-1.1499999999999999</v>
      </c>
      <c r="DQ54" s="228">
        <v>0.78</v>
      </c>
      <c r="DR54" s="228">
        <v>0.83</v>
      </c>
      <c r="DS54" s="228">
        <v>-0.05</v>
      </c>
      <c r="DT54" s="229">
        <v>-6.0199999999999997E-2</v>
      </c>
      <c r="DU54" s="228">
        <v>500</v>
      </c>
      <c r="DV54" s="228">
        <v>450</v>
      </c>
      <c r="DW54" s="228">
        <v>0.6</v>
      </c>
      <c r="DX54" s="228">
        <v>0.49</v>
      </c>
      <c r="DY54" s="228">
        <v>0.11</v>
      </c>
      <c r="DZ54" s="229">
        <v>0.22450000000000001</v>
      </c>
      <c r="EA54" s="229">
        <v>3.5900000000000001E-2</v>
      </c>
      <c r="EB54" s="230">
        <v>498000</v>
      </c>
      <c r="EC54" s="229">
        <v>5.0000000000000001E-3</v>
      </c>
      <c r="ED54" s="229">
        <v>3.5900000000000001E-2</v>
      </c>
      <c r="EE54" s="228">
        <v>3.04</v>
      </c>
      <c r="EF54" s="229">
        <v>6.4999999999999997E-3</v>
      </c>
      <c r="EG54" s="230">
        <v>1369791</v>
      </c>
      <c r="EH54" s="230">
        <v>1908012</v>
      </c>
      <c r="EI54" s="229">
        <v>-0.28210000000000002</v>
      </c>
      <c r="EJ54" s="229">
        <v>0.5927</v>
      </c>
      <c r="EK54" s="228">
        <v>365</v>
      </c>
      <c r="EL54" s="228">
        <v>209.96</v>
      </c>
      <c r="EM54" s="228">
        <v>180.74</v>
      </c>
      <c r="EN54" s="228">
        <v>33.65</v>
      </c>
      <c r="EO54" s="228">
        <v>755.7</v>
      </c>
      <c r="EP54" s="228">
        <v>896.81</v>
      </c>
      <c r="EQ54" s="228">
        <v>-141.11000000000001</v>
      </c>
      <c r="ER54" s="229">
        <v>-0.1573</v>
      </c>
      <c r="ES54" s="228">
        <v>346.09</v>
      </c>
      <c r="ET54" s="228">
        <v>249.65</v>
      </c>
      <c r="EU54" s="228">
        <v>886.21</v>
      </c>
      <c r="EV54" s="231">
        <v>94196226</v>
      </c>
      <c r="EW54" s="231">
        <v>1481.95</v>
      </c>
      <c r="EX54" s="231">
        <v>1433.66</v>
      </c>
      <c r="EY54" s="228">
        <v>48.29</v>
      </c>
      <c r="EZ54" s="229">
        <v>3.3700000000000001E-2</v>
      </c>
      <c r="FA54" s="229">
        <v>0.33710000000000001</v>
      </c>
      <c r="FB54" s="227" t="s">
        <v>567</v>
      </c>
      <c r="FC54">
        <f t="shared" si="0"/>
        <v>32</v>
      </c>
    </row>
    <row r="55" spans="1:159" ht="17.25" thickBot="1" x14ac:dyDescent="0.3">
      <c r="A55" s="226">
        <v>45940</v>
      </c>
      <c r="B55" s="227" t="s">
        <v>170</v>
      </c>
      <c r="C55" s="227" t="s">
        <v>205</v>
      </c>
      <c r="D55" s="228">
        <v>100</v>
      </c>
      <c r="E55" s="228">
        <v>18</v>
      </c>
      <c r="F55" s="231">
        <v>6498.5</v>
      </c>
      <c r="G55" s="231">
        <v>6165.5</v>
      </c>
      <c r="H55" s="228">
        <v>333</v>
      </c>
      <c r="I55" s="229">
        <v>5.3999999999999999E-2</v>
      </c>
      <c r="J55" s="231">
        <v>6474.5</v>
      </c>
      <c r="K55" s="231">
        <v>6132</v>
      </c>
      <c r="L55" s="228">
        <v>342.5</v>
      </c>
      <c r="M55" s="229">
        <v>5.5899999999999998E-2</v>
      </c>
      <c r="N55" s="231">
        <v>6498.5</v>
      </c>
      <c r="O55" s="231">
        <v>6165.5</v>
      </c>
      <c r="P55" s="228">
        <v>333</v>
      </c>
      <c r="Q55" s="229">
        <v>5.3999999999999999E-2</v>
      </c>
      <c r="R55" s="231">
        <v>6530.5</v>
      </c>
      <c r="S55" s="231">
        <v>6199</v>
      </c>
      <c r="T55" s="228">
        <v>331.5</v>
      </c>
      <c r="U55" s="229">
        <v>5.3499999999999999E-2</v>
      </c>
      <c r="V55" s="231">
        <v>6563.5</v>
      </c>
      <c r="W55" s="231">
        <v>6240</v>
      </c>
      <c r="X55" s="228">
        <v>323.5</v>
      </c>
      <c r="Y55" s="229">
        <v>5.1799999999999999E-2</v>
      </c>
      <c r="Z55" s="228">
        <v>24</v>
      </c>
      <c r="AA55" s="228">
        <v>33.5</v>
      </c>
      <c r="AB55" s="228">
        <v>-9.5</v>
      </c>
      <c r="AC55" s="229">
        <v>3.7000000000000002E-3</v>
      </c>
      <c r="AD55" s="228">
        <v>24</v>
      </c>
      <c r="AE55" s="228">
        <v>33.5</v>
      </c>
      <c r="AF55" s="228">
        <v>-9.5</v>
      </c>
      <c r="AG55" s="229">
        <v>3.7000000000000002E-3</v>
      </c>
      <c r="AH55" s="228">
        <v>56</v>
      </c>
      <c r="AI55" s="228">
        <v>67</v>
      </c>
      <c r="AJ55" s="228">
        <v>-11</v>
      </c>
      <c r="AK55" s="229">
        <v>8.6E-3</v>
      </c>
      <c r="AL55" s="228">
        <v>89</v>
      </c>
      <c r="AM55" s="228">
        <v>108</v>
      </c>
      <c r="AN55" s="228">
        <v>-19</v>
      </c>
      <c r="AO55" s="229">
        <v>1.37E-2</v>
      </c>
      <c r="AP55" s="231">
        <v>6393.59</v>
      </c>
      <c r="AQ55" s="231">
        <v>6417.72</v>
      </c>
      <c r="AR55" s="228">
        <v>0</v>
      </c>
      <c r="AS55" s="228">
        <v>878</v>
      </c>
      <c r="AT55" s="228">
        <v>188</v>
      </c>
      <c r="AU55" s="228">
        <v>690</v>
      </c>
      <c r="AV55" s="229">
        <v>3.6791</v>
      </c>
      <c r="AW55" s="228">
        <v>806</v>
      </c>
      <c r="AX55" s="228">
        <v>178</v>
      </c>
      <c r="AY55" s="228">
        <v>628</v>
      </c>
      <c r="AZ55" s="229">
        <v>3.5384000000000002</v>
      </c>
      <c r="BA55" s="228">
        <v>65</v>
      </c>
      <c r="BB55" s="228">
        <v>9</v>
      </c>
      <c r="BC55" s="228">
        <v>56</v>
      </c>
      <c r="BD55" s="229">
        <v>6.1429</v>
      </c>
      <c r="BE55" s="228">
        <v>7</v>
      </c>
      <c r="BF55" s="228">
        <v>1</v>
      </c>
      <c r="BG55" s="228">
        <v>6</v>
      </c>
      <c r="BH55" s="229">
        <v>6.5</v>
      </c>
      <c r="BI55" s="230">
        <v>9502</v>
      </c>
      <c r="BJ55" s="230">
        <v>1207</v>
      </c>
      <c r="BK55" s="230">
        <v>8295</v>
      </c>
      <c r="BL55" s="229">
        <v>6.87</v>
      </c>
      <c r="BM55" s="230">
        <v>3659</v>
      </c>
      <c r="BN55" s="228">
        <v>552</v>
      </c>
      <c r="BO55" s="230">
        <v>3107</v>
      </c>
      <c r="BP55" s="229">
        <v>5.6269</v>
      </c>
      <c r="BQ55" s="230">
        <v>14039</v>
      </c>
      <c r="BR55" s="230">
        <v>1947</v>
      </c>
      <c r="BS55" s="230">
        <v>12092</v>
      </c>
      <c r="BT55" s="229">
        <v>6.2102000000000004</v>
      </c>
      <c r="BU55" s="230">
        <v>1697042</v>
      </c>
      <c r="BV55" s="230">
        <v>361858</v>
      </c>
      <c r="BW55" s="230">
        <v>1335184</v>
      </c>
      <c r="BX55" s="229">
        <v>3.6898</v>
      </c>
      <c r="BY55" s="230">
        <v>1788</v>
      </c>
      <c r="BZ55" s="230">
        <v>1697</v>
      </c>
      <c r="CA55" s="228">
        <v>91</v>
      </c>
      <c r="CB55" s="229">
        <v>5.3600000000000002E-2</v>
      </c>
      <c r="CC55" s="230">
        <v>1743</v>
      </c>
      <c r="CD55" s="230">
        <v>1656</v>
      </c>
      <c r="CE55" s="228">
        <v>87</v>
      </c>
      <c r="CF55" s="229">
        <v>5.2699999999999997E-2</v>
      </c>
      <c r="CG55" s="228">
        <v>39</v>
      </c>
      <c r="CH55" s="228">
        <v>38</v>
      </c>
      <c r="CI55" s="228">
        <v>1</v>
      </c>
      <c r="CJ55" s="229">
        <v>3.6200000000000003E-2</v>
      </c>
      <c r="CK55" s="228">
        <v>6</v>
      </c>
      <c r="CL55" s="228">
        <v>3</v>
      </c>
      <c r="CM55" s="228">
        <v>2</v>
      </c>
      <c r="CN55" s="229">
        <v>0.69810000000000005</v>
      </c>
      <c r="CO55" s="230">
        <v>1117</v>
      </c>
      <c r="CP55" s="228">
        <v>664</v>
      </c>
      <c r="CQ55" s="228">
        <v>453</v>
      </c>
      <c r="CR55" s="229">
        <v>0.68149999999999999</v>
      </c>
      <c r="CS55" s="230">
        <v>1021</v>
      </c>
      <c r="CT55" s="228">
        <v>571</v>
      </c>
      <c r="CU55" s="228">
        <v>451</v>
      </c>
      <c r="CV55" s="229">
        <v>0.78990000000000005</v>
      </c>
      <c r="CW55" s="230">
        <v>3925</v>
      </c>
      <c r="CX55" s="230">
        <v>2931</v>
      </c>
      <c r="CY55" s="228">
        <v>994</v>
      </c>
      <c r="CZ55" s="229">
        <v>0.3392</v>
      </c>
      <c r="DA55" s="228">
        <v>27.37</v>
      </c>
      <c r="DB55" s="228">
        <v>24.83</v>
      </c>
      <c r="DC55" s="228">
        <v>2.54</v>
      </c>
      <c r="DD55" s="228">
        <v>2.54</v>
      </c>
      <c r="DE55" s="228">
        <v>32.450000000000003</v>
      </c>
      <c r="DF55" s="228">
        <v>31.68</v>
      </c>
      <c r="DG55" s="228">
        <v>-5.08</v>
      </c>
      <c r="DH55" s="228">
        <v>0.77</v>
      </c>
      <c r="DI55" s="228">
        <v>26.71</v>
      </c>
      <c r="DJ55" s="228">
        <v>24.74</v>
      </c>
      <c r="DK55" s="228">
        <v>1.97</v>
      </c>
      <c r="DL55" s="228">
        <v>1.97</v>
      </c>
      <c r="DM55" s="228">
        <v>29.07</v>
      </c>
      <c r="DN55" s="228">
        <v>25.03</v>
      </c>
      <c r="DO55" s="228">
        <v>4.04</v>
      </c>
      <c r="DP55" s="228">
        <v>4.04</v>
      </c>
      <c r="DQ55" s="228">
        <v>0.91</v>
      </c>
      <c r="DR55" s="228">
        <v>0.86</v>
      </c>
      <c r="DS55" s="228">
        <v>0.05</v>
      </c>
      <c r="DT55" s="229">
        <v>5.8099999999999999E-2</v>
      </c>
      <c r="DU55" s="231">
        <v>7000</v>
      </c>
      <c r="DV55" s="231">
        <v>6000</v>
      </c>
      <c r="DW55" s="228">
        <v>0.39</v>
      </c>
      <c r="DX55" s="228">
        <v>0.46</v>
      </c>
      <c r="DY55" s="228">
        <v>-7.0000000000000007E-2</v>
      </c>
      <c r="DZ55" s="229">
        <v>-0.1522</v>
      </c>
      <c r="EA55" s="229">
        <v>2.5100000000000001E-2</v>
      </c>
      <c r="EB55" s="230">
        <v>63300</v>
      </c>
      <c r="EC55" s="229">
        <v>4.8999999999999998E-3</v>
      </c>
      <c r="ED55" s="229">
        <v>2.5100000000000001E-2</v>
      </c>
      <c r="EE55" s="228">
        <v>24.13</v>
      </c>
      <c r="EF55" s="229">
        <v>3.8E-3</v>
      </c>
      <c r="EG55" s="230">
        <v>798373</v>
      </c>
      <c r="EH55" s="230">
        <v>193764</v>
      </c>
      <c r="EI55" s="229">
        <v>3.1202999999999999</v>
      </c>
      <c r="EJ55" s="229">
        <v>0.47039999999999998</v>
      </c>
      <c r="EK55" s="231">
        <v>9811.85</v>
      </c>
      <c r="EL55" s="231">
        <v>3523.87</v>
      </c>
      <c r="EM55" s="228">
        <v>863.72</v>
      </c>
      <c r="EN55" s="228">
        <v>63.33</v>
      </c>
      <c r="EO55" s="231">
        <v>14199.44</v>
      </c>
      <c r="EP55" s="231">
        <v>1892.12</v>
      </c>
      <c r="EQ55" s="231">
        <v>12307.32</v>
      </c>
      <c r="ER55" s="229">
        <v>6.5045000000000002</v>
      </c>
      <c r="ES55" s="231">
        <v>1136.3</v>
      </c>
      <c r="ET55" s="228">
        <v>947.71</v>
      </c>
      <c r="EU55" s="231">
        <v>1787.92</v>
      </c>
      <c r="EV55" s="231">
        <v>16353614</v>
      </c>
      <c r="EW55" s="231">
        <v>3871.93</v>
      </c>
      <c r="EX55" s="231">
        <v>2773.18</v>
      </c>
      <c r="EY55" s="231">
        <v>1098.75</v>
      </c>
      <c r="EZ55" s="229">
        <v>0.3962</v>
      </c>
      <c r="FA55" s="229">
        <v>0.36940000000000001</v>
      </c>
      <c r="FB55" s="227" t="s">
        <v>555</v>
      </c>
      <c r="FC55">
        <f t="shared" si="0"/>
        <v>45</v>
      </c>
    </row>
    <row r="56" spans="1:159" ht="17.25" thickBot="1" x14ac:dyDescent="0.3">
      <c r="A56" s="226">
        <v>45940</v>
      </c>
      <c r="B56" s="227" t="s">
        <v>184</v>
      </c>
      <c r="C56" s="227" t="s">
        <v>512</v>
      </c>
      <c r="D56" s="228">
        <v>50</v>
      </c>
      <c r="E56" s="228">
        <v>18</v>
      </c>
      <c r="F56" s="231">
        <v>17489</v>
      </c>
      <c r="G56" s="231">
        <v>17180</v>
      </c>
      <c r="H56" s="228">
        <v>309</v>
      </c>
      <c r="I56" s="229">
        <v>1.7999999999999999E-2</v>
      </c>
      <c r="J56" s="231">
        <v>17445</v>
      </c>
      <c r="K56" s="231">
        <v>17098</v>
      </c>
      <c r="L56" s="228">
        <v>347</v>
      </c>
      <c r="M56" s="229">
        <v>2.0299999999999999E-2</v>
      </c>
      <c r="N56" s="231">
        <v>17489</v>
      </c>
      <c r="O56" s="231">
        <v>17180</v>
      </c>
      <c r="P56" s="228">
        <v>309</v>
      </c>
      <c r="Q56" s="229">
        <v>1.7999999999999999E-2</v>
      </c>
      <c r="R56" s="231">
        <v>17580</v>
      </c>
      <c r="S56" s="231">
        <v>17276</v>
      </c>
      <c r="T56" s="228">
        <v>304</v>
      </c>
      <c r="U56" s="229">
        <v>1.7600000000000001E-2</v>
      </c>
      <c r="V56" s="231">
        <v>17680</v>
      </c>
      <c r="W56" s="231">
        <v>17368</v>
      </c>
      <c r="X56" s="228">
        <v>312</v>
      </c>
      <c r="Y56" s="229">
        <v>1.7999999999999999E-2</v>
      </c>
      <c r="Z56" s="228">
        <v>44</v>
      </c>
      <c r="AA56" s="228">
        <v>82</v>
      </c>
      <c r="AB56" s="228">
        <v>-38</v>
      </c>
      <c r="AC56" s="229">
        <v>2.5000000000000001E-3</v>
      </c>
      <c r="AD56" s="228">
        <v>44</v>
      </c>
      <c r="AE56" s="228">
        <v>82</v>
      </c>
      <c r="AF56" s="228">
        <v>-38</v>
      </c>
      <c r="AG56" s="229">
        <v>2.5000000000000001E-3</v>
      </c>
      <c r="AH56" s="228">
        <v>135</v>
      </c>
      <c r="AI56" s="228">
        <v>178</v>
      </c>
      <c r="AJ56" s="228">
        <v>-43</v>
      </c>
      <c r="AK56" s="229">
        <v>7.7000000000000002E-3</v>
      </c>
      <c r="AL56" s="228">
        <v>235</v>
      </c>
      <c r="AM56" s="228">
        <v>270</v>
      </c>
      <c r="AN56" s="228">
        <v>-35</v>
      </c>
      <c r="AO56" s="229">
        <v>1.35E-2</v>
      </c>
      <c r="AP56" s="231">
        <v>17403.03</v>
      </c>
      <c r="AQ56" s="231">
        <v>17481.62</v>
      </c>
      <c r="AR56" s="228">
        <v>0</v>
      </c>
      <c r="AS56" s="228">
        <v>590</v>
      </c>
      <c r="AT56" s="228">
        <v>316</v>
      </c>
      <c r="AU56" s="228">
        <v>274</v>
      </c>
      <c r="AV56" s="229">
        <v>0.8659</v>
      </c>
      <c r="AW56" s="228">
        <v>537</v>
      </c>
      <c r="AX56" s="228">
        <v>288</v>
      </c>
      <c r="AY56" s="228">
        <v>249</v>
      </c>
      <c r="AZ56" s="229">
        <v>0.86680000000000001</v>
      </c>
      <c r="BA56" s="228">
        <v>47</v>
      </c>
      <c r="BB56" s="228">
        <v>27</v>
      </c>
      <c r="BC56" s="228">
        <v>20</v>
      </c>
      <c r="BD56" s="229">
        <v>0.75</v>
      </c>
      <c r="BE56" s="228">
        <v>7</v>
      </c>
      <c r="BF56" s="228">
        <v>2</v>
      </c>
      <c r="BG56" s="228">
        <v>5</v>
      </c>
      <c r="BH56" s="229">
        <v>2.2608999999999999</v>
      </c>
      <c r="BI56" s="230">
        <v>2949</v>
      </c>
      <c r="BJ56" s="230">
        <v>1692</v>
      </c>
      <c r="BK56" s="230">
        <v>1257</v>
      </c>
      <c r="BL56" s="229">
        <v>0.74319999999999997</v>
      </c>
      <c r="BM56" s="230">
        <v>1553</v>
      </c>
      <c r="BN56" s="230">
        <v>1078</v>
      </c>
      <c r="BO56" s="228">
        <v>475</v>
      </c>
      <c r="BP56" s="229">
        <v>0.441</v>
      </c>
      <c r="BQ56" s="230">
        <v>5092</v>
      </c>
      <c r="BR56" s="230">
        <v>3086</v>
      </c>
      <c r="BS56" s="230">
        <v>2006</v>
      </c>
      <c r="BT56" s="229">
        <v>0.6502</v>
      </c>
      <c r="BU56" s="230">
        <v>250130</v>
      </c>
      <c r="BV56" s="230">
        <v>129634</v>
      </c>
      <c r="BW56" s="230">
        <v>120496</v>
      </c>
      <c r="BX56" s="229">
        <v>0.92949999999999999</v>
      </c>
      <c r="BY56" s="230">
        <v>2641</v>
      </c>
      <c r="BZ56" s="230">
        <v>2797</v>
      </c>
      <c r="CA56" s="228">
        <v>-157</v>
      </c>
      <c r="CB56" s="229">
        <v>-5.6000000000000001E-2</v>
      </c>
      <c r="CC56" s="230">
        <v>2518</v>
      </c>
      <c r="CD56" s="230">
        <v>2676</v>
      </c>
      <c r="CE56" s="228">
        <v>-158</v>
      </c>
      <c r="CF56" s="229">
        <v>-5.9200000000000003E-2</v>
      </c>
      <c r="CG56" s="228">
        <v>113</v>
      </c>
      <c r="CH56" s="228">
        <v>113</v>
      </c>
      <c r="CI56" s="228">
        <v>0</v>
      </c>
      <c r="CJ56" s="229">
        <v>3.0999999999999999E-3</v>
      </c>
      <c r="CK56" s="228">
        <v>10</v>
      </c>
      <c r="CL56" s="228">
        <v>8</v>
      </c>
      <c r="CM56" s="228">
        <v>1</v>
      </c>
      <c r="CN56" s="229">
        <v>0.17710000000000001</v>
      </c>
      <c r="CO56" s="230">
        <v>1396</v>
      </c>
      <c r="CP56" s="230">
        <v>1570</v>
      </c>
      <c r="CQ56" s="228">
        <v>-174</v>
      </c>
      <c r="CR56" s="229">
        <v>-0.111</v>
      </c>
      <c r="CS56" s="230">
        <v>1341</v>
      </c>
      <c r="CT56" s="230">
        <v>1283</v>
      </c>
      <c r="CU56" s="228">
        <v>58</v>
      </c>
      <c r="CV56" s="229">
        <v>4.4900000000000002E-2</v>
      </c>
      <c r="CW56" s="230">
        <v>5377</v>
      </c>
      <c r="CX56" s="230">
        <v>5650</v>
      </c>
      <c r="CY56" s="228">
        <v>-273</v>
      </c>
      <c r="CZ56" s="229">
        <v>-4.8399999999999999E-2</v>
      </c>
      <c r="DA56" s="228">
        <v>30.44</v>
      </c>
      <c r="DB56" s="228">
        <v>31.9</v>
      </c>
      <c r="DC56" s="228">
        <v>-1.46</v>
      </c>
      <c r="DD56" s="228">
        <v>-1.46</v>
      </c>
      <c r="DE56" s="228">
        <v>45.27</v>
      </c>
      <c r="DF56" s="228">
        <v>45.31</v>
      </c>
      <c r="DG56" s="228">
        <v>-14.83</v>
      </c>
      <c r="DH56" s="228">
        <v>-0.04</v>
      </c>
      <c r="DI56" s="228">
        <v>29.37</v>
      </c>
      <c r="DJ56" s="228">
        <v>30.98</v>
      </c>
      <c r="DK56" s="228">
        <v>-1.61</v>
      </c>
      <c r="DL56" s="228">
        <v>-1.61</v>
      </c>
      <c r="DM56" s="228">
        <v>32.46</v>
      </c>
      <c r="DN56" s="228">
        <v>33.35</v>
      </c>
      <c r="DO56" s="228">
        <v>-0.89</v>
      </c>
      <c r="DP56" s="228">
        <v>-0.89</v>
      </c>
      <c r="DQ56" s="228">
        <v>0.96</v>
      </c>
      <c r="DR56" s="228">
        <v>0.82</v>
      </c>
      <c r="DS56" s="228">
        <v>0.14000000000000001</v>
      </c>
      <c r="DT56" s="229">
        <v>0.17069999999999999</v>
      </c>
      <c r="DU56" s="231">
        <v>20000</v>
      </c>
      <c r="DV56" s="231">
        <v>17000</v>
      </c>
      <c r="DW56" s="228">
        <v>0.53</v>
      </c>
      <c r="DX56" s="228">
        <v>0.64</v>
      </c>
      <c r="DY56" s="228">
        <v>-0.11</v>
      </c>
      <c r="DZ56" s="229">
        <v>-0.1719</v>
      </c>
      <c r="EA56" s="229">
        <v>4.6600000000000003E-2</v>
      </c>
      <c r="EB56" s="230">
        <v>69300</v>
      </c>
      <c r="EC56" s="229">
        <v>5.1999999999999998E-3</v>
      </c>
      <c r="ED56" s="229">
        <v>4.6600000000000003E-2</v>
      </c>
      <c r="EE56" s="228">
        <v>78.59</v>
      </c>
      <c r="EF56" s="229">
        <v>4.4999999999999997E-3</v>
      </c>
      <c r="EG56" s="230">
        <v>128324</v>
      </c>
      <c r="EH56" s="230">
        <v>42389</v>
      </c>
      <c r="EI56" s="229">
        <v>2.0272999999999999</v>
      </c>
      <c r="EJ56" s="229">
        <v>0.51300000000000001</v>
      </c>
      <c r="EK56" s="231">
        <v>3078.35</v>
      </c>
      <c r="EL56" s="231">
        <v>1468.42</v>
      </c>
      <c r="EM56" s="228">
        <v>587.37</v>
      </c>
      <c r="EN56" s="228">
        <v>56.56</v>
      </c>
      <c r="EO56" s="231">
        <v>5134.1400000000003</v>
      </c>
      <c r="EP56" s="231">
        <v>3057.99</v>
      </c>
      <c r="EQ56" s="231">
        <v>2076.15</v>
      </c>
      <c r="ER56" s="229">
        <v>0.67889999999999995</v>
      </c>
      <c r="ES56" s="231">
        <v>1453.92</v>
      </c>
      <c r="ET56" s="231">
        <v>1241.1300000000001</v>
      </c>
      <c r="EU56" s="231">
        <v>2641.45</v>
      </c>
      <c r="EV56" s="231">
        <v>6445442</v>
      </c>
      <c r="EW56" s="231">
        <v>5336.49</v>
      </c>
      <c r="EX56" s="231">
        <v>5562.51</v>
      </c>
      <c r="EY56" s="228">
        <v>-226.02</v>
      </c>
      <c r="EZ56" s="229">
        <v>-4.0599999999999997E-2</v>
      </c>
      <c r="FA56" s="229">
        <v>0.47699999999999998</v>
      </c>
      <c r="FB56" s="227" t="s">
        <v>556</v>
      </c>
      <c r="FC56">
        <f t="shared" si="0"/>
        <v>123</v>
      </c>
    </row>
    <row r="57" spans="1:159" ht="17.25" thickBot="1" x14ac:dyDescent="0.3">
      <c r="A57" s="226">
        <v>45940</v>
      </c>
      <c r="B57" s="227" t="s">
        <v>206</v>
      </c>
      <c r="C57" s="227" t="s">
        <v>207</v>
      </c>
      <c r="D57" s="228">
        <v>825</v>
      </c>
      <c r="E57" s="228">
        <v>18</v>
      </c>
      <c r="F57" s="228">
        <v>742.6</v>
      </c>
      <c r="G57" s="228">
        <v>733.1</v>
      </c>
      <c r="H57" s="228">
        <v>9.5</v>
      </c>
      <c r="I57" s="229">
        <v>1.2999999999999999E-2</v>
      </c>
      <c r="J57" s="228">
        <v>740.2</v>
      </c>
      <c r="K57" s="228">
        <v>729</v>
      </c>
      <c r="L57" s="228">
        <v>11.2</v>
      </c>
      <c r="M57" s="229">
        <v>1.54E-2</v>
      </c>
      <c r="N57" s="228">
        <v>742.6</v>
      </c>
      <c r="O57" s="228">
        <v>733.1</v>
      </c>
      <c r="P57" s="228">
        <v>9.5</v>
      </c>
      <c r="Q57" s="229">
        <v>1.2999999999999999E-2</v>
      </c>
      <c r="R57" s="228">
        <v>746.6</v>
      </c>
      <c r="S57" s="228">
        <v>737.3</v>
      </c>
      <c r="T57" s="228">
        <v>9.3000000000000007</v>
      </c>
      <c r="U57" s="229">
        <v>1.26E-2</v>
      </c>
      <c r="V57" s="228">
        <v>750.95</v>
      </c>
      <c r="W57" s="228">
        <v>740.45</v>
      </c>
      <c r="X57" s="228">
        <v>10.5</v>
      </c>
      <c r="Y57" s="229">
        <v>1.4200000000000001E-2</v>
      </c>
      <c r="Z57" s="228">
        <v>2.4</v>
      </c>
      <c r="AA57" s="228">
        <v>4.0999999999999996</v>
      </c>
      <c r="AB57" s="228">
        <v>-1.7</v>
      </c>
      <c r="AC57" s="229">
        <v>3.2000000000000002E-3</v>
      </c>
      <c r="AD57" s="228">
        <v>2.4</v>
      </c>
      <c r="AE57" s="228">
        <v>4.0999999999999996</v>
      </c>
      <c r="AF57" s="228">
        <v>-1.7</v>
      </c>
      <c r="AG57" s="229">
        <v>3.2000000000000002E-3</v>
      </c>
      <c r="AH57" s="228">
        <v>6.4</v>
      </c>
      <c r="AI57" s="228">
        <v>8.3000000000000007</v>
      </c>
      <c r="AJ57" s="228">
        <v>-1.9</v>
      </c>
      <c r="AK57" s="229">
        <v>8.6E-3</v>
      </c>
      <c r="AL57" s="228">
        <v>10.75</v>
      </c>
      <c r="AM57" s="228">
        <v>11.45</v>
      </c>
      <c r="AN57" s="228">
        <v>-0.7</v>
      </c>
      <c r="AO57" s="229">
        <v>1.4500000000000001E-2</v>
      </c>
      <c r="AP57" s="228">
        <v>742.67</v>
      </c>
      <c r="AQ57" s="228">
        <v>747.52</v>
      </c>
      <c r="AR57" s="228">
        <v>0</v>
      </c>
      <c r="AS57" s="228">
        <v>511</v>
      </c>
      <c r="AT57" s="228">
        <v>338</v>
      </c>
      <c r="AU57" s="228">
        <v>173</v>
      </c>
      <c r="AV57" s="229">
        <v>0.51019999999999999</v>
      </c>
      <c r="AW57" s="228">
        <v>471</v>
      </c>
      <c r="AX57" s="228">
        <v>317</v>
      </c>
      <c r="AY57" s="228">
        <v>154</v>
      </c>
      <c r="AZ57" s="229">
        <v>0.4859</v>
      </c>
      <c r="BA57" s="228">
        <v>35</v>
      </c>
      <c r="BB57" s="228">
        <v>19</v>
      </c>
      <c r="BC57" s="228">
        <v>16</v>
      </c>
      <c r="BD57" s="229">
        <v>0.82020000000000004</v>
      </c>
      <c r="BE57" s="228">
        <v>5</v>
      </c>
      <c r="BF57" s="228">
        <v>2</v>
      </c>
      <c r="BG57" s="228">
        <v>3</v>
      </c>
      <c r="BH57" s="229">
        <v>1.3234999999999999</v>
      </c>
      <c r="BI57" s="230">
        <v>1970</v>
      </c>
      <c r="BJ57" s="228">
        <v>813</v>
      </c>
      <c r="BK57" s="230">
        <v>1157</v>
      </c>
      <c r="BL57" s="229">
        <v>1.423</v>
      </c>
      <c r="BM57" s="228">
        <v>789</v>
      </c>
      <c r="BN57" s="228">
        <v>268</v>
      </c>
      <c r="BO57" s="228">
        <v>521</v>
      </c>
      <c r="BP57" s="229">
        <v>1.9467000000000001</v>
      </c>
      <c r="BQ57" s="230">
        <v>3271</v>
      </c>
      <c r="BR57" s="230">
        <v>1419</v>
      </c>
      <c r="BS57" s="230">
        <v>1851</v>
      </c>
      <c r="BT57" s="229">
        <v>1.3042</v>
      </c>
      <c r="BU57" s="230">
        <v>2210996</v>
      </c>
      <c r="BV57" s="230">
        <v>2057951</v>
      </c>
      <c r="BW57" s="230">
        <v>153045</v>
      </c>
      <c r="BX57" s="229">
        <v>7.4399999999999994E-2</v>
      </c>
      <c r="BY57" s="230">
        <v>3122</v>
      </c>
      <c r="BZ57" s="230">
        <v>3186</v>
      </c>
      <c r="CA57" s="228">
        <v>-64</v>
      </c>
      <c r="CB57" s="229">
        <v>-2.01E-2</v>
      </c>
      <c r="CC57" s="230">
        <v>3019</v>
      </c>
      <c r="CD57" s="230">
        <v>3077</v>
      </c>
      <c r="CE57" s="228">
        <v>-58</v>
      </c>
      <c r="CF57" s="229">
        <v>-1.89E-2</v>
      </c>
      <c r="CG57" s="228">
        <v>96</v>
      </c>
      <c r="CH57" s="228">
        <v>103</v>
      </c>
      <c r="CI57" s="228">
        <v>-7</v>
      </c>
      <c r="CJ57" s="229">
        <v>-6.8900000000000003E-2</v>
      </c>
      <c r="CK57" s="228">
        <v>7</v>
      </c>
      <c r="CL57" s="228">
        <v>5</v>
      </c>
      <c r="CM57" s="228">
        <v>1</v>
      </c>
      <c r="CN57" s="229">
        <v>0.20219999999999999</v>
      </c>
      <c r="CO57" s="230">
        <v>1204</v>
      </c>
      <c r="CP57" s="230">
        <v>1211</v>
      </c>
      <c r="CQ57" s="228">
        <v>-7</v>
      </c>
      <c r="CR57" s="229">
        <v>-5.4999999999999997E-3</v>
      </c>
      <c r="CS57" s="228">
        <v>779</v>
      </c>
      <c r="CT57" s="228">
        <v>775</v>
      </c>
      <c r="CU57" s="228">
        <v>4</v>
      </c>
      <c r="CV57" s="229">
        <v>4.5999999999999999E-3</v>
      </c>
      <c r="CW57" s="230">
        <v>5104</v>
      </c>
      <c r="CX57" s="230">
        <v>5172</v>
      </c>
      <c r="CY57" s="228">
        <v>-67</v>
      </c>
      <c r="CZ57" s="229">
        <v>-1.2999999999999999E-2</v>
      </c>
      <c r="DA57" s="228">
        <v>26.35</v>
      </c>
      <c r="DB57" s="228">
        <v>27.35</v>
      </c>
      <c r="DC57" s="228">
        <v>-1</v>
      </c>
      <c r="DD57" s="228">
        <v>-1</v>
      </c>
      <c r="DE57" s="228">
        <v>37.18</v>
      </c>
      <c r="DF57" s="228">
        <v>37.21</v>
      </c>
      <c r="DG57" s="228">
        <v>-10.83</v>
      </c>
      <c r="DH57" s="228">
        <v>-0.03</v>
      </c>
      <c r="DI57" s="228">
        <v>26.15</v>
      </c>
      <c r="DJ57" s="228">
        <v>27.32</v>
      </c>
      <c r="DK57" s="228">
        <v>-1.17</v>
      </c>
      <c r="DL57" s="228">
        <v>-1.17</v>
      </c>
      <c r="DM57" s="228">
        <v>26.84</v>
      </c>
      <c r="DN57" s="228">
        <v>27.41</v>
      </c>
      <c r="DO57" s="228">
        <v>-0.56999999999999995</v>
      </c>
      <c r="DP57" s="228">
        <v>-0.56999999999999995</v>
      </c>
      <c r="DQ57" s="228">
        <v>0.65</v>
      </c>
      <c r="DR57" s="228">
        <v>0.64</v>
      </c>
      <c r="DS57" s="228">
        <v>0.01</v>
      </c>
      <c r="DT57" s="229">
        <v>1.5599999999999999E-2</v>
      </c>
      <c r="DU57" s="228">
        <v>800</v>
      </c>
      <c r="DV57" s="228">
        <v>720</v>
      </c>
      <c r="DW57" s="228">
        <v>0.4</v>
      </c>
      <c r="DX57" s="228">
        <v>0.33</v>
      </c>
      <c r="DY57" s="228">
        <v>7.0000000000000007E-2</v>
      </c>
      <c r="DZ57" s="229">
        <v>0.21210000000000001</v>
      </c>
      <c r="EA57" s="229">
        <v>3.2899999999999999E-2</v>
      </c>
      <c r="EB57" s="230">
        <v>1461900</v>
      </c>
      <c r="EC57" s="229">
        <v>5.4000000000000003E-3</v>
      </c>
      <c r="ED57" s="229">
        <v>3.2899999999999999E-2</v>
      </c>
      <c r="EE57" s="228">
        <v>4.8499999999999996</v>
      </c>
      <c r="EF57" s="229">
        <v>6.4999999999999997E-3</v>
      </c>
      <c r="EG57" s="230">
        <v>694988</v>
      </c>
      <c r="EH57" s="230">
        <v>1025325</v>
      </c>
      <c r="EI57" s="229">
        <v>-0.32219999999999999</v>
      </c>
      <c r="EJ57" s="229">
        <v>0.31430000000000002</v>
      </c>
      <c r="EK57" s="231">
        <v>2045.09</v>
      </c>
      <c r="EL57" s="228">
        <v>770.72</v>
      </c>
      <c r="EM57" s="228">
        <v>511.53</v>
      </c>
      <c r="EN57" s="228">
        <v>59.27</v>
      </c>
      <c r="EO57" s="231">
        <v>3327.34</v>
      </c>
      <c r="EP57" s="231">
        <v>1430.75</v>
      </c>
      <c r="EQ57" s="231">
        <v>1896.59</v>
      </c>
      <c r="ER57" s="229">
        <v>1.3255999999999999</v>
      </c>
      <c r="ES57" s="231">
        <v>1246.4000000000001</v>
      </c>
      <c r="ET57" s="228">
        <v>763.65</v>
      </c>
      <c r="EU57" s="231">
        <v>3122.2</v>
      </c>
      <c r="EV57" s="231">
        <v>83667734</v>
      </c>
      <c r="EW57" s="231">
        <v>5132.25</v>
      </c>
      <c r="EX57" s="231">
        <v>5150.1499999999996</v>
      </c>
      <c r="EY57" s="228">
        <v>-17.899999999999999</v>
      </c>
      <c r="EZ57" s="229">
        <v>-3.5000000000000001E-3</v>
      </c>
      <c r="FA57" s="229">
        <v>0.8216</v>
      </c>
      <c r="FB57" s="227" t="s">
        <v>556</v>
      </c>
      <c r="FC57">
        <f t="shared" si="0"/>
        <v>103</v>
      </c>
    </row>
    <row r="58" spans="1:159" ht="17.25" thickBot="1" x14ac:dyDescent="0.3">
      <c r="A58" s="226">
        <v>45940</v>
      </c>
      <c r="B58" s="227" t="s">
        <v>616</v>
      </c>
      <c r="C58" s="227" t="s">
        <v>584</v>
      </c>
      <c r="D58" s="228">
        <v>150</v>
      </c>
      <c r="E58" s="228">
        <v>18</v>
      </c>
      <c r="F58" s="231">
        <v>4337.7</v>
      </c>
      <c r="G58" s="231">
        <v>4316.8999999999996</v>
      </c>
      <c r="H58" s="228">
        <v>20.8</v>
      </c>
      <c r="I58" s="229">
        <v>4.7999999999999996E-3</v>
      </c>
      <c r="J58" s="231">
        <v>4320.3999999999996</v>
      </c>
      <c r="K58" s="231">
        <v>4305.1000000000004</v>
      </c>
      <c r="L58" s="228">
        <v>15.3</v>
      </c>
      <c r="M58" s="229">
        <v>3.5999999999999999E-3</v>
      </c>
      <c r="N58" s="231">
        <v>4337.7</v>
      </c>
      <c r="O58" s="231">
        <v>4316.8999999999996</v>
      </c>
      <c r="P58" s="228">
        <v>20.8</v>
      </c>
      <c r="Q58" s="229">
        <v>4.7999999999999996E-3</v>
      </c>
      <c r="R58" s="231">
        <v>4316.3</v>
      </c>
      <c r="S58" s="231">
        <v>4289.6000000000004</v>
      </c>
      <c r="T58" s="228">
        <v>26.7</v>
      </c>
      <c r="U58" s="229">
        <v>6.1999999999999998E-3</v>
      </c>
      <c r="V58" s="231">
        <v>4301.6000000000004</v>
      </c>
      <c r="W58" s="231">
        <v>4272.5</v>
      </c>
      <c r="X58" s="228">
        <v>29.1</v>
      </c>
      <c r="Y58" s="229">
        <v>6.7999999999999996E-3</v>
      </c>
      <c r="Z58" s="228">
        <v>17.3</v>
      </c>
      <c r="AA58" s="228">
        <v>11.8</v>
      </c>
      <c r="AB58" s="228">
        <v>5.5</v>
      </c>
      <c r="AC58" s="229">
        <v>4.0000000000000001E-3</v>
      </c>
      <c r="AD58" s="228">
        <v>17.3</v>
      </c>
      <c r="AE58" s="228">
        <v>11.8</v>
      </c>
      <c r="AF58" s="228">
        <v>5.5</v>
      </c>
      <c r="AG58" s="229">
        <v>4.0000000000000001E-3</v>
      </c>
      <c r="AH58" s="228">
        <v>-4.0999999999999996</v>
      </c>
      <c r="AI58" s="228">
        <v>-15.5</v>
      </c>
      <c r="AJ58" s="228">
        <v>11.4</v>
      </c>
      <c r="AK58" s="229">
        <v>-8.9999999999999998E-4</v>
      </c>
      <c r="AL58" s="228">
        <v>-18.8</v>
      </c>
      <c r="AM58" s="228">
        <v>-32.6</v>
      </c>
      <c r="AN58" s="228">
        <v>13.8</v>
      </c>
      <c r="AO58" s="229">
        <v>-4.4000000000000003E-3</v>
      </c>
      <c r="AP58" s="231">
        <v>4350.29</v>
      </c>
      <c r="AQ58" s="231">
        <v>4320.34</v>
      </c>
      <c r="AR58" s="228">
        <v>0</v>
      </c>
      <c r="AS58" s="228">
        <v>469</v>
      </c>
      <c r="AT58" s="228">
        <v>193</v>
      </c>
      <c r="AU58" s="228">
        <v>277</v>
      </c>
      <c r="AV58" s="229">
        <v>1.4343999999999999</v>
      </c>
      <c r="AW58" s="228">
        <v>425</v>
      </c>
      <c r="AX58" s="228">
        <v>162</v>
      </c>
      <c r="AY58" s="228">
        <v>263</v>
      </c>
      <c r="AZ58" s="229">
        <v>1.6217999999999999</v>
      </c>
      <c r="BA58" s="228">
        <v>39</v>
      </c>
      <c r="BB58" s="228">
        <v>29</v>
      </c>
      <c r="BC58" s="228">
        <v>9</v>
      </c>
      <c r="BD58" s="229">
        <v>0.31569999999999998</v>
      </c>
      <c r="BE58" s="228">
        <v>6</v>
      </c>
      <c r="BF58" s="228">
        <v>1</v>
      </c>
      <c r="BG58" s="228">
        <v>4</v>
      </c>
      <c r="BH58" s="229">
        <v>3.5263</v>
      </c>
      <c r="BI58" s="230">
        <v>3004</v>
      </c>
      <c r="BJ58" s="228">
        <v>693</v>
      </c>
      <c r="BK58" s="230">
        <v>2311</v>
      </c>
      <c r="BL58" s="229">
        <v>3.3351999999999999</v>
      </c>
      <c r="BM58" s="230">
        <v>1331</v>
      </c>
      <c r="BN58" s="228">
        <v>263</v>
      </c>
      <c r="BO58" s="230">
        <v>1069</v>
      </c>
      <c r="BP58" s="229">
        <v>4.0698999999999996</v>
      </c>
      <c r="BQ58" s="230">
        <v>4804</v>
      </c>
      <c r="BR58" s="230">
        <v>1148</v>
      </c>
      <c r="BS58" s="230">
        <v>3656</v>
      </c>
      <c r="BT58" s="229">
        <v>3.1840999999999999</v>
      </c>
      <c r="BU58" s="230">
        <v>442751</v>
      </c>
      <c r="BV58" s="230">
        <v>229406</v>
      </c>
      <c r="BW58" s="230">
        <v>213345</v>
      </c>
      <c r="BX58" s="229">
        <v>0.93</v>
      </c>
      <c r="BY58" s="230">
        <v>2690</v>
      </c>
      <c r="BZ58" s="230">
        <v>2630</v>
      </c>
      <c r="CA58" s="228">
        <v>60</v>
      </c>
      <c r="CB58" s="229">
        <v>2.29E-2</v>
      </c>
      <c r="CC58" s="230">
        <v>2585</v>
      </c>
      <c r="CD58" s="230">
        <v>2541</v>
      </c>
      <c r="CE58" s="228">
        <v>44</v>
      </c>
      <c r="CF58" s="229">
        <v>1.7299999999999999E-2</v>
      </c>
      <c r="CG58" s="228">
        <v>96</v>
      </c>
      <c r="CH58" s="228">
        <v>83</v>
      </c>
      <c r="CI58" s="228">
        <v>13</v>
      </c>
      <c r="CJ58" s="229">
        <v>0.15920000000000001</v>
      </c>
      <c r="CK58" s="228">
        <v>9</v>
      </c>
      <c r="CL58" s="228">
        <v>6</v>
      </c>
      <c r="CM58" s="228">
        <v>3</v>
      </c>
      <c r="CN58" s="229">
        <v>0.52810000000000001</v>
      </c>
      <c r="CO58" s="230">
        <v>1221</v>
      </c>
      <c r="CP58" s="228">
        <v>886</v>
      </c>
      <c r="CQ58" s="228">
        <v>335</v>
      </c>
      <c r="CR58" s="229">
        <v>0.37819999999999998</v>
      </c>
      <c r="CS58" s="228">
        <v>698</v>
      </c>
      <c r="CT58" s="228">
        <v>496</v>
      </c>
      <c r="CU58" s="228">
        <v>202</v>
      </c>
      <c r="CV58" s="229">
        <v>0.40679999999999999</v>
      </c>
      <c r="CW58" s="230">
        <v>4608</v>
      </c>
      <c r="CX58" s="230">
        <v>4011</v>
      </c>
      <c r="CY58" s="228">
        <v>597</v>
      </c>
      <c r="CZ58" s="229">
        <v>0.14879999999999999</v>
      </c>
      <c r="DA58" s="228">
        <v>31.79</v>
      </c>
      <c r="DB58" s="228">
        <v>33.1</v>
      </c>
      <c r="DC58" s="228">
        <v>-1.31</v>
      </c>
      <c r="DD58" s="228">
        <v>-1.31</v>
      </c>
      <c r="DE58" s="228">
        <v>32.86</v>
      </c>
      <c r="DF58" s="228">
        <v>32.94</v>
      </c>
      <c r="DG58" s="228">
        <v>-1.07</v>
      </c>
      <c r="DH58" s="228">
        <v>-0.08</v>
      </c>
      <c r="DI58" s="228">
        <v>32.04</v>
      </c>
      <c r="DJ58" s="228">
        <v>33.159999999999997</v>
      </c>
      <c r="DK58" s="228">
        <v>-1.1200000000000001</v>
      </c>
      <c r="DL58" s="228">
        <v>-1.1200000000000001</v>
      </c>
      <c r="DM58" s="228">
        <v>31.23</v>
      </c>
      <c r="DN58" s="228">
        <v>32.94</v>
      </c>
      <c r="DO58" s="228">
        <v>-1.71</v>
      </c>
      <c r="DP58" s="228">
        <v>-1.71</v>
      </c>
      <c r="DQ58" s="228">
        <v>0.56999999999999995</v>
      </c>
      <c r="DR58" s="228">
        <v>0.56000000000000005</v>
      </c>
      <c r="DS58" s="228">
        <v>0.01</v>
      </c>
      <c r="DT58" s="229">
        <v>1.7899999999999999E-2</v>
      </c>
      <c r="DU58" s="231">
        <v>4700</v>
      </c>
      <c r="DV58" s="231">
        <v>4000</v>
      </c>
      <c r="DW58" s="228">
        <v>0.44</v>
      </c>
      <c r="DX58" s="228">
        <v>0.38</v>
      </c>
      <c r="DY58" s="228">
        <v>0.06</v>
      </c>
      <c r="DZ58" s="229">
        <v>0.15790000000000001</v>
      </c>
      <c r="EA58" s="229">
        <v>3.8899999999999997E-2</v>
      </c>
      <c r="EB58" s="230">
        <v>203700</v>
      </c>
      <c r="EC58" s="229">
        <v>-4.8999999999999998E-3</v>
      </c>
      <c r="ED58" s="229">
        <v>3.8899999999999997E-2</v>
      </c>
      <c r="EE58" s="228">
        <v>-29.95</v>
      </c>
      <c r="EF58" s="229">
        <v>-6.8999999999999999E-3</v>
      </c>
      <c r="EG58" s="230">
        <v>226694</v>
      </c>
      <c r="EH58" s="230">
        <v>115481</v>
      </c>
      <c r="EI58" s="229">
        <v>0.96299999999999997</v>
      </c>
      <c r="EJ58" s="229">
        <v>0.51200000000000001</v>
      </c>
      <c r="EK58" s="231">
        <v>3200.72</v>
      </c>
      <c r="EL58" s="231">
        <v>1300.5999999999999</v>
      </c>
      <c r="EM58" s="228">
        <v>470.35</v>
      </c>
      <c r="EN58" s="228">
        <v>52.42</v>
      </c>
      <c r="EO58" s="231">
        <v>4971.67</v>
      </c>
      <c r="EP58" s="231">
        <v>1177.3</v>
      </c>
      <c r="EQ58" s="231">
        <v>3794.37</v>
      </c>
      <c r="ER58" s="229">
        <v>3.2229000000000001</v>
      </c>
      <c r="ES58" s="231">
        <v>1307.02</v>
      </c>
      <c r="ET58" s="228">
        <v>669.19</v>
      </c>
      <c r="EU58" s="231">
        <v>2689.26</v>
      </c>
      <c r="EV58" s="231">
        <v>22136392</v>
      </c>
      <c r="EW58" s="231">
        <v>4665.4799999999996</v>
      </c>
      <c r="EX58" s="231">
        <v>4040.86</v>
      </c>
      <c r="EY58" s="228">
        <v>624.62</v>
      </c>
      <c r="EZ58" s="229">
        <v>0.15459999999999999</v>
      </c>
      <c r="FA58" s="229">
        <v>0.47989999999999999</v>
      </c>
      <c r="FB58" s="227" t="s">
        <v>555</v>
      </c>
      <c r="FC58">
        <f t="shared" si="0"/>
        <v>105</v>
      </c>
    </row>
    <row r="59" spans="1:159" ht="17.25" thickBot="1" x14ac:dyDescent="0.3">
      <c r="A59" s="226">
        <v>45940</v>
      </c>
      <c r="B59" s="227" t="s">
        <v>170</v>
      </c>
      <c r="C59" s="227" t="s">
        <v>208</v>
      </c>
      <c r="D59" s="228">
        <v>625</v>
      </c>
      <c r="E59" s="228">
        <v>18</v>
      </c>
      <c r="F59" s="231">
        <v>1270.9000000000001</v>
      </c>
      <c r="G59" s="231">
        <v>1252.9000000000001</v>
      </c>
      <c r="H59" s="228">
        <v>18</v>
      </c>
      <c r="I59" s="229">
        <v>1.44E-2</v>
      </c>
      <c r="J59" s="231">
        <v>1264.4000000000001</v>
      </c>
      <c r="K59" s="231">
        <v>1246.0999999999999</v>
      </c>
      <c r="L59" s="228">
        <v>18.3</v>
      </c>
      <c r="M59" s="229">
        <v>1.47E-2</v>
      </c>
      <c r="N59" s="231">
        <v>1270.9000000000001</v>
      </c>
      <c r="O59" s="231">
        <v>1252.9000000000001</v>
      </c>
      <c r="P59" s="228">
        <v>18</v>
      </c>
      <c r="Q59" s="229">
        <v>1.44E-2</v>
      </c>
      <c r="R59" s="231">
        <v>1274.5999999999999</v>
      </c>
      <c r="S59" s="231">
        <v>1256.4000000000001</v>
      </c>
      <c r="T59" s="228">
        <v>18.2</v>
      </c>
      <c r="U59" s="229">
        <v>1.4500000000000001E-2</v>
      </c>
      <c r="V59" s="231">
        <v>1279.2</v>
      </c>
      <c r="W59" s="231">
        <v>1257.8</v>
      </c>
      <c r="X59" s="228">
        <v>21.4</v>
      </c>
      <c r="Y59" s="229">
        <v>1.7000000000000001E-2</v>
      </c>
      <c r="Z59" s="228">
        <v>6.5</v>
      </c>
      <c r="AA59" s="228">
        <v>6.8</v>
      </c>
      <c r="AB59" s="228">
        <v>-0.3</v>
      </c>
      <c r="AC59" s="229">
        <v>5.1000000000000004E-3</v>
      </c>
      <c r="AD59" s="228">
        <v>6.5</v>
      </c>
      <c r="AE59" s="228">
        <v>6.8</v>
      </c>
      <c r="AF59" s="228">
        <v>-0.3</v>
      </c>
      <c r="AG59" s="229">
        <v>5.1000000000000004E-3</v>
      </c>
      <c r="AH59" s="228">
        <v>10.199999999999999</v>
      </c>
      <c r="AI59" s="228">
        <v>10.3</v>
      </c>
      <c r="AJ59" s="228">
        <v>-0.1</v>
      </c>
      <c r="AK59" s="229">
        <v>8.0999999999999996E-3</v>
      </c>
      <c r="AL59" s="228">
        <v>14.8</v>
      </c>
      <c r="AM59" s="228">
        <v>11.7</v>
      </c>
      <c r="AN59" s="228">
        <v>3.1</v>
      </c>
      <c r="AO59" s="229">
        <v>1.17E-2</v>
      </c>
      <c r="AP59" s="231">
        <v>1266.72</v>
      </c>
      <c r="AQ59" s="231">
        <v>1271.6600000000001</v>
      </c>
      <c r="AR59" s="228">
        <v>0</v>
      </c>
      <c r="AS59" s="228">
        <v>307</v>
      </c>
      <c r="AT59" s="228">
        <v>408</v>
      </c>
      <c r="AU59" s="228">
        <v>-101</v>
      </c>
      <c r="AV59" s="229">
        <v>-0.2482</v>
      </c>
      <c r="AW59" s="228">
        <v>289</v>
      </c>
      <c r="AX59" s="228">
        <v>384</v>
      </c>
      <c r="AY59" s="228">
        <v>-95</v>
      </c>
      <c r="AZ59" s="229">
        <v>-0.24790000000000001</v>
      </c>
      <c r="BA59" s="228">
        <v>15</v>
      </c>
      <c r="BB59" s="228">
        <v>23</v>
      </c>
      <c r="BC59" s="228">
        <v>-8</v>
      </c>
      <c r="BD59" s="229">
        <v>-0.36520000000000002</v>
      </c>
      <c r="BE59" s="228">
        <v>3</v>
      </c>
      <c r="BF59" s="228">
        <v>1</v>
      </c>
      <c r="BG59" s="228">
        <v>2</v>
      </c>
      <c r="BH59" s="229">
        <v>4.4286000000000003</v>
      </c>
      <c r="BI59" s="228">
        <v>978</v>
      </c>
      <c r="BJ59" s="230">
        <v>1740</v>
      </c>
      <c r="BK59" s="228">
        <v>-761</v>
      </c>
      <c r="BL59" s="229">
        <v>-0.43759999999999999</v>
      </c>
      <c r="BM59" s="228">
        <v>348</v>
      </c>
      <c r="BN59" s="228">
        <v>484</v>
      </c>
      <c r="BO59" s="228">
        <v>-135</v>
      </c>
      <c r="BP59" s="229">
        <v>-0.27979999999999999</v>
      </c>
      <c r="BQ59" s="230">
        <v>1634</v>
      </c>
      <c r="BR59" s="230">
        <v>2631</v>
      </c>
      <c r="BS59" s="228">
        <v>-998</v>
      </c>
      <c r="BT59" s="229">
        <v>-0.37919999999999998</v>
      </c>
      <c r="BU59" s="230">
        <v>1724902</v>
      </c>
      <c r="BV59" s="230">
        <v>2789764</v>
      </c>
      <c r="BW59" s="230">
        <v>-1064862</v>
      </c>
      <c r="BX59" s="229">
        <v>-0.38169999999999998</v>
      </c>
      <c r="BY59" s="230">
        <v>1601</v>
      </c>
      <c r="BZ59" s="230">
        <v>1586</v>
      </c>
      <c r="CA59" s="228">
        <v>15</v>
      </c>
      <c r="CB59" s="229">
        <v>9.4999999999999998E-3</v>
      </c>
      <c r="CC59" s="230">
        <v>1572</v>
      </c>
      <c r="CD59" s="230">
        <v>1561</v>
      </c>
      <c r="CE59" s="228">
        <v>11</v>
      </c>
      <c r="CF59" s="229">
        <v>7.0000000000000001E-3</v>
      </c>
      <c r="CG59" s="228">
        <v>25</v>
      </c>
      <c r="CH59" s="228">
        <v>23</v>
      </c>
      <c r="CI59" s="228">
        <v>2</v>
      </c>
      <c r="CJ59" s="229">
        <v>8.8099999999999998E-2</v>
      </c>
      <c r="CK59" s="228">
        <v>3</v>
      </c>
      <c r="CL59" s="228">
        <v>1</v>
      </c>
      <c r="CM59" s="228">
        <v>2</v>
      </c>
      <c r="CN59" s="229">
        <v>1.5882000000000001</v>
      </c>
      <c r="CO59" s="228">
        <v>687</v>
      </c>
      <c r="CP59" s="228">
        <v>708</v>
      </c>
      <c r="CQ59" s="228">
        <v>-21</v>
      </c>
      <c r="CR59" s="229">
        <v>-2.9700000000000001E-2</v>
      </c>
      <c r="CS59" s="228">
        <v>382</v>
      </c>
      <c r="CT59" s="228">
        <v>389</v>
      </c>
      <c r="CU59" s="228">
        <v>-7</v>
      </c>
      <c r="CV59" s="229">
        <v>-1.7299999999999999E-2</v>
      </c>
      <c r="CW59" s="230">
        <v>2671</v>
      </c>
      <c r="CX59" s="230">
        <v>2683</v>
      </c>
      <c r="CY59" s="228">
        <v>-13</v>
      </c>
      <c r="CZ59" s="229">
        <v>-4.7000000000000002E-3</v>
      </c>
      <c r="DA59" s="228">
        <v>21.7</v>
      </c>
      <c r="DB59" s="228">
        <v>23.06</v>
      </c>
      <c r="DC59" s="228">
        <v>-1.36</v>
      </c>
      <c r="DD59" s="228">
        <v>-1.36</v>
      </c>
      <c r="DE59" s="228">
        <v>24.85</v>
      </c>
      <c r="DF59" s="228">
        <v>24.83</v>
      </c>
      <c r="DG59" s="228">
        <v>-3.15</v>
      </c>
      <c r="DH59" s="228">
        <v>0.02</v>
      </c>
      <c r="DI59" s="228">
        <v>21.19</v>
      </c>
      <c r="DJ59" s="228">
        <v>22.69</v>
      </c>
      <c r="DK59" s="228">
        <v>-1.5</v>
      </c>
      <c r="DL59" s="228">
        <v>-1.5</v>
      </c>
      <c r="DM59" s="228">
        <v>23.15</v>
      </c>
      <c r="DN59" s="228">
        <v>24.41</v>
      </c>
      <c r="DO59" s="228">
        <v>-1.26</v>
      </c>
      <c r="DP59" s="228">
        <v>-1.26</v>
      </c>
      <c r="DQ59" s="228">
        <v>0.56000000000000005</v>
      </c>
      <c r="DR59" s="228">
        <v>0.55000000000000004</v>
      </c>
      <c r="DS59" s="228">
        <v>0.01</v>
      </c>
      <c r="DT59" s="229">
        <v>1.8200000000000001E-2</v>
      </c>
      <c r="DU59" s="231">
        <v>1320</v>
      </c>
      <c r="DV59" s="231">
        <v>1250</v>
      </c>
      <c r="DW59" s="228">
        <v>0.36</v>
      </c>
      <c r="DX59" s="228">
        <v>0.28000000000000003</v>
      </c>
      <c r="DY59" s="228">
        <v>0.08</v>
      </c>
      <c r="DZ59" s="229">
        <v>0.28570000000000001</v>
      </c>
      <c r="EA59" s="229">
        <v>1.8100000000000002E-2</v>
      </c>
      <c r="EB59" s="230">
        <v>195000</v>
      </c>
      <c r="EC59" s="229">
        <v>2.8999999999999998E-3</v>
      </c>
      <c r="ED59" s="229">
        <v>1.8100000000000002E-2</v>
      </c>
      <c r="EE59" s="228">
        <v>4.9400000000000004</v>
      </c>
      <c r="EF59" s="229">
        <v>3.8999999999999998E-3</v>
      </c>
      <c r="EG59" s="230">
        <v>985592</v>
      </c>
      <c r="EH59" s="230">
        <v>1564596</v>
      </c>
      <c r="EI59" s="229">
        <v>-0.37009999999999998</v>
      </c>
      <c r="EJ59" s="229">
        <v>0.57140000000000002</v>
      </c>
      <c r="EK59" s="231">
        <v>1003.87</v>
      </c>
      <c r="EL59" s="228">
        <v>344.37</v>
      </c>
      <c r="EM59" s="228">
        <v>305.83999999999997</v>
      </c>
      <c r="EN59" s="228">
        <v>29.36</v>
      </c>
      <c r="EO59" s="231">
        <v>1654.07</v>
      </c>
      <c r="EP59" s="231">
        <v>2665.1</v>
      </c>
      <c r="EQ59" s="231">
        <v>-1011.03</v>
      </c>
      <c r="ER59" s="229">
        <v>-0.37940000000000002</v>
      </c>
      <c r="ES59" s="228">
        <v>711.35</v>
      </c>
      <c r="ET59" s="228">
        <v>365.64</v>
      </c>
      <c r="EU59" s="231">
        <v>1601.27</v>
      </c>
      <c r="EV59" s="231">
        <v>61006521</v>
      </c>
      <c r="EW59" s="231">
        <v>2678.26</v>
      </c>
      <c r="EX59" s="231">
        <v>2666.02</v>
      </c>
      <c r="EY59" s="228">
        <v>12.24</v>
      </c>
      <c r="EZ59" s="229">
        <v>4.5999999999999999E-3</v>
      </c>
      <c r="FA59" s="229">
        <v>0.34449999999999997</v>
      </c>
      <c r="FB59" s="227" t="s">
        <v>555</v>
      </c>
      <c r="FC59">
        <f t="shared" si="0"/>
        <v>29</v>
      </c>
    </row>
    <row r="60" spans="1:159" ht="17.25" thickBot="1" x14ac:dyDescent="0.3">
      <c r="A60" s="226">
        <v>45940</v>
      </c>
      <c r="B60" s="227" t="s">
        <v>162</v>
      </c>
      <c r="C60" s="227" t="s">
        <v>209</v>
      </c>
      <c r="D60" s="228">
        <v>175</v>
      </c>
      <c r="E60" s="228">
        <v>18</v>
      </c>
      <c r="F60" s="231">
        <v>6984</v>
      </c>
      <c r="G60" s="231">
        <v>6914.5</v>
      </c>
      <c r="H60" s="228">
        <v>69.5</v>
      </c>
      <c r="I60" s="229">
        <v>1.01E-2</v>
      </c>
      <c r="J60" s="231">
        <v>6965</v>
      </c>
      <c r="K60" s="231">
        <v>6896.5</v>
      </c>
      <c r="L60" s="228">
        <v>68.5</v>
      </c>
      <c r="M60" s="229">
        <v>9.9000000000000008E-3</v>
      </c>
      <c r="N60" s="231">
        <v>6984</v>
      </c>
      <c r="O60" s="231">
        <v>6914.5</v>
      </c>
      <c r="P60" s="228">
        <v>69.5</v>
      </c>
      <c r="Q60" s="229">
        <v>1.01E-2</v>
      </c>
      <c r="R60" s="231">
        <v>7019</v>
      </c>
      <c r="S60" s="231">
        <v>6951</v>
      </c>
      <c r="T60" s="228">
        <v>68</v>
      </c>
      <c r="U60" s="229">
        <v>9.7999999999999997E-3</v>
      </c>
      <c r="V60" s="231">
        <v>7059</v>
      </c>
      <c r="W60" s="231">
        <v>6962</v>
      </c>
      <c r="X60" s="228">
        <v>97</v>
      </c>
      <c r="Y60" s="229">
        <v>1.3899999999999999E-2</v>
      </c>
      <c r="Z60" s="228">
        <v>19</v>
      </c>
      <c r="AA60" s="228">
        <v>18</v>
      </c>
      <c r="AB60" s="228">
        <v>1</v>
      </c>
      <c r="AC60" s="229">
        <v>2.7000000000000001E-3</v>
      </c>
      <c r="AD60" s="228">
        <v>19</v>
      </c>
      <c r="AE60" s="228">
        <v>18</v>
      </c>
      <c r="AF60" s="228">
        <v>1</v>
      </c>
      <c r="AG60" s="229">
        <v>2.7000000000000001E-3</v>
      </c>
      <c r="AH60" s="228">
        <v>54</v>
      </c>
      <c r="AI60" s="228">
        <v>54.5</v>
      </c>
      <c r="AJ60" s="228">
        <v>-0.5</v>
      </c>
      <c r="AK60" s="229">
        <v>7.7999999999999996E-3</v>
      </c>
      <c r="AL60" s="228">
        <v>94</v>
      </c>
      <c r="AM60" s="228">
        <v>65.5</v>
      </c>
      <c r="AN60" s="228">
        <v>28.5</v>
      </c>
      <c r="AO60" s="229">
        <v>1.35E-2</v>
      </c>
      <c r="AP60" s="231">
        <v>6972.98</v>
      </c>
      <c r="AQ60" s="231">
        <v>7001.63</v>
      </c>
      <c r="AR60" s="228">
        <v>0</v>
      </c>
      <c r="AS60" s="228">
        <v>361</v>
      </c>
      <c r="AT60" s="228">
        <v>475</v>
      </c>
      <c r="AU60" s="228">
        <v>-114</v>
      </c>
      <c r="AV60" s="229">
        <v>-0.23960000000000001</v>
      </c>
      <c r="AW60" s="228">
        <v>342</v>
      </c>
      <c r="AX60" s="228">
        <v>449</v>
      </c>
      <c r="AY60" s="228">
        <v>-107</v>
      </c>
      <c r="AZ60" s="229">
        <v>-0.23799999999999999</v>
      </c>
      <c r="BA60" s="228">
        <v>13</v>
      </c>
      <c r="BB60" s="228">
        <v>22</v>
      </c>
      <c r="BC60" s="228">
        <v>-9</v>
      </c>
      <c r="BD60" s="229">
        <v>-0.40760000000000002</v>
      </c>
      <c r="BE60" s="228">
        <v>5</v>
      </c>
      <c r="BF60" s="228">
        <v>3</v>
      </c>
      <c r="BG60" s="228">
        <v>2</v>
      </c>
      <c r="BH60" s="229">
        <v>0.76</v>
      </c>
      <c r="BI60" s="230">
        <v>1409</v>
      </c>
      <c r="BJ60" s="230">
        <v>1664</v>
      </c>
      <c r="BK60" s="228">
        <v>-255</v>
      </c>
      <c r="BL60" s="229">
        <v>-0.15340000000000001</v>
      </c>
      <c r="BM60" s="228">
        <v>805</v>
      </c>
      <c r="BN60" s="230">
        <v>1286</v>
      </c>
      <c r="BO60" s="228">
        <v>-481</v>
      </c>
      <c r="BP60" s="229">
        <v>-0.374</v>
      </c>
      <c r="BQ60" s="230">
        <v>2575</v>
      </c>
      <c r="BR60" s="230">
        <v>3424</v>
      </c>
      <c r="BS60" s="228">
        <v>-850</v>
      </c>
      <c r="BT60" s="229">
        <v>-0.2482</v>
      </c>
      <c r="BU60" s="230">
        <v>288207</v>
      </c>
      <c r="BV60" s="230">
        <v>410169</v>
      </c>
      <c r="BW60" s="230">
        <v>-121962</v>
      </c>
      <c r="BX60" s="229">
        <v>-0.29730000000000001</v>
      </c>
      <c r="BY60" s="230">
        <v>2440</v>
      </c>
      <c r="BZ60" s="230">
        <v>2410</v>
      </c>
      <c r="CA60" s="228">
        <v>31</v>
      </c>
      <c r="CB60" s="229">
        <v>1.2699999999999999E-2</v>
      </c>
      <c r="CC60" s="230">
        <v>2381</v>
      </c>
      <c r="CD60" s="230">
        <v>2359</v>
      </c>
      <c r="CE60" s="228">
        <v>22</v>
      </c>
      <c r="CF60" s="229">
        <v>9.4000000000000004E-3</v>
      </c>
      <c r="CG60" s="228">
        <v>48</v>
      </c>
      <c r="CH60" s="228">
        <v>43</v>
      </c>
      <c r="CI60" s="228">
        <v>5</v>
      </c>
      <c r="CJ60" s="229">
        <v>0.1133</v>
      </c>
      <c r="CK60" s="228">
        <v>11</v>
      </c>
      <c r="CL60" s="228">
        <v>8</v>
      </c>
      <c r="CM60" s="228">
        <v>3</v>
      </c>
      <c r="CN60" s="229">
        <v>0.42420000000000002</v>
      </c>
      <c r="CO60" s="230">
        <v>1290</v>
      </c>
      <c r="CP60" s="230">
        <v>1311</v>
      </c>
      <c r="CQ60" s="228">
        <v>-22</v>
      </c>
      <c r="CR60" s="229">
        <v>-1.66E-2</v>
      </c>
      <c r="CS60" s="230">
        <v>1007</v>
      </c>
      <c r="CT60" s="228">
        <v>989</v>
      </c>
      <c r="CU60" s="228">
        <v>17</v>
      </c>
      <c r="CV60" s="229">
        <v>1.7500000000000002E-2</v>
      </c>
      <c r="CW60" s="230">
        <v>4737</v>
      </c>
      <c r="CX60" s="230">
        <v>4710</v>
      </c>
      <c r="CY60" s="228">
        <v>26</v>
      </c>
      <c r="CZ60" s="229">
        <v>5.5999999999999999E-3</v>
      </c>
      <c r="DA60" s="228">
        <v>19.63</v>
      </c>
      <c r="DB60" s="228">
        <v>20.55</v>
      </c>
      <c r="DC60" s="228">
        <v>-0.92</v>
      </c>
      <c r="DD60" s="228">
        <v>-0.92</v>
      </c>
      <c r="DE60" s="228">
        <v>28.21</v>
      </c>
      <c r="DF60" s="228">
        <v>28.25</v>
      </c>
      <c r="DG60" s="228">
        <v>-8.58</v>
      </c>
      <c r="DH60" s="228">
        <v>-0.04</v>
      </c>
      <c r="DI60" s="228">
        <v>19.43</v>
      </c>
      <c r="DJ60" s="228">
        <v>20.440000000000001</v>
      </c>
      <c r="DK60" s="228">
        <v>-1.01</v>
      </c>
      <c r="DL60" s="228">
        <v>-1.01</v>
      </c>
      <c r="DM60" s="228">
        <v>19.97</v>
      </c>
      <c r="DN60" s="228">
        <v>20.68</v>
      </c>
      <c r="DO60" s="228">
        <v>-0.71</v>
      </c>
      <c r="DP60" s="228">
        <v>-0.71</v>
      </c>
      <c r="DQ60" s="228">
        <v>0.78</v>
      </c>
      <c r="DR60" s="228">
        <v>0.75</v>
      </c>
      <c r="DS60" s="228">
        <v>0.03</v>
      </c>
      <c r="DT60" s="229">
        <v>0.04</v>
      </c>
      <c r="DU60" s="231">
        <v>7000</v>
      </c>
      <c r="DV60" s="231">
        <v>6500</v>
      </c>
      <c r="DW60" s="228">
        <v>0.56999999999999995</v>
      </c>
      <c r="DX60" s="228">
        <v>0.77</v>
      </c>
      <c r="DY60" s="228">
        <v>-0.2</v>
      </c>
      <c r="DZ60" s="229">
        <v>-0.25969999999999999</v>
      </c>
      <c r="EA60" s="229">
        <v>2.4400000000000002E-2</v>
      </c>
      <c r="EB60" s="230">
        <v>73325</v>
      </c>
      <c r="EC60" s="229">
        <v>5.0000000000000001E-3</v>
      </c>
      <c r="ED60" s="229">
        <v>2.4400000000000002E-2</v>
      </c>
      <c r="EE60" s="228">
        <v>28.65</v>
      </c>
      <c r="EF60" s="229">
        <v>4.1000000000000003E-3</v>
      </c>
      <c r="EG60" s="230">
        <v>180641</v>
      </c>
      <c r="EH60" s="230">
        <v>247228</v>
      </c>
      <c r="EI60" s="229">
        <v>-0.26929999999999998</v>
      </c>
      <c r="EJ60" s="229">
        <v>0.62680000000000002</v>
      </c>
      <c r="EK60" s="231">
        <v>1448.92</v>
      </c>
      <c r="EL60" s="228">
        <v>795.05</v>
      </c>
      <c r="EM60" s="228">
        <v>360.58</v>
      </c>
      <c r="EN60" s="228">
        <v>38.29</v>
      </c>
      <c r="EO60" s="231">
        <v>2604.5500000000002</v>
      </c>
      <c r="EP60" s="231">
        <v>3440.55</v>
      </c>
      <c r="EQ60" s="228">
        <v>-836</v>
      </c>
      <c r="ER60" s="229">
        <v>-0.24299999999999999</v>
      </c>
      <c r="ES60" s="231">
        <v>1335.62</v>
      </c>
      <c r="ET60" s="228">
        <v>950.86</v>
      </c>
      <c r="EU60" s="231">
        <v>2440.73</v>
      </c>
      <c r="EV60" s="231">
        <v>20353850</v>
      </c>
      <c r="EW60" s="231">
        <v>4727.22</v>
      </c>
      <c r="EX60" s="231">
        <v>4677.8900000000003</v>
      </c>
      <c r="EY60" s="228">
        <v>49.33</v>
      </c>
      <c r="EZ60" s="229">
        <v>1.0500000000000001E-2</v>
      </c>
      <c r="FA60" s="229">
        <v>0.3332</v>
      </c>
      <c r="FB60" s="227" t="s">
        <v>555</v>
      </c>
      <c r="FC60">
        <f t="shared" si="0"/>
        <v>59</v>
      </c>
    </row>
    <row r="61" spans="1:159" ht="17.25" thickBot="1" x14ac:dyDescent="0.3">
      <c r="A61" s="226">
        <v>45940</v>
      </c>
      <c r="B61" s="227" t="s">
        <v>616</v>
      </c>
      <c r="C61" s="227" t="s">
        <v>669</v>
      </c>
      <c r="D61" s="228">
        <v>2425</v>
      </c>
      <c r="E61" s="228">
        <v>18</v>
      </c>
      <c r="F61" s="228">
        <v>349.4</v>
      </c>
      <c r="G61" s="228">
        <v>346.55</v>
      </c>
      <c r="H61" s="228">
        <v>2.85</v>
      </c>
      <c r="I61" s="229">
        <v>8.2000000000000007E-3</v>
      </c>
      <c r="J61" s="228">
        <v>348.3</v>
      </c>
      <c r="K61" s="228">
        <v>345.5</v>
      </c>
      <c r="L61" s="228">
        <v>2.8</v>
      </c>
      <c r="M61" s="229">
        <v>8.0999999999999996E-3</v>
      </c>
      <c r="N61" s="228">
        <v>349.4</v>
      </c>
      <c r="O61" s="228">
        <v>346.55</v>
      </c>
      <c r="P61" s="228">
        <v>2.85</v>
      </c>
      <c r="Q61" s="229">
        <v>8.2000000000000007E-3</v>
      </c>
      <c r="R61" s="228">
        <v>351.35</v>
      </c>
      <c r="S61" s="228">
        <v>348.5</v>
      </c>
      <c r="T61" s="228">
        <v>2.85</v>
      </c>
      <c r="U61" s="229">
        <v>8.2000000000000007E-3</v>
      </c>
      <c r="V61" s="228">
        <v>353.25</v>
      </c>
      <c r="W61" s="228">
        <v>350.15</v>
      </c>
      <c r="X61" s="228">
        <v>3.1</v>
      </c>
      <c r="Y61" s="229">
        <v>8.8999999999999999E-3</v>
      </c>
      <c r="Z61" s="228">
        <v>1.1000000000000001</v>
      </c>
      <c r="AA61" s="228">
        <v>1.05</v>
      </c>
      <c r="AB61" s="228">
        <v>0.05</v>
      </c>
      <c r="AC61" s="229">
        <v>3.2000000000000002E-3</v>
      </c>
      <c r="AD61" s="228">
        <v>1.1000000000000001</v>
      </c>
      <c r="AE61" s="228">
        <v>1.05</v>
      </c>
      <c r="AF61" s="228">
        <v>0.05</v>
      </c>
      <c r="AG61" s="229">
        <v>3.2000000000000002E-3</v>
      </c>
      <c r="AH61" s="228">
        <v>3.05</v>
      </c>
      <c r="AI61" s="228">
        <v>3</v>
      </c>
      <c r="AJ61" s="228">
        <v>0.05</v>
      </c>
      <c r="AK61" s="229">
        <v>8.8000000000000005E-3</v>
      </c>
      <c r="AL61" s="228">
        <v>4.95</v>
      </c>
      <c r="AM61" s="228">
        <v>4.6500000000000004</v>
      </c>
      <c r="AN61" s="228">
        <v>0.3</v>
      </c>
      <c r="AO61" s="229">
        <v>1.4200000000000001E-2</v>
      </c>
      <c r="AP61" s="228">
        <v>347.56</v>
      </c>
      <c r="AQ61" s="228">
        <v>349.83</v>
      </c>
      <c r="AR61" s="228">
        <v>0</v>
      </c>
      <c r="AS61" s="228">
        <v>788</v>
      </c>
      <c r="AT61" s="230">
        <v>1003</v>
      </c>
      <c r="AU61" s="228">
        <v>-215</v>
      </c>
      <c r="AV61" s="229">
        <v>-0.21460000000000001</v>
      </c>
      <c r="AW61" s="228">
        <v>717</v>
      </c>
      <c r="AX61" s="228">
        <v>949</v>
      </c>
      <c r="AY61" s="228">
        <v>-232</v>
      </c>
      <c r="AZ61" s="229">
        <v>-0.24490000000000001</v>
      </c>
      <c r="BA61" s="228">
        <v>56</v>
      </c>
      <c r="BB61" s="228">
        <v>45</v>
      </c>
      <c r="BC61" s="228">
        <v>11</v>
      </c>
      <c r="BD61" s="229">
        <v>0.2369</v>
      </c>
      <c r="BE61" s="228">
        <v>15</v>
      </c>
      <c r="BF61" s="228">
        <v>9</v>
      </c>
      <c r="BG61" s="228">
        <v>6</v>
      </c>
      <c r="BH61" s="229">
        <v>0.74509999999999998</v>
      </c>
      <c r="BI61" s="230">
        <v>1880</v>
      </c>
      <c r="BJ61" s="230">
        <v>3349</v>
      </c>
      <c r="BK61" s="230">
        <v>-1468</v>
      </c>
      <c r="BL61" s="229">
        <v>-0.4385</v>
      </c>
      <c r="BM61" s="230">
        <v>1290</v>
      </c>
      <c r="BN61" s="230">
        <v>1929</v>
      </c>
      <c r="BO61" s="228">
        <v>-639</v>
      </c>
      <c r="BP61" s="229">
        <v>-0.33129999999999998</v>
      </c>
      <c r="BQ61" s="230">
        <v>3958</v>
      </c>
      <c r="BR61" s="230">
        <v>6281</v>
      </c>
      <c r="BS61" s="230">
        <v>-2323</v>
      </c>
      <c r="BT61" s="229">
        <v>-0.36980000000000002</v>
      </c>
      <c r="BU61" s="230">
        <v>17152682</v>
      </c>
      <c r="BV61" s="230">
        <v>25284279</v>
      </c>
      <c r="BW61" s="230">
        <v>-8131597</v>
      </c>
      <c r="BX61" s="229">
        <v>-0.3216</v>
      </c>
      <c r="BY61" s="230">
        <v>8464</v>
      </c>
      <c r="BZ61" s="230">
        <v>8526</v>
      </c>
      <c r="CA61" s="228">
        <v>-62</v>
      </c>
      <c r="CB61" s="229">
        <v>-7.1999999999999998E-3</v>
      </c>
      <c r="CC61" s="230">
        <v>8344</v>
      </c>
      <c r="CD61" s="230">
        <v>8420</v>
      </c>
      <c r="CE61" s="228">
        <v>-76</v>
      </c>
      <c r="CF61" s="229">
        <v>-8.9999999999999993E-3</v>
      </c>
      <c r="CG61" s="228">
        <v>101</v>
      </c>
      <c r="CH61" s="228">
        <v>92</v>
      </c>
      <c r="CI61" s="228">
        <v>9</v>
      </c>
      <c r="CJ61" s="229">
        <v>9.5600000000000004E-2</v>
      </c>
      <c r="CK61" s="228">
        <v>19</v>
      </c>
      <c r="CL61" s="228">
        <v>14</v>
      </c>
      <c r="CM61" s="228">
        <v>5</v>
      </c>
      <c r="CN61" s="229">
        <v>0.35499999999999998</v>
      </c>
      <c r="CO61" s="230">
        <v>1815</v>
      </c>
      <c r="CP61" s="230">
        <v>1856</v>
      </c>
      <c r="CQ61" s="228">
        <v>-41</v>
      </c>
      <c r="CR61" s="229">
        <v>-2.2100000000000002E-2</v>
      </c>
      <c r="CS61" s="230">
        <v>1337</v>
      </c>
      <c r="CT61" s="230">
        <v>1293</v>
      </c>
      <c r="CU61" s="228">
        <v>45</v>
      </c>
      <c r="CV61" s="229">
        <v>3.4500000000000003E-2</v>
      </c>
      <c r="CW61" s="230">
        <v>11616</v>
      </c>
      <c r="CX61" s="230">
        <v>11675</v>
      </c>
      <c r="CY61" s="228">
        <v>-58</v>
      </c>
      <c r="CZ61" s="229">
        <v>-5.0000000000000001E-3</v>
      </c>
      <c r="DA61" s="228">
        <v>30.94</v>
      </c>
      <c r="DB61" s="228">
        <v>31.92</v>
      </c>
      <c r="DC61" s="228">
        <v>-0.98</v>
      </c>
      <c r="DD61" s="228">
        <v>-0.98</v>
      </c>
      <c r="DE61" s="228">
        <v>46.02</v>
      </c>
      <c r="DF61" s="228">
        <v>46.12</v>
      </c>
      <c r="DG61" s="228">
        <v>-15.08</v>
      </c>
      <c r="DH61" s="228">
        <v>-0.1</v>
      </c>
      <c r="DI61" s="228">
        <v>29.83</v>
      </c>
      <c r="DJ61" s="228">
        <v>31.4</v>
      </c>
      <c r="DK61" s="228">
        <v>-1.57</v>
      </c>
      <c r="DL61" s="228">
        <v>-1.57</v>
      </c>
      <c r="DM61" s="228">
        <v>32.57</v>
      </c>
      <c r="DN61" s="228">
        <v>32.840000000000003</v>
      </c>
      <c r="DO61" s="228">
        <v>-0.27</v>
      </c>
      <c r="DP61" s="228">
        <v>-0.27</v>
      </c>
      <c r="DQ61" s="228">
        <v>0.74</v>
      </c>
      <c r="DR61" s="228">
        <v>0.7</v>
      </c>
      <c r="DS61" s="228">
        <v>0.04</v>
      </c>
      <c r="DT61" s="229">
        <v>5.7099999999999998E-2</v>
      </c>
      <c r="DU61" s="228">
        <v>335</v>
      </c>
      <c r="DV61" s="228">
        <v>330</v>
      </c>
      <c r="DW61" s="228">
        <v>0.69</v>
      </c>
      <c r="DX61" s="228">
        <v>0.57999999999999996</v>
      </c>
      <c r="DY61" s="228">
        <v>0.11</v>
      </c>
      <c r="DZ61" s="229">
        <v>0.18970000000000001</v>
      </c>
      <c r="EA61" s="229">
        <v>1.4200000000000001E-2</v>
      </c>
      <c r="EB61" s="230">
        <v>3048225</v>
      </c>
      <c r="EC61" s="229">
        <v>5.5999999999999999E-3</v>
      </c>
      <c r="ED61" s="229">
        <v>1.4200000000000001E-2</v>
      </c>
      <c r="EE61" s="228">
        <v>2.27</v>
      </c>
      <c r="EF61" s="229">
        <v>6.4999999999999997E-3</v>
      </c>
      <c r="EG61" s="230">
        <v>8768146</v>
      </c>
      <c r="EH61" s="230">
        <v>14421945</v>
      </c>
      <c r="EI61" s="229">
        <v>-0.39200000000000002</v>
      </c>
      <c r="EJ61" s="229">
        <v>0.51119999999999999</v>
      </c>
      <c r="EK61" s="231">
        <v>1946.84</v>
      </c>
      <c r="EL61" s="231">
        <v>1242.5999999999999</v>
      </c>
      <c r="EM61" s="228">
        <v>784.53</v>
      </c>
      <c r="EN61" s="228">
        <v>91.12</v>
      </c>
      <c r="EO61" s="231">
        <v>3973.97</v>
      </c>
      <c r="EP61" s="231">
        <v>6267.04</v>
      </c>
      <c r="EQ61" s="231">
        <v>-2293.0700000000002</v>
      </c>
      <c r="ER61" s="229">
        <v>-0.3659</v>
      </c>
      <c r="ES61" s="231">
        <v>1786.77</v>
      </c>
      <c r="ET61" s="231">
        <v>1231.32</v>
      </c>
      <c r="EU61" s="231">
        <v>8465.25</v>
      </c>
      <c r="EV61" s="231">
        <v>1361988292</v>
      </c>
      <c r="EW61" s="231">
        <v>11483.35</v>
      </c>
      <c r="EX61" s="231">
        <v>11463.43</v>
      </c>
      <c r="EY61" s="228">
        <v>19.920000000000002</v>
      </c>
      <c r="EZ61" s="229">
        <v>1.6999999999999999E-3</v>
      </c>
      <c r="FA61" s="229">
        <v>0.24410000000000001</v>
      </c>
      <c r="FB61" s="227" t="s">
        <v>556</v>
      </c>
      <c r="FC61">
        <f t="shared" si="0"/>
        <v>120</v>
      </c>
    </row>
    <row r="62" spans="1:159" ht="17.25" thickBot="1" x14ac:dyDescent="0.3">
      <c r="A62" s="226">
        <v>45940</v>
      </c>
      <c r="B62" s="227" t="s">
        <v>162</v>
      </c>
      <c r="C62" s="227" t="s">
        <v>211</v>
      </c>
      <c r="D62" s="228">
        <v>1800</v>
      </c>
      <c r="E62" s="228">
        <v>18</v>
      </c>
      <c r="F62" s="228">
        <v>402.85</v>
      </c>
      <c r="G62" s="228">
        <v>398.65</v>
      </c>
      <c r="H62" s="228">
        <v>4.2</v>
      </c>
      <c r="I62" s="229">
        <v>1.0500000000000001E-2</v>
      </c>
      <c r="J62" s="228">
        <v>400.65</v>
      </c>
      <c r="K62" s="228">
        <v>397.6</v>
      </c>
      <c r="L62" s="228">
        <v>3.05</v>
      </c>
      <c r="M62" s="229">
        <v>7.7000000000000002E-3</v>
      </c>
      <c r="N62" s="228">
        <v>402.85</v>
      </c>
      <c r="O62" s="228">
        <v>398.65</v>
      </c>
      <c r="P62" s="228">
        <v>4.2</v>
      </c>
      <c r="Q62" s="229">
        <v>1.0500000000000001E-2</v>
      </c>
      <c r="R62" s="228">
        <v>405</v>
      </c>
      <c r="S62" s="228">
        <v>400.95</v>
      </c>
      <c r="T62" s="228">
        <v>4.05</v>
      </c>
      <c r="U62" s="229">
        <v>1.01E-2</v>
      </c>
      <c r="V62" s="228">
        <v>407.15</v>
      </c>
      <c r="W62" s="228">
        <v>403.35</v>
      </c>
      <c r="X62" s="228">
        <v>3.8</v>
      </c>
      <c r="Y62" s="229">
        <v>9.4000000000000004E-3</v>
      </c>
      <c r="Z62" s="228">
        <v>2.2000000000000002</v>
      </c>
      <c r="AA62" s="228">
        <v>1.05</v>
      </c>
      <c r="AB62" s="228">
        <v>1.1499999999999999</v>
      </c>
      <c r="AC62" s="229">
        <v>5.4999999999999997E-3</v>
      </c>
      <c r="AD62" s="228">
        <v>2.2000000000000002</v>
      </c>
      <c r="AE62" s="228">
        <v>1.05</v>
      </c>
      <c r="AF62" s="228">
        <v>1.1499999999999999</v>
      </c>
      <c r="AG62" s="229">
        <v>5.4999999999999997E-3</v>
      </c>
      <c r="AH62" s="228">
        <v>4.3499999999999996</v>
      </c>
      <c r="AI62" s="228">
        <v>3.35</v>
      </c>
      <c r="AJ62" s="228">
        <v>1</v>
      </c>
      <c r="AK62" s="229">
        <v>1.09E-2</v>
      </c>
      <c r="AL62" s="228">
        <v>6.5</v>
      </c>
      <c r="AM62" s="228">
        <v>5.75</v>
      </c>
      <c r="AN62" s="228">
        <v>0.75</v>
      </c>
      <c r="AO62" s="229">
        <v>1.6199999999999999E-2</v>
      </c>
      <c r="AP62" s="228">
        <v>401.57</v>
      </c>
      <c r="AQ62" s="228">
        <v>403.34</v>
      </c>
      <c r="AR62" s="228">
        <v>0</v>
      </c>
      <c r="AS62" s="228">
        <v>202</v>
      </c>
      <c r="AT62" s="228">
        <v>248</v>
      </c>
      <c r="AU62" s="228">
        <v>-47</v>
      </c>
      <c r="AV62" s="229">
        <v>-0.18859999999999999</v>
      </c>
      <c r="AW62" s="228">
        <v>186</v>
      </c>
      <c r="AX62" s="228">
        <v>235</v>
      </c>
      <c r="AY62" s="228">
        <v>-50</v>
      </c>
      <c r="AZ62" s="229">
        <v>-0.2114</v>
      </c>
      <c r="BA62" s="228">
        <v>14</v>
      </c>
      <c r="BB62" s="228">
        <v>12</v>
      </c>
      <c r="BC62" s="228">
        <v>1</v>
      </c>
      <c r="BD62" s="229">
        <v>0.1105</v>
      </c>
      <c r="BE62" s="228">
        <v>2</v>
      </c>
      <c r="BF62" s="228">
        <v>1</v>
      </c>
      <c r="BG62" s="228">
        <v>2</v>
      </c>
      <c r="BH62" s="229">
        <v>2.625</v>
      </c>
      <c r="BI62" s="228">
        <v>529</v>
      </c>
      <c r="BJ62" s="228">
        <v>532</v>
      </c>
      <c r="BK62" s="228">
        <v>-3</v>
      </c>
      <c r="BL62" s="229">
        <v>-5.3E-3</v>
      </c>
      <c r="BM62" s="228">
        <v>475</v>
      </c>
      <c r="BN62" s="228">
        <v>473</v>
      </c>
      <c r="BO62" s="228">
        <v>2</v>
      </c>
      <c r="BP62" s="229">
        <v>3.2000000000000002E-3</v>
      </c>
      <c r="BQ62" s="230">
        <v>1205</v>
      </c>
      <c r="BR62" s="230">
        <v>1254</v>
      </c>
      <c r="BS62" s="228">
        <v>-48</v>
      </c>
      <c r="BT62" s="229">
        <v>-3.8399999999999997E-2</v>
      </c>
      <c r="BU62" s="230">
        <v>1896213</v>
      </c>
      <c r="BV62" s="230">
        <v>1776369</v>
      </c>
      <c r="BW62" s="230">
        <v>119844</v>
      </c>
      <c r="BX62" s="229">
        <v>6.7500000000000004E-2</v>
      </c>
      <c r="BY62" s="230">
        <v>1199</v>
      </c>
      <c r="BZ62" s="230">
        <v>1204</v>
      </c>
      <c r="CA62" s="228">
        <v>-5</v>
      </c>
      <c r="CB62" s="229">
        <v>-4.4999999999999997E-3</v>
      </c>
      <c r="CC62" s="230">
        <v>1147</v>
      </c>
      <c r="CD62" s="230">
        <v>1153</v>
      </c>
      <c r="CE62" s="228">
        <v>-6</v>
      </c>
      <c r="CF62" s="229">
        <v>-5.4999999999999997E-3</v>
      </c>
      <c r="CG62" s="228">
        <v>50</v>
      </c>
      <c r="CH62" s="228">
        <v>49</v>
      </c>
      <c r="CI62" s="228">
        <v>1</v>
      </c>
      <c r="CJ62" s="229">
        <v>1.47E-2</v>
      </c>
      <c r="CK62" s="228">
        <v>2</v>
      </c>
      <c r="CL62" s="228">
        <v>2</v>
      </c>
      <c r="CM62" s="228">
        <v>0</v>
      </c>
      <c r="CN62" s="229">
        <v>0.14810000000000001</v>
      </c>
      <c r="CO62" s="228">
        <v>438</v>
      </c>
      <c r="CP62" s="228">
        <v>426</v>
      </c>
      <c r="CQ62" s="228">
        <v>12</v>
      </c>
      <c r="CR62" s="229">
        <v>2.76E-2</v>
      </c>
      <c r="CS62" s="228">
        <v>366</v>
      </c>
      <c r="CT62" s="228">
        <v>326</v>
      </c>
      <c r="CU62" s="228">
        <v>41</v>
      </c>
      <c r="CV62" s="229">
        <v>0.1244</v>
      </c>
      <c r="CW62" s="230">
        <v>2003</v>
      </c>
      <c r="CX62" s="230">
        <v>1956</v>
      </c>
      <c r="CY62" s="228">
        <v>47</v>
      </c>
      <c r="CZ62" s="229">
        <v>2.4E-2</v>
      </c>
      <c r="DA62" s="228">
        <v>24.13</v>
      </c>
      <c r="DB62" s="228">
        <v>24.78</v>
      </c>
      <c r="DC62" s="228">
        <v>-0.65</v>
      </c>
      <c r="DD62" s="228">
        <v>-0.65</v>
      </c>
      <c r="DE62" s="228">
        <v>35.93</v>
      </c>
      <c r="DF62" s="228">
        <v>35.99</v>
      </c>
      <c r="DG62" s="228">
        <v>-11.8</v>
      </c>
      <c r="DH62" s="228">
        <v>-0.06</v>
      </c>
      <c r="DI62" s="228">
        <v>24</v>
      </c>
      <c r="DJ62" s="228">
        <v>24.61</v>
      </c>
      <c r="DK62" s="228">
        <v>-0.61</v>
      </c>
      <c r="DL62" s="228">
        <v>-0.61</v>
      </c>
      <c r="DM62" s="228">
        <v>24.28</v>
      </c>
      <c r="DN62" s="228">
        <v>24.97</v>
      </c>
      <c r="DO62" s="228">
        <v>-0.69</v>
      </c>
      <c r="DP62" s="228">
        <v>-0.69</v>
      </c>
      <c r="DQ62" s="228">
        <v>0.84</v>
      </c>
      <c r="DR62" s="228">
        <v>0.76</v>
      </c>
      <c r="DS62" s="228">
        <v>0.08</v>
      </c>
      <c r="DT62" s="229">
        <v>0.1053</v>
      </c>
      <c r="DU62" s="228">
        <v>400</v>
      </c>
      <c r="DV62" s="228">
        <v>400</v>
      </c>
      <c r="DW62" s="228">
        <v>0.9</v>
      </c>
      <c r="DX62" s="228">
        <v>0.89</v>
      </c>
      <c r="DY62" s="228">
        <v>0.01</v>
      </c>
      <c r="DZ62" s="229">
        <v>1.12E-2</v>
      </c>
      <c r="EA62" s="229">
        <v>4.3700000000000003E-2</v>
      </c>
      <c r="EB62" s="230">
        <v>1276200</v>
      </c>
      <c r="EC62" s="229">
        <v>5.3E-3</v>
      </c>
      <c r="ED62" s="229">
        <v>4.3700000000000003E-2</v>
      </c>
      <c r="EE62" s="228">
        <v>1.77</v>
      </c>
      <c r="EF62" s="229">
        <v>4.4000000000000003E-3</v>
      </c>
      <c r="EG62" s="230">
        <v>655723</v>
      </c>
      <c r="EH62" s="230">
        <v>799118</v>
      </c>
      <c r="EI62" s="229">
        <v>-0.1794</v>
      </c>
      <c r="EJ62" s="229">
        <v>0.3458</v>
      </c>
      <c r="EK62" s="228">
        <v>548.16999999999996</v>
      </c>
      <c r="EL62" s="228">
        <v>470.93</v>
      </c>
      <c r="EM62" s="228">
        <v>200.95</v>
      </c>
      <c r="EN62" s="228">
        <v>25.19</v>
      </c>
      <c r="EO62" s="231">
        <v>1220.05</v>
      </c>
      <c r="EP62" s="231">
        <v>1261.3</v>
      </c>
      <c r="EQ62" s="228">
        <v>-41.25</v>
      </c>
      <c r="ER62" s="229">
        <v>-3.27E-2</v>
      </c>
      <c r="ES62" s="228">
        <v>452.19</v>
      </c>
      <c r="ET62" s="228">
        <v>358.35</v>
      </c>
      <c r="EU62" s="231">
        <v>1199.22</v>
      </c>
      <c r="EV62" s="231">
        <v>68856800</v>
      </c>
      <c r="EW62" s="231">
        <v>2009.76</v>
      </c>
      <c r="EX62" s="231">
        <v>1950.61</v>
      </c>
      <c r="EY62" s="228">
        <v>59.15</v>
      </c>
      <c r="EZ62" s="229">
        <v>3.0300000000000001E-2</v>
      </c>
      <c r="FA62" s="229">
        <v>0.72209999999999996</v>
      </c>
      <c r="FB62" s="227" t="s">
        <v>556</v>
      </c>
      <c r="FC62">
        <f t="shared" si="0"/>
        <v>52</v>
      </c>
    </row>
    <row r="63" spans="1:159" ht="17.25" thickBot="1" x14ac:dyDescent="0.3">
      <c r="A63" s="226">
        <v>45940</v>
      </c>
      <c r="B63" s="227" t="s">
        <v>172</v>
      </c>
      <c r="C63" s="227" t="s">
        <v>212</v>
      </c>
      <c r="D63" s="228">
        <v>5000</v>
      </c>
      <c r="E63" s="228">
        <v>18</v>
      </c>
      <c r="F63" s="228">
        <v>209.3</v>
      </c>
      <c r="G63" s="228">
        <v>207.92</v>
      </c>
      <c r="H63" s="228">
        <v>1.38</v>
      </c>
      <c r="I63" s="229">
        <v>6.6E-3</v>
      </c>
      <c r="J63" s="228">
        <v>208.3</v>
      </c>
      <c r="K63" s="228">
        <v>207.34</v>
      </c>
      <c r="L63" s="228">
        <v>0.96</v>
      </c>
      <c r="M63" s="229">
        <v>4.5999999999999999E-3</v>
      </c>
      <c r="N63" s="228">
        <v>209.3</v>
      </c>
      <c r="O63" s="228">
        <v>207.92</v>
      </c>
      <c r="P63" s="228">
        <v>1.38</v>
      </c>
      <c r="Q63" s="229">
        <v>6.6E-3</v>
      </c>
      <c r="R63" s="228">
        <v>210.33</v>
      </c>
      <c r="S63" s="228">
        <v>208.76</v>
      </c>
      <c r="T63" s="228">
        <v>1.57</v>
      </c>
      <c r="U63" s="229">
        <v>7.4999999999999997E-3</v>
      </c>
      <c r="V63" s="228">
        <v>211.37</v>
      </c>
      <c r="W63" s="228">
        <v>209.68</v>
      </c>
      <c r="X63" s="228">
        <v>1.69</v>
      </c>
      <c r="Y63" s="229">
        <v>8.0999999999999996E-3</v>
      </c>
      <c r="Z63" s="228">
        <v>1</v>
      </c>
      <c r="AA63" s="228">
        <v>0.57999999999999996</v>
      </c>
      <c r="AB63" s="228">
        <v>0.42</v>
      </c>
      <c r="AC63" s="229">
        <v>4.7999999999999996E-3</v>
      </c>
      <c r="AD63" s="228">
        <v>1</v>
      </c>
      <c r="AE63" s="228">
        <v>0.57999999999999996</v>
      </c>
      <c r="AF63" s="228">
        <v>0.42</v>
      </c>
      <c r="AG63" s="229">
        <v>4.7999999999999996E-3</v>
      </c>
      <c r="AH63" s="228">
        <v>2.0299999999999998</v>
      </c>
      <c r="AI63" s="228">
        <v>1.42</v>
      </c>
      <c r="AJ63" s="228">
        <v>0.61</v>
      </c>
      <c r="AK63" s="229">
        <v>9.7000000000000003E-3</v>
      </c>
      <c r="AL63" s="228">
        <v>3.07</v>
      </c>
      <c r="AM63" s="228">
        <v>2.34</v>
      </c>
      <c r="AN63" s="228">
        <v>0.73</v>
      </c>
      <c r="AO63" s="229">
        <v>1.47E-2</v>
      </c>
      <c r="AP63" s="228">
        <v>209.6</v>
      </c>
      <c r="AQ63" s="228">
        <v>210.57</v>
      </c>
      <c r="AR63" s="228">
        <v>0</v>
      </c>
      <c r="AS63" s="228">
        <v>674</v>
      </c>
      <c r="AT63" s="228">
        <v>796</v>
      </c>
      <c r="AU63" s="228">
        <v>-123</v>
      </c>
      <c r="AV63" s="229">
        <v>-0.15390000000000001</v>
      </c>
      <c r="AW63" s="228">
        <v>623</v>
      </c>
      <c r="AX63" s="228">
        <v>748</v>
      </c>
      <c r="AY63" s="228">
        <v>-124</v>
      </c>
      <c r="AZ63" s="229">
        <v>-0.1663</v>
      </c>
      <c r="BA63" s="228">
        <v>45</v>
      </c>
      <c r="BB63" s="228">
        <v>42</v>
      </c>
      <c r="BC63" s="228">
        <v>2</v>
      </c>
      <c r="BD63" s="229">
        <v>4.9299999999999997E-2</v>
      </c>
      <c r="BE63" s="228">
        <v>6</v>
      </c>
      <c r="BF63" s="228">
        <v>6</v>
      </c>
      <c r="BG63" s="228">
        <v>0</v>
      </c>
      <c r="BH63" s="229">
        <v>-0.05</v>
      </c>
      <c r="BI63" s="230">
        <v>2063</v>
      </c>
      <c r="BJ63" s="230">
        <v>2939</v>
      </c>
      <c r="BK63" s="228">
        <v>-876</v>
      </c>
      <c r="BL63" s="229">
        <v>-0.29799999999999999</v>
      </c>
      <c r="BM63" s="230">
        <v>1324</v>
      </c>
      <c r="BN63" s="230">
        <v>1315</v>
      </c>
      <c r="BO63" s="228">
        <v>8</v>
      </c>
      <c r="BP63" s="229">
        <v>6.4000000000000003E-3</v>
      </c>
      <c r="BQ63" s="230">
        <v>4061</v>
      </c>
      <c r="BR63" s="230">
        <v>5051</v>
      </c>
      <c r="BS63" s="228">
        <v>-990</v>
      </c>
      <c r="BT63" s="229">
        <v>-0.19600000000000001</v>
      </c>
      <c r="BU63" s="230">
        <v>5443306</v>
      </c>
      <c r="BV63" s="230">
        <v>13369480</v>
      </c>
      <c r="BW63" s="230">
        <v>-7926174</v>
      </c>
      <c r="BX63" s="229">
        <v>-0.59289999999999998</v>
      </c>
      <c r="BY63" s="230">
        <v>1866</v>
      </c>
      <c r="BZ63" s="230">
        <v>1819</v>
      </c>
      <c r="CA63" s="228">
        <v>47</v>
      </c>
      <c r="CB63" s="229">
        <v>2.5899999999999999E-2</v>
      </c>
      <c r="CC63" s="230">
        <v>1792</v>
      </c>
      <c r="CD63" s="230">
        <v>1755</v>
      </c>
      <c r="CE63" s="228">
        <v>37</v>
      </c>
      <c r="CF63" s="229">
        <v>2.1000000000000001E-2</v>
      </c>
      <c r="CG63" s="228">
        <v>65</v>
      </c>
      <c r="CH63" s="228">
        <v>56</v>
      </c>
      <c r="CI63" s="228">
        <v>9</v>
      </c>
      <c r="CJ63" s="229">
        <v>0.1673</v>
      </c>
      <c r="CK63" s="228">
        <v>9</v>
      </c>
      <c r="CL63" s="228">
        <v>8</v>
      </c>
      <c r="CM63" s="228">
        <v>1</v>
      </c>
      <c r="CN63" s="229">
        <v>0.1125</v>
      </c>
      <c r="CO63" s="228">
        <v>944</v>
      </c>
      <c r="CP63" s="228">
        <v>948</v>
      </c>
      <c r="CQ63" s="228">
        <v>-4</v>
      </c>
      <c r="CR63" s="229">
        <v>-4.0000000000000001E-3</v>
      </c>
      <c r="CS63" s="228">
        <v>783</v>
      </c>
      <c r="CT63" s="228">
        <v>772</v>
      </c>
      <c r="CU63" s="228">
        <v>10</v>
      </c>
      <c r="CV63" s="229">
        <v>1.34E-2</v>
      </c>
      <c r="CW63" s="230">
        <v>3593</v>
      </c>
      <c r="CX63" s="230">
        <v>3539</v>
      </c>
      <c r="CY63" s="228">
        <v>54</v>
      </c>
      <c r="CZ63" s="229">
        <v>1.52E-2</v>
      </c>
      <c r="DA63" s="228">
        <v>24.77</v>
      </c>
      <c r="DB63" s="228">
        <v>25.52</v>
      </c>
      <c r="DC63" s="228">
        <v>-0.75</v>
      </c>
      <c r="DD63" s="228">
        <v>-0.75</v>
      </c>
      <c r="DE63" s="228">
        <v>28.71</v>
      </c>
      <c r="DF63" s="228">
        <v>28.77</v>
      </c>
      <c r="DG63" s="228">
        <v>-3.94</v>
      </c>
      <c r="DH63" s="228">
        <v>-0.06</v>
      </c>
      <c r="DI63" s="228">
        <v>24.37</v>
      </c>
      <c r="DJ63" s="228">
        <v>25.14</v>
      </c>
      <c r="DK63" s="228">
        <v>-0.77</v>
      </c>
      <c r="DL63" s="228">
        <v>-0.77</v>
      </c>
      <c r="DM63" s="228">
        <v>25.38</v>
      </c>
      <c r="DN63" s="228">
        <v>26.36</v>
      </c>
      <c r="DO63" s="228">
        <v>-0.98</v>
      </c>
      <c r="DP63" s="228">
        <v>-0.98</v>
      </c>
      <c r="DQ63" s="228">
        <v>0.83</v>
      </c>
      <c r="DR63" s="228">
        <v>0.81</v>
      </c>
      <c r="DS63" s="228">
        <v>0.02</v>
      </c>
      <c r="DT63" s="229">
        <v>2.47E-2</v>
      </c>
      <c r="DU63" s="228">
        <v>210</v>
      </c>
      <c r="DV63" s="228">
        <v>200</v>
      </c>
      <c r="DW63" s="228">
        <v>0.64</v>
      </c>
      <c r="DX63" s="228">
        <v>0.45</v>
      </c>
      <c r="DY63" s="228">
        <v>0.19</v>
      </c>
      <c r="DZ63" s="229">
        <v>0.42220000000000002</v>
      </c>
      <c r="EA63" s="229">
        <v>3.9800000000000002E-2</v>
      </c>
      <c r="EB63" s="230">
        <v>3060000</v>
      </c>
      <c r="EC63" s="229">
        <v>4.8999999999999998E-3</v>
      </c>
      <c r="ED63" s="229">
        <v>3.9800000000000002E-2</v>
      </c>
      <c r="EE63" s="228">
        <v>0.97</v>
      </c>
      <c r="EF63" s="229">
        <v>4.5999999999999999E-3</v>
      </c>
      <c r="EG63" s="230">
        <v>1745257</v>
      </c>
      <c r="EH63" s="230">
        <v>5696979</v>
      </c>
      <c r="EI63" s="229">
        <v>-0.69369999999999998</v>
      </c>
      <c r="EJ63" s="229">
        <v>0.3206</v>
      </c>
      <c r="EK63" s="231">
        <v>2131.09</v>
      </c>
      <c r="EL63" s="231">
        <v>1312.05</v>
      </c>
      <c r="EM63" s="228">
        <v>675.08</v>
      </c>
      <c r="EN63" s="228">
        <v>58.31</v>
      </c>
      <c r="EO63" s="231">
        <v>4118.21</v>
      </c>
      <c r="EP63" s="231">
        <v>5069.16</v>
      </c>
      <c r="EQ63" s="228">
        <v>-950.94</v>
      </c>
      <c r="ER63" s="229">
        <v>-0.18759999999999999</v>
      </c>
      <c r="ES63" s="228">
        <v>941.26</v>
      </c>
      <c r="ET63" s="228">
        <v>737.95</v>
      </c>
      <c r="EU63" s="231">
        <v>1866.43</v>
      </c>
      <c r="EV63" s="231">
        <v>338654719</v>
      </c>
      <c r="EW63" s="231">
        <v>3545.64</v>
      </c>
      <c r="EX63" s="231">
        <v>3469.76</v>
      </c>
      <c r="EY63" s="228">
        <v>75.88</v>
      </c>
      <c r="EZ63" s="229">
        <v>2.1899999999999999E-2</v>
      </c>
      <c r="FA63" s="229">
        <v>0.50690000000000002</v>
      </c>
      <c r="FB63" s="227" t="s">
        <v>555</v>
      </c>
      <c r="FC63">
        <f t="shared" si="0"/>
        <v>74</v>
      </c>
    </row>
    <row r="64" spans="1:159" ht="17.25" thickBot="1" x14ac:dyDescent="0.3">
      <c r="A64" s="226">
        <v>45940</v>
      </c>
      <c r="B64" s="227" t="s">
        <v>181</v>
      </c>
      <c r="C64" s="227" t="s">
        <v>480</v>
      </c>
      <c r="D64" s="228">
        <v>65</v>
      </c>
      <c r="E64" s="228">
        <v>18</v>
      </c>
      <c r="F64" s="231">
        <v>26965.599999999999</v>
      </c>
      <c r="G64" s="231">
        <v>26833.5</v>
      </c>
      <c r="H64" s="228">
        <v>132.1</v>
      </c>
      <c r="I64" s="229">
        <v>4.8999999999999998E-3</v>
      </c>
      <c r="J64" s="231">
        <v>26842.25</v>
      </c>
      <c r="K64" s="231">
        <v>26724.3</v>
      </c>
      <c r="L64" s="228">
        <v>117.95</v>
      </c>
      <c r="M64" s="229">
        <v>4.4000000000000003E-3</v>
      </c>
      <c r="N64" s="231">
        <v>26965.599999999999</v>
      </c>
      <c r="O64" s="231">
        <v>26833.5</v>
      </c>
      <c r="P64" s="228">
        <v>132.1</v>
      </c>
      <c r="Q64" s="229">
        <v>4.8999999999999998E-3</v>
      </c>
      <c r="R64" s="231">
        <v>27106.400000000001</v>
      </c>
      <c r="S64" s="231">
        <v>26973.3</v>
      </c>
      <c r="T64" s="228">
        <v>133.1</v>
      </c>
      <c r="U64" s="229">
        <v>4.8999999999999998E-3</v>
      </c>
      <c r="V64" s="228">
        <v>0</v>
      </c>
      <c r="W64" s="228">
        <v>0</v>
      </c>
      <c r="X64" s="228">
        <v>0</v>
      </c>
      <c r="Y64" s="229">
        <v>0</v>
      </c>
      <c r="Z64" s="228">
        <v>123.35</v>
      </c>
      <c r="AA64" s="228">
        <v>109.2</v>
      </c>
      <c r="AB64" s="228">
        <v>14.15</v>
      </c>
      <c r="AC64" s="229">
        <v>4.5999999999999999E-3</v>
      </c>
      <c r="AD64" s="228">
        <v>123.35</v>
      </c>
      <c r="AE64" s="228">
        <v>109.2</v>
      </c>
      <c r="AF64" s="228">
        <v>14.15</v>
      </c>
      <c r="AG64" s="229">
        <v>4.5999999999999999E-3</v>
      </c>
      <c r="AH64" s="228">
        <v>264.14999999999998</v>
      </c>
      <c r="AI64" s="228">
        <v>249</v>
      </c>
      <c r="AJ64" s="228">
        <v>15.15</v>
      </c>
      <c r="AK64" s="229">
        <v>9.7999999999999997E-3</v>
      </c>
      <c r="AL64" s="228">
        <v>0</v>
      </c>
      <c r="AM64" s="228">
        <v>0</v>
      </c>
      <c r="AN64" s="228">
        <v>0</v>
      </c>
      <c r="AO64" s="229">
        <v>0</v>
      </c>
      <c r="AP64" s="231">
        <v>26991.94</v>
      </c>
      <c r="AQ64" s="231">
        <v>27133.52</v>
      </c>
      <c r="AR64" s="228">
        <v>0</v>
      </c>
      <c r="AS64" s="228">
        <v>66</v>
      </c>
      <c r="AT64" s="228">
        <v>60</v>
      </c>
      <c r="AU64" s="228">
        <v>7</v>
      </c>
      <c r="AV64" s="229">
        <v>0.1114</v>
      </c>
      <c r="AW64" s="228">
        <v>62</v>
      </c>
      <c r="AX64" s="228">
        <v>58</v>
      </c>
      <c r="AY64" s="228">
        <v>3</v>
      </c>
      <c r="AZ64" s="229">
        <v>5.7200000000000001E-2</v>
      </c>
      <c r="BA64" s="228">
        <v>5</v>
      </c>
      <c r="BB64" s="228">
        <v>2</v>
      </c>
      <c r="BC64" s="228">
        <v>3</v>
      </c>
      <c r="BD64" s="229">
        <v>2.1111</v>
      </c>
      <c r="BE64" s="228">
        <v>0</v>
      </c>
      <c r="BF64" s="228">
        <v>0</v>
      </c>
      <c r="BG64" s="228">
        <v>0</v>
      </c>
      <c r="BH64" s="229">
        <v>0</v>
      </c>
      <c r="BI64" s="230">
        <v>6878</v>
      </c>
      <c r="BJ64" s="230">
        <v>4588</v>
      </c>
      <c r="BK64" s="230">
        <v>2290</v>
      </c>
      <c r="BL64" s="229">
        <v>0.49919999999999998</v>
      </c>
      <c r="BM64" s="230">
        <v>3593</v>
      </c>
      <c r="BN64" s="230">
        <v>2872</v>
      </c>
      <c r="BO64" s="228">
        <v>721</v>
      </c>
      <c r="BP64" s="229">
        <v>0.25119999999999998</v>
      </c>
      <c r="BQ64" s="230">
        <v>10537</v>
      </c>
      <c r="BR64" s="230">
        <v>7519</v>
      </c>
      <c r="BS64" s="230">
        <v>3018</v>
      </c>
      <c r="BT64" s="229">
        <v>0.40139999999999998</v>
      </c>
      <c r="BU64" s="228">
        <v>0</v>
      </c>
      <c r="BV64" s="228">
        <v>0</v>
      </c>
      <c r="BW64" s="228">
        <v>0</v>
      </c>
      <c r="BX64" s="229">
        <v>0</v>
      </c>
      <c r="BY64" s="228">
        <v>93</v>
      </c>
      <c r="BZ64" s="228">
        <v>96</v>
      </c>
      <c r="CA64" s="228">
        <v>-3</v>
      </c>
      <c r="CB64" s="229">
        <v>-2.7400000000000001E-2</v>
      </c>
      <c r="CC64" s="228">
        <v>89</v>
      </c>
      <c r="CD64" s="228">
        <v>92</v>
      </c>
      <c r="CE64" s="228">
        <v>-3</v>
      </c>
      <c r="CF64" s="229">
        <v>-3.2300000000000002E-2</v>
      </c>
      <c r="CG64" s="228">
        <v>4</v>
      </c>
      <c r="CH64" s="228">
        <v>4</v>
      </c>
      <c r="CI64" s="228">
        <v>0</v>
      </c>
      <c r="CJ64" s="229">
        <v>9.0899999999999995E-2</v>
      </c>
      <c r="CK64" s="228">
        <v>0</v>
      </c>
      <c r="CL64" s="228">
        <v>0</v>
      </c>
      <c r="CM64" s="228">
        <v>0</v>
      </c>
      <c r="CN64" s="229">
        <v>0</v>
      </c>
      <c r="CO64" s="230">
        <v>3114</v>
      </c>
      <c r="CP64" s="230">
        <v>3053</v>
      </c>
      <c r="CQ64" s="228">
        <v>61</v>
      </c>
      <c r="CR64" s="229">
        <v>1.9900000000000001E-2</v>
      </c>
      <c r="CS64" s="230">
        <v>2089</v>
      </c>
      <c r="CT64" s="230">
        <v>1823</v>
      </c>
      <c r="CU64" s="228">
        <v>266</v>
      </c>
      <c r="CV64" s="229">
        <v>0.14610000000000001</v>
      </c>
      <c r="CW64" s="230">
        <v>5296</v>
      </c>
      <c r="CX64" s="230">
        <v>4972</v>
      </c>
      <c r="CY64" s="228">
        <v>324</v>
      </c>
      <c r="CZ64" s="229">
        <v>6.5199999999999994E-2</v>
      </c>
      <c r="DA64" s="228">
        <v>11.38</v>
      </c>
      <c r="DB64" s="228">
        <v>11.29</v>
      </c>
      <c r="DC64" s="228">
        <v>0.09</v>
      </c>
      <c r="DD64" s="228">
        <v>0.09</v>
      </c>
      <c r="DE64" s="228">
        <v>17.77</v>
      </c>
      <c r="DF64" s="228">
        <v>17.809999999999999</v>
      </c>
      <c r="DG64" s="228">
        <v>-6.39</v>
      </c>
      <c r="DH64" s="228">
        <v>-0.04</v>
      </c>
      <c r="DI64" s="228">
        <v>11.07</v>
      </c>
      <c r="DJ64" s="228">
        <v>10.94</v>
      </c>
      <c r="DK64" s="228">
        <v>0.13</v>
      </c>
      <c r="DL64" s="228">
        <v>0.13</v>
      </c>
      <c r="DM64" s="228">
        <v>11.97</v>
      </c>
      <c r="DN64" s="228">
        <v>11.86</v>
      </c>
      <c r="DO64" s="228">
        <v>0.11</v>
      </c>
      <c r="DP64" s="228">
        <v>0.11</v>
      </c>
      <c r="DQ64" s="228">
        <v>0.67</v>
      </c>
      <c r="DR64" s="228">
        <v>0.6</v>
      </c>
      <c r="DS64" s="228">
        <v>7.0000000000000007E-2</v>
      </c>
      <c r="DT64" s="229">
        <v>0.1167</v>
      </c>
      <c r="DU64" s="231">
        <v>27300</v>
      </c>
      <c r="DV64" s="231">
        <v>26900</v>
      </c>
      <c r="DW64" s="228">
        <v>0.52</v>
      </c>
      <c r="DX64" s="228">
        <v>0.63</v>
      </c>
      <c r="DY64" s="228">
        <v>-0.11</v>
      </c>
      <c r="DZ64" s="229">
        <v>-0.17460000000000001</v>
      </c>
      <c r="EA64" s="229">
        <v>4.4999999999999998E-2</v>
      </c>
      <c r="EB64" s="230">
        <v>1430</v>
      </c>
      <c r="EC64" s="229">
        <v>5.1999999999999998E-3</v>
      </c>
      <c r="ED64" s="229">
        <v>4.4999999999999998E-2</v>
      </c>
      <c r="EE64" s="228">
        <v>141.58000000000001</v>
      </c>
      <c r="EF64" s="229">
        <v>5.1999999999999998E-3</v>
      </c>
      <c r="EG64" s="228">
        <v>0</v>
      </c>
      <c r="EH64" s="228">
        <v>0</v>
      </c>
      <c r="EI64" s="229">
        <v>0</v>
      </c>
      <c r="EJ64" s="229">
        <v>0</v>
      </c>
      <c r="EK64" s="231">
        <v>6997.02</v>
      </c>
      <c r="EL64" s="231">
        <v>3555.44</v>
      </c>
      <c r="EM64" s="228">
        <v>66.52</v>
      </c>
      <c r="EN64" s="228">
        <v>0</v>
      </c>
      <c r="EO64" s="231">
        <v>10618.97</v>
      </c>
      <c r="EP64" s="231">
        <v>7527.69</v>
      </c>
      <c r="EQ64" s="231">
        <v>3091.28</v>
      </c>
      <c r="ER64" s="229">
        <v>0.41070000000000001</v>
      </c>
      <c r="ES64" s="231">
        <v>3155.79</v>
      </c>
      <c r="ET64" s="231">
        <v>2037.66</v>
      </c>
      <c r="EU64" s="228">
        <v>93.44</v>
      </c>
      <c r="EV64" s="228">
        <v>0</v>
      </c>
      <c r="EW64" s="231">
        <v>5286.9</v>
      </c>
      <c r="EX64" s="231">
        <v>4955.26</v>
      </c>
      <c r="EY64" s="228">
        <v>331.64</v>
      </c>
      <c r="EZ64" s="229">
        <v>6.6900000000000001E-2</v>
      </c>
      <c r="FA64" s="229">
        <v>0</v>
      </c>
      <c r="FB64" s="227" t="s">
        <v>556</v>
      </c>
      <c r="FC64">
        <f t="shared" si="0"/>
        <v>4</v>
      </c>
    </row>
    <row r="65" spans="1:159" ht="17.25" thickBot="1" x14ac:dyDescent="0.3">
      <c r="A65" s="226">
        <v>45940</v>
      </c>
      <c r="B65" s="227" t="s">
        <v>170</v>
      </c>
      <c r="C65" s="227" t="s">
        <v>679</v>
      </c>
      <c r="D65" s="228">
        <v>775</v>
      </c>
      <c r="E65" s="228">
        <v>18</v>
      </c>
      <c r="F65" s="231">
        <v>1066.7</v>
      </c>
      <c r="G65" s="231">
        <v>1071.8499999999999</v>
      </c>
      <c r="H65" s="228">
        <v>-5.15</v>
      </c>
      <c r="I65" s="229">
        <v>-4.7999999999999996E-3</v>
      </c>
      <c r="J65" s="231">
        <v>1060.3</v>
      </c>
      <c r="K65" s="231">
        <v>1068.8499999999999</v>
      </c>
      <c r="L65" s="228">
        <v>-8.5500000000000007</v>
      </c>
      <c r="M65" s="229">
        <v>-8.0000000000000002E-3</v>
      </c>
      <c r="N65" s="231">
        <v>1066.7</v>
      </c>
      <c r="O65" s="231">
        <v>1071.8499999999999</v>
      </c>
      <c r="P65" s="228">
        <v>-5.15</v>
      </c>
      <c r="Q65" s="229">
        <v>-4.7999999999999996E-3</v>
      </c>
      <c r="R65" s="231">
        <v>1068.8499999999999</v>
      </c>
      <c r="S65" s="231">
        <v>1072.75</v>
      </c>
      <c r="T65" s="228">
        <v>-3.9</v>
      </c>
      <c r="U65" s="229">
        <v>-3.5999999999999999E-3</v>
      </c>
      <c r="V65" s="231">
        <v>1066.95</v>
      </c>
      <c r="W65" s="231">
        <v>1070</v>
      </c>
      <c r="X65" s="228">
        <v>-3.05</v>
      </c>
      <c r="Y65" s="229">
        <v>-2.8999999999999998E-3</v>
      </c>
      <c r="Z65" s="228">
        <v>6.4</v>
      </c>
      <c r="AA65" s="228">
        <v>3</v>
      </c>
      <c r="AB65" s="228">
        <v>3.4</v>
      </c>
      <c r="AC65" s="229">
        <v>6.0000000000000001E-3</v>
      </c>
      <c r="AD65" s="228">
        <v>6.4</v>
      </c>
      <c r="AE65" s="228">
        <v>3</v>
      </c>
      <c r="AF65" s="228">
        <v>3.4</v>
      </c>
      <c r="AG65" s="229">
        <v>6.0000000000000001E-3</v>
      </c>
      <c r="AH65" s="228">
        <v>8.5500000000000007</v>
      </c>
      <c r="AI65" s="228">
        <v>3.9</v>
      </c>
      <c r="AJ65" s="228">
        <v>4.6500000000000004</v>
      </c>
      <c r="AK65" s="229">
        <v>8.0999999999999996E-3</v>
      </c>
      <c r="AL65" s="228">
        <v>6.65</v>
      </c>
      <c r="AM65" s="228">
        <v>1.1499999999999999</v>
      </c>
      <c r="AN65" s="228">
        <v>5.5</v>
      </c>
      <c r="AO65" s="229">
        <v>6.3E-3</v>
      </c>
      <c r="AP65" s="231">
        <v>1064.01</v>
      </c>
      <c r="AQ65" s="231">
        <v>1064.3499999999999</v>
      </c>
      <c r="AR65" s="228">
        <v>0</v>
      </c>
      <c r="AS65" s="228">
        <v>206</v>
      </c>
      <c r="AT65" s="228">
        <v>185</v>
      </c>
      <c r="AU65" s="228">
        <v>21</v>
      </c>
      <c r="AV65" s="229">
        <v>0.1133</v>
      </c>
      <c r="AW65" s="228">
        <v>193</v>
      </c>
      <c r="AX65" s="228">
        <v>175</v>
      </c>
      <c r="AY65" s="228">
        <v>17</v>
      </c>
      <c r="AZ65" s="229">
        <v>9.7500000000000003E-2</v>
      </c>
      <c r="BA65" s="228">
        <v>13</v>
      </c>
      <c r="BB65" s="228">
        <v>9</v>
      </c>
      <c r="BC65" s="228">
        <v>3</v>
      </c>
      <c r="BD65" s="229">
        <v>0.38179999999999997</v>
      </c>
      <c r="BE65" s="228">
        <v>1</v>
      </c>
      <c r="BF65" s="228">
        <v>1</v>
      </c>
      <c r="BG65" s="228">
        <v>0</v>
      </c>
      <c r="BH65" s="229">
        <v>0.5</v>
      </c>
      <c r="BI65" s="228">
        <v>478</v>
      </c>
      <c r="BJ65" s="228">
        <v>871</v>
      </c>
      <c r="BK65" s="228">
        <v>-393</v>
      </c>
      <c r="BL65" s="229">
        <v>-0.4511</v>
      </c>
      <c r="BM65" s="228">
        <v>330</v>
      </c>
      <c r="BN65" s="228">
        <v>419</v>
      </c>
      <c r="BO65" s="228">
        <v>-89</v>
      </c>
      <c r="BP65" s="229">
        <v>-0.2135</v>
      </c>
      <c r="BQ65" s="230">
        <v>1014</v>
      </c>
      <c r="BR65" s="230">
        <v>1476</v>
      </c>
      <c r="BS65" s="228">
        <v>-462</v>
      </c>
      <c r="BT65" s="229">
        <v>-0.31269999999999998</v>
      </c>
      <c r="BU65" s="230">
        <v>2341792</v>
      </c>
      <c r="BV65" s="230">
        <v>2296569</v>
      </c>
      <c r="BW65" s="230">
        <v>45223</v>
      </c>
      <c r="BX65" s="229">
        <v>1.9699999999999999E-2</v>
      </c>
      <c r="BY65" s="228">
        <v>950</v>
      </c>
      <c r="BZ65" s="228">
        <v>938</v>
      </c>
      <c r="CA65" s="228">
        <v>12</v>
      </c>
      <c r="CB65" s="229">
        <v>1.23E-2</v>
      </c>
      <c r="CC65" s="228">
        <v>911</v>
      </c>
      <c r="CD65" s="228">
        <v>901</v>
      </c>
      <c r="CE65" s="228">
        <v>10</v>
      </c>
      <c r="CF65" s="229">
        <v>1.0699999999999999E-2</v>
      </c>
      <c r="CG65" s="228">
        <v>37</v>
      </c>
      <c r="CH65" s="228">
        <v>35</v>
      </c>
      <c r="CI65" s="228">
        <v>1</v>
      </c>
      <c r="CJ65" s="229">
        <v>3.7600000000000001E-2</v>
      </c>
      <c r="CK65" s="228">
        <v>3</v>
      </c>
      <c r="CL65" s="228">
        <v>2</v>
      </c>
      <c r="CM65" s="228">
        <v>1</v>
      </c>
      <c r="CN65" s="229">
        <v>0.29170000000000001</v>
      </c>
      <c r="CO65" s="228">
        <v>361</v>
      </c>
      <c r="CP65" s="228">
        <v>378</v>
      </c>
      <c r="CQ65" s="228">
        <v>-18</v>
      </c>
      <c r="CR65" s="229">
        <v>-4.6399999999999997E-2</v>
      </c>
      <c r="CS65" s="228">
        <v>307</v>
      </c>
      <c r="CT65" s="228">
        <v>322</v>
      </c>
      <c r="CU65" s="228">
        <v>-14</v>
      </c>
      <c r="CV65" s="229">
        <v>-4.4200000000000003E-2</v>
      </c>
      <c r="CW65" s="230">
        <v>1618</v>
      </c>
      <c r="CX65" s="230">
        <v>1638</v>
      </c>
      <c r="CY65" s="228">
        <v>-20</v>
      </c>
      <c r="CZ65" s="229">
        <v>-1.23E-2</v>
      </c>
      <c r="DA65" s="228">
        <v>25.09</v>
      </c>
      <c r="DB65" s="228">
        <v>26.07</v>
      </c>
      <c r="DC65" s="228">
        <v>-0.98</v>
      </c>
      <c r="DD65" s="228">
        <v>-0.98</v>
      </c>
      <c r="DE65" s="228">
        <v>36.909999999999997</v>
      </c>
      <c r="DF65" s="228">
        <v>36.979999999999997</v>
      </c>
      <c r="DG65" s="228">
        <v>-11.82</v>
      </c>
      <c r="DH65" s="228">
        <v>-7.0000000000000007E-2</v>
      </c>
      <c r="DI65" s="228">
        <v>24.51</v>
      </c>
      <c r="DJ65" s="228">
        <v>25.38</v>
      </c>
      <c r="DK65" s="228">
        <v>-0.87</v>
      </c>
      <c r="DL65" s="228">
        <v>-0.87</v>
      </c>
      <c r="DM65" s="228">
        <v>25.93</v>
      </c>
      <c r="DN65" s="228">
        <v>27.51</v>
      </c>
      <c r="DO65" s="228">
        <v>-1.58</v>
      </c>
      <c r="DP65" s="228">
        <v>-1.58</v>
      </c>
      <c r="DQ65" s="228">
        <v>0.85</v>
      </c>
      <c r="DR65" s="228">
        <v>0.85</v>
      </c>
      <c r="DS65" s="228">
        <v>0</v>
      </c>
      <c r="DT65" s="229">
        <v>0</v>
      </c>
      <c r="DU65" s="231">
        <v>1100</v>
      </c>
      <c r="DV65" s="231">
        <v>1000</v>
      </c>
      <c r="DW65" s="228">
        <v>0.69</v>
      </c>
      <c r="DX65" s="228">
        <v>0.48</v>
      </c>
      <c r="DY65" s="228">
        <v>0.21</v>
      </c>
      <c r="DZ65" s="229">
        <v>0.4375</v>
      </c>
      <c r="EA65" s="229">
        <v>4.1200000000000001E-2</v>
      </c>
      <c r="EB65" s="230">
        <v>348750</v>
      </c>
      <c r="EC65" s="229">
        <v>2E-3</v>
      </c>
      <c r="ED65" s="229">
        <v>4.1200000000000001E-2</v>
      </c>
      <c r="EE65" s="228">
        <v>0.34</v>
      </c>
      <c r="EF65" s="229">
        <v>2.9999999999999997E-4</v>
      </c>
      <c r="EG65" s="230">
        <v>1534743</v>
      </c>
      <c r="EH65" s="230">
        <v>1311932</v>
      </c>
      <c r="EI65" s="229">
        <v>0.16980000000000001</v>
      </c>
      <c r="EJ65" s="229">
        <v>0.65539999999999998</v>
      </c>
      <c r="EK65" s="228">
        <v>495.27</v>
      </c>
      <c r="EL65" s="228">
        <v>322.68</v>
      </c>
      <c r="EM65" s="228">
        <v>205.83</v>
      </c>
      <c r="EN65" s="228">
        <v>43.28</v>
      </c>
      <c r="EO65" s="231">
        <v>1023.78</v>
      </c>
      <c r="EP65" s="231">
        <v>1499.87</v>
      </c>
      <c r="EQ65" s="228">
        <v>-476.09</v>
      </c>
      <c r="ER65" s="229">
        <v>-0.31740000000000002</v>
      </c>
      <c r="ES65" s="228">
        <v>362.56</v>
      </c>
      <c r="ET65" s="228">
        <v>287.19</v>
      </c>
      <c r="EU65" s="228">
        <v>950.11</v>
      </c>
      <c r="EV65" s="231">
        <v>62490435</v>
      </c>
      <c r="EW65" s="231">
        <v>1599.85</v>
      </c>
      <c r="EX65" s="231">
        <v>1623.05</v>
      </c>
      <c r="EY65" s="228">
        <v>-23.2</v>
      </c>
      <c r="EZ65" s="229">
        <v>-1.43E-2</v>
      </c>
      <c r="FA65" s="229">
        <v>0.2427</v>
      </c>
      <c r="FB65" s="227" t="s">
        <v>567</v>
      </c>
      <c r="FC65">
        <f t="shared" si="0"/>
        <v>39</v>
      </c>
    </row>
    <row r="66" spans="1:159" ht="17.25" thickBot="1" x14ac:dyDescent="0.3">
      <c r="A66" s="226">
        <v>45940</v>
      </c>
      <c r="B66" s="227" t="s">
        <v>193</v>
      </c>
      <c r="C66" s="227" t="s">
        <v>213</v>
      </c>
      <c r="D66" s="228">
        <v>3150</v>
      </c>
      <c r="E66" s="228">
        <v>18</v>
      </c>
      <c r="F66" s="228">
        <v>179.58</v>
      </c>
      <c r="G66" s="228">
        <v>178.99</v>
      </c>
      <c r="H66" s="228">
        <v>0.59</v>
      </c>
      <c r="I66" s="229">
        <v>3.3E-3</v>
      </c>
      <c r="J66" s="228">
        <v>179.21</v>
      </c>
      <c r="K66" s="228">
        <v>178.45</v>
      </c>
      <c r="L66" s="228">
        <v>0.76</v>
      </c>
      <c r="M66" s="229">
        <v>4.3E-3</v>
      </c>
      <c r="N66" s="228">
        <v>179.58</v>
      </c>
      <c r="O66" s="228">
        <v>178.99</v>
      </c>
      <c r="P66" s="228">
        <v>0.59</v>
      </c>
      <c r="Q66" s="229">
        <v>3.3E-3</v>
      </c>
      <c r="R66" s="228">
        <v>180.45</v>
      </c>
      <c r="S66" s="228">
        <v>180.01</v>
      </c>
      <c r="T66" s="228">
        <v>0.44</v>
      </c>
      <c r="U66" s="229">
        <v>2.3999999999999998E-3</v>
      </c>
      <c r="V66" s="228">
        <v>181.48</v>
      </c>
      <c r="W66" s="228">
        <v>181.02</v>
      </c>
      <c r="X66" s="228">
        <v>0.46</v>
      </c>
      <c r="Y66" s="229">
        <v>2.5000000000000001E-3</v>
      </c>
      <c r="Z66" s="228">
        <v>0.37</v>
      </c>
      <c r="AA66" s="228">
        <v>0.54</v>
      </c>
      <c r="AB66" s="228">
        <v>-0.17</v>
      </c>
      <c r="AC66" s="229">
        <v>2.0999999999999999E-3</v>
      </c>
      <c r="AD66" s="228">
        <v>0.37</v>
      </c>
      <c r="AE66" s="228">
        <v>0.54</v>
      </c>
      <c r="AF66" s="228">
        <v>-0.17</v>
      </c>
      <c r="AG66" s="229">
        <v>2.0999999999999999E-3</v>
      </c>
      <c r="AH66" s="228">
        <v>1.24</v>
      </c>
      <c r="AI66" s="228">
        <v>1.56</v>
      </c>
      <c r="AJ66" s="228">
        <v>-0.32</v>
      </c>
      <c r="AK66" s="229">
        <v>6.8999999999999999E-3</v>
      </c>
      <c r="AL66" s="228">
        <v>2.27</v>
      </c>
      <c r="AM66" s="228">
        <v>2.57</v>
      </c>
      <c r="AN66" s="228">
        <v>-0.3</v>
      </c>
      <c r="AO66" s="229">
        <v>1.2699999999999999E-2</v>
      </c>
      <c r="AP66" s="228">
        <v>180.04</v>
      </c>
      <c r="AQ66" s="228">
        <v>181.33</v>
      </c>
      <c r="AR66" s="228">
        <v>0</v>
      </c>
      <c r="AS66" s="228">
        <v>259</v>
      </c>
      <c r="AT66" s="228">
        <v>114</v>
      </c>
      <c r="AU66" s="228">
        <v>145</v>
      </c>
      <c r="AV66" s="229">
        <v>1.2668999999999999</v>
      </c>
      <c r="AW66" s="228">
        <v>229</v>
      </c>
      <c r="AX66" s="228">
        <v>107</v>
      </c>
      <c r="AY66" s="228">
        <v>122</v>
      </c>
      <c r="AZ66" s="229">
        <v>1.1395999999999999</v>
      </c>
      <c r="BA66" s="228">
        <v>26</v>
      </c>
      <c r="BB66" s="228">
        <v>5</v>
      </c>
      <c r="BC66" s="228">
        <v>20</v>
      </c>
      <c r="BD66" s="229">
        <v>3.8511000000000002</v>
      </c>
      <c r="BE66" s="228">
        <v>5</v>
      </c>
      <c r="BF66" s="228">
        <v>2</v>
      </c>
      <c r="BG66" s="228">
        <v>3</v>
      </c>
      <c r="BH66" s="229">
        <v>1.2104999999999999</v>
      </c>
      <c r="BI66" s="228">
        <v>582</v>
      </c>
      <c r="BJ66" s="228">
        <v>387</v>
      </c>
      <c r="BK66" s="228">
        <v>195</v>
      </c>
      <c r="BL66" s="229">
        <v>0.50339999999999996</v>
      </c>
      <c r="BM66" s="228">
        <v>242</v>
      </c>
      <c r="BN66" s="228">
        <v>143</v>
      </c>
      <c r="BO66" s="228">
        <v>99</v>
      </c>
      <c r="BP66" s="229">
        <v>0.69</v>
      </c>
      <c r="BQ66" s="230">
        <v>1083</v>
      </c>
      <c r="BR66" s="228">
        <v>644</v>
      </c>
      <c r="BS66" s="228">
        <v>438</v>
      </c>
      <c r="BT66" s="229">
        <v>0.6804</v>
      </c>
      <c r="BU66" s="230">
        <v>12829167</v>
      </c>
      <c r="BV66" s="230">
        <v>5785871</v>
      </c>
      <c r="BW66" s="230">
        <v>7043296</v>
      </c>
      <c r="BX66" s="229">
        <v>1.2173</v>
      </c>
      <c r="BY66" s="230">
        <v>1782</v>
      </c>
      <c r="BZ66" s="230">
        <v>1830</v>
      </c>
      <c r="CA66" s="228">
        <v>-47</v>
      </c>
      <c r="CB66" s="229">
        <v>-2.58E-2</v>
      </c>
      <c r="CC66" s="230">
        <v>1705</v>
      </c>
      <c r="CD66" s="230">
        <v>1765</v>
      </c>
      <c r="CE66" s="228">
        <v>-60</v>
      </c>
      <c r="CF66" s="229">
        <v>-3.4099999999999998E-2</v>
      </c>
      <c r="CG66" s="228">
        <v>74</v>
      </c>
      <c r="CH66" s="228">
        <v>60</v>
      </c>
      <c r="CI66" s="228">
        <v>13</v>
      </c>
      <c r="CJ66" s="229">
        <v>0.22259999999999999</v>
      </c>
      <c r="CK66" s="228">
        <v>4</v>
      </c>
      <c r="CL66" s="228">
        <v>4</v>
      </c>
      <c r="CM66" s="228">
        <v>0</v>
      </c>
      <c r="CN66" s="229">
        <v>-0.1067</v>
      </c>
      <c r="CO66" s="228">
        <v>694</v>
      </c>
      <c r="CP66" s="228">
        <v>706</v>
      </c>
      <c r="CQ66" s="228">
        <v>-12</v>
      </c>
      <c r="CR66" s="229">
        <v>-1.7500000000000002E-2</v>
      </c>
      <c r="CS66" s="228">
        <v>462</v>
      </c>
      <c r="CT66" s="228">
        <v>460</v>
      </c>
      <c r="CU66" s="228">
        <v>1</v>
      </c>
      <c r="CV66" s="229">
        <v>2.5999999999999999E-3</v>
      </c>
      <c r="CW66" s="230">
        <v>2938</v>
      </c>
      <c r="CX66" s="230">
        <v>2996</v>
      </c>
      <c r="CY66" s="228">
        <v>-58</v>
      </c>
      <c r="CZ66" s="229">
        <v>-1.95E-2</v>
      </c>
      <c r="DA66" s="228">
        <v>22.71</v>
      </c>
      <c r="DB66" s="228">
        <v>23.81</v>
      </c>
      <c r="DC66" s="228">
        <v>-1.1000000000000001</v>
      </c>
      <c r="DD66" s="228">
        <v>-1.1000000000000001</v>
      </c>
      <c r="DE66" s="228">
        <v>36.549999999999997</v>
      </c>
      <c r="DF66" s="228">
        <v>36.64</v>
      </c>
      <c r="DG66" s="228">
        <v>-13.84</v>
      </c>
      <c r="DH66" s="228">
        <v>-0.09</v>
      </c>
      <c r="DI66" s="228">
        <v>22.85</v>
      </c>
      <c r="DJ66" s="228">
        <v>23.78</v>
      </c>
      <c r="DK66" s="228">
        <v>-0.93</v>
      </c>
      <c r="DL66" s="228">
        <v>-0.93</v>
      </c>
      <c r="DM66" s="228">
        <v>22.38</v>
      </c>
      <c r="DN66" s="228">
        <v>23.88</v>
      </c>
      <c r="DO66" s="228">
        <v>-1.5</v>
      </c>
      <c r="DP66" s="228">
        <v>-1.5</v>
      </c>
      <c r="DQ66" s="228">
        <v>0.67</v>
      </c>
      <c r="DR66" s="228">
        <v>0.65</v>
      </c>
      <c r="DS66" s="228">
        <v>0.02</v>
      </c>
      <c r="DT66" s="229">
        <v>3.0800000000000001E-2</v>
      </c>
      <c r="DU66" s="228">
        <v>180</v>
      </c>
      <c r="DV66" s="228">
        <v>180</v>
      </c>
      <c r="DW66" s="228">
        <v>0.42</v>
      </c>
      <c r="DX66" s="228">
        <v>0.37</v>
      </c>
      <c r="DY66" s="228">
        <v>0.05</v>
      </c>
      <c r="DZ66" s="229">
        <v>0.1351</v>
      </c>
      <c r="EA66" s="229">
        <v>4.36E-2</v>
      </c>
      <c r="EB66" s="230">
        <v>3603600</v>
      </c>
      <c r="EC66" s="229">
        <v>4.7999999999999996E-3</v>
      </c>
      <c r="ED66" s="229">
        <v>4.36E-2</v>
      </c>
      <c r="EE66" s="228">
        <v>1.29</v>
      </c>
      <c r="EF66" s="229">
        <v>7.1999999999999998E-3</v>
      </c>
      <c r="EG66" s="230">
        <v>8763708</v>
      </c>
      <c r="EH66" s="230">
        <v>3474282</v>
      </c>
      <c r="EI66" s="229">
        <v>1.5225</v>
      </c>
      <c r="EJ66" s="229">
        <v>0.68310000000000004</v>
      </c>
      <c r="EK66" s="228">
        <v>606.27</v>
      </c>
      <c r="EL66" s="228">
        <v>242.73</v>
      </c>
      <c r="EM66" s="228">
        <v>260.33</v>
      </c>
      <c r="EN66" s="228">
        <v>38.9</v>
      </c>
      <c r="EO66" s="231">
        <v>1109.33</v>
      </c>
      <c r="EP66" s="228">
        <v>656.66</v>
      </c>
      <c r="EQ66" s="228">
        <v>452.67</v>
      </c>
      <c r="ER66" s="229">
        <v>0.68940000000000001</v>
      </c>
      <c r="ES66" s="228">
        <v>718.1</v>
      </c>
      <c r="ET66" s="228">
        <v>462.18</v>
      </c>
      <c r="EU66" s="231">
        <v>1782.79</v>
      </c>
      <c r="EV66" s="231">
        <v>402429848</v>
      </c>
      <c r="EW66" s="231">
        <v>2963.07</v>
      </c>
      <c r="EX66" s="231">
        <v>3013.44</v>
      </c>
      <c r="EY66" s="228">
        <v>-50.37</v>
      </c>
      <c r="EZ66" s="229">
        <v>-1.67E-2</v>
      </c>
      <c r="FA66" s="229">
        <v>0.40649999999999997</v>
      </c>
      <c r="FB66" s="227" t="s">
        <v>556</v>
      </c>
      <c r="FC66">
        <f t="shared" si="0"/>
        <v>77</v>
      </c>
    </row>
    <row r="67" spans="1:159" ht="17.25" thickBot="1" x14ac:dyDescent="0.3">
      <c r="A67" s="226">
        <v>45940</v>
      </c>
      <c r="B67" s="227" t="s">
        <v>170</v>
      </c>
      <c r="C67" s="227" t="s">
        <v>214</v>
      </c>
      <c r="D67" s="228">
        <v>375</v>
      </c>
      <c r="E67" s="228">
        <v>18</v>
      </c>
      <c r="F67" s="231">
        <v>1949.7</v>
      </c>
      <c r="G67" s="231">
        <v>1946.4</v>
      </c>
      <c r="H67" s="228">
        <v>3.3</v>
      </c>
      <c r="I67" s="229">
        <v>1.6999999999999999E-3</v>
      </c>
      <c r="J67" s="231">
        <v>1939.3</v>
      </c>
      <c r="K67" s="231">
        <v>1935.6</v>
      </c>
      <c r="L67" s="228">
        <v>3.7</v>
      </c>
      <c r="M67" s="229">
        <v>1.9E-3</v>
      </c>
      <c r="N67" s="231">
        <v>1949.7</v>
      </c>
      <c r="O67" s="231">
        <v>1946.4</v>
      </c>
      <c r="P67" s="228">
        <v>3.3</v>
      </c>
      <c r="Q67" s="229">
        <v>1.6999999999999999E-3</v>
      </c>
      <c r="R67" s="231">
        <v>1960.8</v>
      </c>
      <c r="S67" s="231">
        <v>1956.3</v>
      </c>
      <c r="T67" s="228">
        <v>4.5</v>
      </c>
      <c r="U67" s="229">
        <v>2.3E-3</v>
      </c>
      <c r="V67" s="231">
        <v>1973</v>
      </c>
      <c r="W67" s="231">
        <v>1965</v>
      </c>
      <c r="X67" s="228">
        <v>8</v>
      </c>
      <c r="Y67" s="229">
        <v>4.1000000000000003E-3</v>
      </c>
      <c r="Z67" s="228">
        <v>10.4</v>
      </c>
      <c r="AA67" s="228">
        <v>10.8</v>
      </c>
      <c r="AB67" s="228">
        <v>-0.4</v>
      </c>
      <c r="AC67" s="229">
        <v>5.4000000000000003E-3</v>
      </c>
      <c r="AD67" s="228">
        <v>10.4</v>
      </c>
      <c r="AE67" s="228">
        <v>10.8</v>
      </c>
      <c r="AF67" s="228">
        <v>-0.4</v>
      </c>
      <c r="AG67" s="229">
        <v>5.4000000000000003E-3</v>
      </c>
      <c r="AH67" s="228">
        <v>21.5</v>
      </c>
      <c r="AI67" s="228">
        <v>20.7</v>
      </c>
      <c r="AJ67" s="228">
        <v>0.8</v>
      </c>
      <c r="AK67" s="229">
        <v>1.11E-2</v>
      </c>
      <c r="AL67" s="228">
        <v>33.700000000000003</v>
      </c>
      <c r="AM67" s="228">
        <v>29.4</v>
      </c>
      <c r="AN67" s="228">
        <v>4.3</v>
      </c>
      <c r="AO67" s="229">
        <v>1.7399999999999999E-2</v>
      </c>
      <c r="AP67" s="231">
        <v>1961.35</v>
      </c>
      <c r="AQ67" s="231">
        <v>1972.17</v>
      </c>
      <c r="AR67" s="228">
        <v>0</v>
      </c>
      <c r="AS67" s="228">
        <v>235</v>
      </c>
      <c r="AT67" s="228">
        <v>142</v>
      </c>
      <c r="AU67" s="228">
        <v>94</v>
      </c>
      <c r="AV67" s="229">
        <v>0.66180000000000005</v>
      </c>
      <c r="AW67" s="228">
        <v>222</v>
      </c>
      <c r="AX67" s="228">
        <v>135</v>
      </c>
      <c r="AY67" s="228">
        <v>87</v>
      </c>
      <c r="AZ67" s="229">
        <v>0.6482</v>
      </c>
      <c r="BA67" s="228">
        <v>12</v>
      </c>
      <c r="BB67" s="228">
        <v>6</v>
      </c>
      <c r="BC67" s="228">
        <v>6</v>
      </c>
      <c r="BD67" s="229">
        <v>0.9425</v>
      </c>
      <c r="BE67" s="228">
        <v>1</v>
      </c>
      <c r="BF67" s="228">
        <v>1</v>
      </c>
      <c r="BG67" s="228">
        <v>0</v>
      </c>
      <c r="BH67" s="229">
        <v>0.75</v>
      </c>
      <c r="BI67" s="228">
        <v>435</v>
      </c>
      <c r="BJ67" s="228">
        <v>337</v>
      </c>
      <c r="BK67" s="228">
        <v>98</v>
      </c>
      <c r="BL67" s="229">
        <v>0.29210000000000003</v>
      </c>
      <c r="BM67" s="228">
        <v>147</v>
      </c>
      <c r="BN67" s="228">
        <v>90</v>
      </c>
      <c r="BO67" s="228">
        <v>56</v>
      </c>
      <c r="BP67" s="229">
        <v>0.62560000000000004</v>
      </c>
      <c r="BQ67" s="228">
        <v>817</v>
      </c>
      <c r="BR67" s="228">
        <v>568</v>
      </c>
      <c r="BS67" s="228">
        <v>249</v>
      </c>
      <c r="BT67" s="229">
        <v>0.43719999999999998</v>
      </c>
      <c r="BU67" s="230">
        <v>903374</v>
      </c>
      <c r="BV67" s="230">
        <v>634686</v>
      </c>
      <c r="BW67" s="230">
        <v>268688</v>
      </c>
      <c r="BX67" s="229">
        <v>0.42330000000000001</v>
      </c>
      <c r="BY67" s="230">
        <v>1492</v>
      </c>
      <c r="BZ67" s="230">
        <v>1471</v>
      </c>
      <c r="CA67" s="228">
        <v>21</v>
      </c>
      <c r="CB67" s="229">
        <v>1.41E-2</v>
      </c>
      <c r="CC67" s="230">
        <v>1471</v>
      </c>
      <c r="CD67" s="230">
        <v>1453</v>
      </c>
      <c r="CE67" s="228">
        <v>18</v>
      </c>
      <c r="CF67" s="229">
        <v>1.2500000000000001E-2</v>
      </c>
      <c r="CG67" s="228">
        <v>19</v>
      </c>
      <c r="CH67" s="228">
        <v>16</v>
      </c>
      <c r="CI67" s="228">
        <v>3</v>
      </c>
      <c r="CJ67" s="229">
        <v>0.1651</v>
      </c>
      <c r="CK67" s="228">
        <v>2</v>
      </c>
      <c r="CL67" s="228">
        <v>2</v>
      </c>
      <c r="CM67" s="228">
        <v>0</v>
      </c>
      <c r="CN67" s="229">
        <v>0</v>
      </c>
      <c r="CO67" s="228">
        <v>345</v>
      </c>
      <c r="CP67" s="228">
        <v>328</v>
      </c>
      <c r="CQ67" s="228">
        <v>16</v>
      </c>
      <c r="CR67" s="229">
        <v>5.0099999999999999E-2</v>
      </c>
      <c r="CS67" s="228">
        <v>211</v>
      </c>
      <c r="CT67" s="228">
        <v>203</v>
      </c>
      <c r="CU67" s="228">
        <v>7</v>
      </c>
      <c r="CV67" s="229">
        <v>3.5900000000000001E-2</v>
      </c>
      <c r="CW67" s="230">
        <v>2047</v>
      </c>
      <c r="CX67" s="230">
        <v>2003</v>
      </c>
      <c r="CY67" s="228">
        <v>45</v>
      </c>
      <c r="CZ67" s="229">
        <v>2.2200000000000001E-2</v>
      </c>
      <c r="DA67" s="228">
        <v>27.8</v>
      </c>
      <c r="DB67" s="228">
        <v>27.73</v>
      </c>
      <c r="DC67" s="228">
        <v>7.0000000000000007E-2</v>
      </c>
      <c r="DD67" s="228">
        <v>7.0000000000000007E-2</v>
      </c>
      <c r="DE67" s="228">
        <v>38.479999999999997</v>
      </c>
      <c r="DF67" s="228">
        <v>38.57</v>
      </c>
      <c r="DG67" s="228">
        <v>-10.68</v>
      </c>
      <c r="DH67" s="228">
        <v>-0.09</v>
      </c>
      <c r="DI67" s="228">
        <v>28.17</v>
      </c>
      <c r="DJ67" s="228">
        <v>28.04</v>
      </c>
      <c r="DK67" s="228">
        <v>0.13</v>
      </c>
      <c r="DL67" s="228">
        <v>0.13</v>
      </c>
      <c r="DM67" s="228">
        <v>26.7</v>
      </c>
      <c r="DN67" s="228">
        <v>26.56</v>
      </c>
      <c r="DO67" s="228">
        <v>0.14000000000000001</v>
      </c>
      <c r="DP67" s="228">
        <v>0.14000000000000001</v>
      </c>
      <c r="DQ67" s="228">
        <v>0.61</v>
      </c>
      <c r="DR67" s="228">
        <v>0.62</v>
      </c>
      <c r="DS67" s="228">
        <v>-0.01</v>
      </c>
      <c r="DT67" s="229">
        <v>-1.61E-2</v>
      </c>
      <c r="DU67" s="231">
        <v>2200</v>
      </c>
      <c r="DV67" s="231">
        <v>1860</v>
      </c>
      <c r="DW67" s="228">
        <v>0.34</v>
      </c>
      <c r="DX67" s="228">
        <v>0.27</v>
      </c>
      <c r="DY67" s="228">
        <v>7.0000000000000007E-2</v>
      </c>
      <c r="DZ67" s="229">
        <v>0.25929999999999997</v>
      </c>
      <c r="EA67" s="229">
        <v>1.38E-2</v>
      </c>
      <c r="EB67" s="230">
        <v>92250</v>
      </c>
      <c r="EC67" s="229">
        <v>5.7000000000000002E-3</v>
      </c>
      <c r="ED67" s="229">
        <v>1.38E-2</v>
      </c>
      <c r="EE67" s="228">
        <v>10.82</v>
      </c>
      <c r="EF67" s="229">
        <v>5.4999999999999997E-3</v>
      </c>
      <c r="EG67" s="230">
        <v>616249</v>
      </c>
      <c r="EH67" s="230">
        <v>381210</v>
      </c>
      <c r="EI67" s="229">
        <v>0.61660000000000004</v>
      </c>
      <c r="EJ67" s="229">
        <v>0.68220000000000003</v>
      </c>
      <c r="EK67" s="228">
        <v>455.5</v>
      </c>
      <c r="EL67" s="228">
        <v>145.35</v>
      </c>
      <c r="EM67" s="228">
        <v>236.84</v>
      </c>
      <c r="EN67" s="228">
        <v>16.350000000000001</v>
      </c>
      <c r="EO67" s="228">
        <v>837.69</v>
      </c>
      <c r="EP67" s="228">
        <v>584.23</v>
      </c>
      <c r="EQ67" s="228">
        <v>253.46</v>
      </c>
      <c r="ER67" s="229">
        <v>0.43380000000000002</v>
      </c>
      <c r="ES67" s="228">
        <v>368.42</v>
      </c>
      <c r="ET67" s="228">
        <v>206.59</v>
      </c>
      <c r="EU67" s="231">
        <v>1492.24</v>
      </c>
      <c r="EV67" s="231">
        <v>22585180</v>
      </c>
      <c r="EW67" s="231">
        <v>2067.25</v>
      </c>
      <c r="EX67" s="231">
        <v>2020.09</v>
      </c>
      <c r="EY67" s="228">
        <v>47.16</v>
      </c>
      <c r="EZ67" s="229">
        <v>2.3300000000000001E-2</v>
      </c>
      <c r="FA67" s="229">
        <v>0.46500000000000002</v>
      </c>
      <c r="FB67" s="227" t="s">
        <v>555</v>
      </c>
      <c r="FC67">
        <f t="shared" ref="FC67:FC130" si="1">BY67-CC67</f>
        <v>21</v>
      </c>
    </row>
    <row r="68" spans="1:159" ht="17.25" thickBot="1" x14ac:dyDescent="0.3">
      <c r="A68" s="226">
        <v>45940</v>
      </c>
      <c r="B68" s="227" t="s">
        <v>215</v>
      </c>
      <c r="C68" s="227" t="s">
        <v>632</v>
      </c>
      <c r="D68" s="228">
        <v>6975</v>
      </c>
      <c r="E68" s="228">
        <v>18</v>
      </c>
      <c r="F68" s="228">
        <v>90.68</v>
      </c>
      <c r="G68" s="228">
        <v>91.15</v>
      </c>
      <c r="H68" s="228">
        <v>-0.47</v>
      </c>
      <c r="I68" s="229">
        <v>-5.1999999999999998E-3</v>
      </c>
      <c r="J68" s="228">
        <v>90.35</v>
      </c>
      <c r="K68" s="228">
        <v>90.71</v>
      </c>
      <c r="L68" s="228">
        <v>-0.36</v>
      </c>
      <c r="M68" s="229">
        <v>-4.0000000000000001E-3</v>
      </c>
      <c r="N68" s="228">
        <v>90.68</v>
      </c>
      <c r="O68" s="228">
        <v>91.15</v>
      </c>
      <c r="P68" s="228">
        <v>-0.47</v>
      </c>
      <c r="Q68" s="229">
        <v>-5.1999999999999998E-3</v>
      </c>
      <c r="R68" s="228">
        <v>91.02</v>
      </c>
      <c r="S68" s="228">
        <v>91.61</v>
      </c>
      <c r="T68" s="228">
        <v>-0.59</v>
      </c>
      <c r="U68" s="229">
        <v>-6.4000000000000003E-3</v>
      </c>
      <c r="V68" s="228">
        <v>91.53</v>
      </c>
      <c r="W68" s="228">
        <v>91.66</v>
      </c>
      <c r="X68" s="228">
        <v>-0.13</v>
      </c>
      <c r="Y68" s="229">
        <v>-1.4E-3</v>
      </c>
      <c r="Z68" s="228">
        <v>0.33</v>
      </c>
      <c r="AA68" s="228">
        <v>0.44</v>
      </c>
      <c r="AB68" s="228">
        <v>-0.11</v>
      </c>
      <c r="AC68" s="229">
        <v>3.7000000000000002E-3</v>
      </c>
      <c r="AD68" s="228">
        <v>0.33</v>
      </c>
      <c r="AE68" s="228">
        <v>0.44</v>
      </c>
      <c r="AF68" s="228">
        <v>-0.11</v>
      </c>
      <c r="AG68" s="229">
        <v>3.7000000000000002E-3</v>
      </c>
      <c r="AH68" s="228">
        <v>0.67</v>
      </c>
      <c r="AI68" s="228">
        <v>0.9</v>
      </c>
      <c r="AJ68" s="228">
        <v>-0.23</v>
      </c>
      <c r="AK68" s="229">
        <v>7.4000000000000003E-3</v>
      </c>
      <c r="AL68" s="228">
        <v>1.18</v>
      </c>
      <c r="AM68" s="228">
        <v>0.95</v>
      </c>
      <c r="AN68" s="228">
        <v>0.23</v>
      </c>
      <c r="AO68" s="229">
        <v>1.3100000000000001E-2</v>
      </c>
      <c r="AP68" s="228">
        <v>90.61</v>
      </c>
      <c r="AQ68" s="228">
        <v>91.07</v>
      </c>
      <c r="AR68" s="228">
        <v>0</v>
      </c>
      <c r="AS68" s="228">
        <v>177</v>
      </c>
      <c r="AT68" s="228">
        <v>350</v>
      </c>
      <c r="AU68" s="228">
        <v>-174</v>
      </c>
      <c r="AV68" s="229">
        <v>-0.49530000000000002</v>
      </c>
      <c r="AW68" s="228">
        <v>147</v>
      </c>
      <c r="AX68" s="228">
        <v>304</v>
      </c>
      <c r="AY68" s="228">
        <v>-157</v>
      </c>
      <c r="AZ68" s="229">
        <v>-0.51670000000000005</v>
      </c>
      <c r="BA68" s="228">
        <v>29</v>
      </c>
      <c r="BB68" s="228">
        <v>44</v>
      </c>
      <c r="BC68" s="228">
        <v>-15</v>
      </c>
      <c r="BD68" s="229">
        <v>-0.33850000000000002</v>
      </c>
      <c r="BE68" s="228">
        <v>1</v>
      </c>
      <c r="BF68" s="228">
        <v>2</v>
      </c>
      <c r="BG68" s="228">
        <v>-2</v>
      </c>
      <c r="BH68" s="229">
        <v>-0.72729999999999995</v>
      </c>
      <c r="BI68" s="228">
        <v>343</v>
      </c>
      <c r="BJ68" s="228">
        <v>878</v>
      </c>
      <c r="BK68" s="228">
        <v>-535</v>
      </c>
      <c r="BL68" s="229">
        <v>-0.60950000000000004</v>
      </c>
      <c r="BM68" s="228">
        <v>112</v>
      </c>
      <c r="BN68" s="228">
        <v>371</v>
      </c>
      <c r="BO68" s="228">
        <v>-259</v>
      </c>
      <c r="BP68" s="229">
        <v>-0.69710000000000005</v>
      </c>
      <c r="BQ68" s="228">
        <v>632</v>
      </c>
      <c r="BR68" s="230">
        <v>1599</v>
      </c>
      <c r="BS68" s="228">
        <v>-967</v>
      </c>
      <c r="BT68" s="229">
        <v>-0.6048</v>
      </c>
      <c r="BU68" s="230">
        <v>4874972</v>
      </c>
      <c r="BV68" s="230">
        <v>12062943</v>
      </c>
      <c r="BW68" s="230">
        <v>-7187971</v>
      </c>
      <c r="BX68" s="229">
        <v>-0.59589999999999999</v>
      </c>
      <c r="BY68" s="230">
        <v>2011</v>
      </c>
      <c r="BZ68" s="230">
        <v>1997</v>
      </c>
      <c r="CA68" s="228">
        <v>14</v>
      </c>
      <c r="CB68" s="229">
        <v>7.0000000000000001E-3</v>
      </c>
      <c r="CC68" s="230">
        <v>1881</v>
      </c>
      <c r="CD68" s="230">
        <v>1887</v>
      </c>
      <c r="CE68" s="228">
        <v>-6</v>
      </c>
      <c r="CF68" s="229">
        <v>-3.3E-3</v>
      </c>
      <c r="CG68" s="228">
        <v>128</v>
      </c>
      <c r="CH68" s="228">
        <v>108</v>
      </c>
      <c r="CI68" s="228">
        <v>20</v>
      </c>
      <c r="CJ68" s="229">
        <v>0.1837</v>
      </c>
      <c r="CK68" s="228">
        <v>2</v>
      </c>
      <c r="CL68" s="228">
        <v>2</v>
      </c>
      <c r="CM68" s="228">
        <v>0</v>
      </c>
      <c r="CN68" s="229">
        <v>0.17860000000000001</v>
      </c>
      <c r="CO68" s="228">
        <v>646</v>
      </c>
      <c r="CP68" s="228">
        <v>650</v>
      </c>
      <c r="CQ68" s="228">
        <v>-4</v>
      </c>
      <c r="CR68" s="229">
        <v>-6.6E-3</v>
      </c>
      <c r="CS68" s="228">
        <v>326</v>
      </c>
      <c r="CT68" s="228">
        <v>329</v>
      </c>
      <c r="CU68" s="228">
        <v>-3</v>
      </c>
      <c r="CV68" s="229">
        <v>-7.7000000000000002E-3</v>
      </c>
      <c r="CW68" s="230">
        <v>2984</v>
      </c>
      <c r="CX68" s="230">
        <v>2977</v>
      </c>
      <c r="CY68" s="228">
        <v>7</v>
      </c>
      <c r="CZ68" s="229">
        <v>2.3999999999999998E-3</v>
      </c>
      <c r="DA68" s="228">
        <v>25.72</v>
      </c>
      <c r="DB68" s="228">
        <v>26.92</v>
      </c>
      <c r="DC68" s="228">
        <v>-1.2</v>
      </c>
      <c r="DD68" s="228">
        <v>-1.2</v>
      </c>
      <c r="DE68" s="228">
        <v>37.58</v>
      </c>
      <c r="DF68" s="228">
        <v>37.659999999999997</v>
      </c>
      <c r="DG68" s="228">
        <v>-11.86</v>
      </c>
      <c r="DH68" s="228">
        <v>-0.08</v>
      </c>
      <c r="DI68" s="228">
        <v>25.8</v>
      </c>
      <c r="DJ68" s="228">
        <v>26.32</v>
      </c>
      <c r="DK68" s="228">
        <v>-0.52</v>
      </c>
      <c r="DL68" s="228">
        <v>-0.52</v>
      </c>
      <c r="DM68" s="228">
        <v>25.46</v>
      </c>
      <c r="DN68" s="228">
        <v>28.33</v>
      </c>
      <c r="DO68" s="228">
        <v>-2.87</v>
      </c>
      <c r="DP68" s="228">
        <v>-2.87</v>
      </c>
      <c r="DQ68" s="228">
        <v>0.51</v>
      </c>
      <c r="DR68" s="228">
        <v>0.51</v>
      </c>
      <c r="DS68" s="228">
        <v>0</v>
      </c>
      <c r="DT68" s="229">
        <v>0</v>
      </c>
      <c r="DU68" s="228">
        <v>95</v>
      </c>
      <c r="DV68" s="228">
        <v>90</v>
      </c>
      <c r="DW68" s="228">
        <v>0.33</v>
      </c>
      <c r="DX68" s="228">
        <v>0.42</v>
      </c>
      <c r="DY68" s="228">
        <v>-0.09</v>
      </c>
      <c r="DZ68" s="229">
        <v>-0.21429999999999999</v>
      </c>
      <c r="EA68" s="229">
        <v>6.4899999999999999E-2</v>
      </c>
      <c r="EB68" s="230">
        <v>12157425</v>
      </c>
      <c r="EC68" s="229">
        <v>3.7000000000000002E-3</v>
      </c>
      <c r="ED68" s="229">
        <v>6.4899999999999999E-2</v>
      </c>
      <c r="EE68" s="228">
        <v>0.46</v>
      </c>
      <c r="EF68" s="229">
        <v>5.1000000000000004E-3</v>
      </c>
      <c r="EG68" s="230">
        <v>2424685</v>
      </c>
      <c r="EH68" s="230">
        <v>4836816</v>
      </c>
      <c r="EI68" s="229">
        <v>-0.49869999999999998</v>
      </c>
      <c r="EJ68" s="229">
        <v>0.49740000000000001</v>
      </c>
      <c r="EK68" s="228">
        <v>357.66</v>
      </c>
      <c r="EL68" s="228">
        <v>112.77</v>
      </c>
      <c r="EM68" s="228">
        <v>176.86</v>
      </c>
      <c r="EN68" s="228">
        <v>30.94</v>
      </c>
      <c r="EO68" s="228">
        <v>647.29999999999995</v>
      </c>
      <c r="EP68" s="231">
        <v>1620.14</v>
      </c>
      <c r="EQ68" s="228">
        <v>-972.84</v>
      </c>
      <c r="ER68" s="229">
        <v>-0.60050000000000003</v>
      </c>
      <c r="ES68" s="228">
        <v>669.26</v>
      </c>
      <c r="ET68" s="228">
        <v>313.8</v>
      </c>
      <c r="EU68" s="231">
        <v>2011.77</v>
      </c>
      <c r="EV68" s="231">
        <v>534704421</v>
      </c>
      <c r="EW68" s="231">
        <v>2994.83</v>
      </c>
      <c r="EX68" s="231">
        <v>2998.1</v>
      </c>
      <c r="EY68" s="228">
        <v>-3.27</v>
      </c>
      <c r="EZ68" s="229">
        <v>-1.1000000000000001E-3</v>
      </c>
      <c r="FA68" s="229">
        <v>0.61539999999999995</v>
      </c>
      <c r="FB68" s="227" t="s">
        <v>567</v>
      </c>
      <c r="FC68">
        <f t="shared" si="1"/>
        <v>130</v>
      </c>
    </row>
    <row r="69" spans="1:159" ht="17.25" thickBot="1" x14ac:dyDescent="0.3">
      <c r="A69" s="226">
        <v>45940</v>
      </c>
      <c r="B69" s="227" t="s">
        <v>168</v>
      </c>
      <c r="C69" s="227" t="s">
        <v>217</v>
      </c>
      <c r="D69" s="228">
        <v>500</v>
      </c>
      <c r="E69" s="228">
        <v>18</v>
      </c>
      <c r="F69" s="231">
        <v>1134.8</v>
      </c>
      <c r="G69" s="231">
        <v>1131.3</v>
      </c>
      <c r="H69" s="228">
        <v>3.5</v>
      </c>
      <c r="I69" s="229">
        <v>3.0999999999999999E-3</v>
      </c>
      <c r="J69" s="231">
        <v>1129.8</v>
      </c>
      <c r="K69" s="231">
        <v>1128.8</v>
      </c>
      <c r="L69" s="228">
        <v>1</v>
      </c>
      <c r="M69" s="229">
        <v>8.9999999999999998E-4</v>
      </c>
      <c r="N69" s="231">
        <v>1134.8</v>
      </c>
      <c r="O69" s="231">
        <v>1131.3</v>
      </c>
      <c r="P69" s="228">
        <v>3.5</v>
      </c>
      <c r="Q69" s="229">
        <v>3.0999999999999999E-3</v>
      </c>
      <c r="R69" s="231">
        <v>1126.5999999999999</v>
      </c>
      <c r="S69" s="231">
        <v>1122.8</v>
      </c>
      <c r="T69" s="228">
        <v>3.8</v>
      </c>
      <c r="U69" s="229">
        <v>3.3999999999999998E-3</v>
      </c>
      <c r="V69" s="231">
        <v>1119</v>
      </c>
      <c r="W69" s="231">
        <v>1116.9000000000001</v>
      </c>
      <c r="X69" s="228">
        <v>2.1</v>
      </c>
      <c r="Y69" s="229">
        <v>1.9E-3</v>
      </c>
      <c r="Z69" s="228">
        <v>5</v>
      </c>
      <c r="AA69" s="228">
        <v>2.5</v>
      </c>
      <c r="AB69" s="228">
        <v>2.5</v>
      </c>
      <c r="AC69" s="229">
        <v>4.4000000000000003E-3</v>
      </c>
      <c r="AD69" s="228">
        <v>5</v>
      </c>
      <c r="AE69" s="228">
        <v>2.5</v>
      </c>
      <c r="AF69" s="228">
        <v>2.5</v>
      </c>
      <c r="AG69" s="229">
        <v>4.4000000000000003E-3</v>
      </c>
      <c r="AH69" s="228">
        <v>-3.2</v>
      </c>
      <c r="AI69" s="228">
        <v>-6</v>
      </c>
      <c r="AJ69" s="228">
        <v>2.8</v>
      </c>
      <c r="AK69" s="229">
        <v>-2.8E-3</v>
      </c>
      <c r="AL69" s="228">
        <v>-10.8</v>
      </c>
      <c r="AM69" s="228">
        <v>-11.9</v>
      </c>
      <c r="AN69" s="228">
        <v>1.1000000000000001</v>
      </c>
      <c r="AO69" s="229">
        <v>-9.5999999999999992E-3</v>
      </c>
      <c r="AP69" s="231">
        <v>1131.6600000000001</v>
      </c>
      <c r="AQ69" s="231">
        <v>1123.96</v>
      </c>
      <c r="AR69" s="228">
        <v>0</v>
      </c>
      <c r="AS69" s="228">
        <v>152</v>
      </c>
      <c r="AT69" s="228">
        <v>162</v>
      </c>
      <c r="AU69" s="228">
        <v>-10</v>
      </c>
      <c r="AV69" s="229">
        <v>-6.0600000000000001E-2</v>
      </c>
      <c r="AW69" s="228">
        <v>133</v>
      </c>
      <c r="AX69" s="228">
        <v>155</v>
      </c>
      <c r="AY69" s="228">
        <v>-22</v>
      </c>
      <c r="AZ69" s="229">
        <v>-0.14319999999999999</v>
      </c>
      <c r="BA69" s="228">
        <v>19</v>
      </c>
      <c r="BB69" s="228">
        <v>7</v>
      </c>
      <c r="BC69" s="228">
        <v>12</v>
      </c>
      <c r="BD69" s="229">
        <v>1.7603</v>
      </c>
      <c r="BE69" s="228">
        <v>1</v>
      </c>
      <c r="BF69" s="228">
        <v>0</v>
      </c>
      <c r="BG69" s="228">
        <v>0</v>
      </c>
      <c r="BH69" s="229">
        <v>0.83330000000000004</v>
      </c>
      <c r="BI69" s="228">
        <v>257</v>
      </c>
      <c r="BJ69" s="228">
        <v>259</v>
      </c>
      <c r="BK69" s="228">
        <v>-2</v>
      </c>
      <c r="BL69" s="229">
        <v>-8.3000000000000001E-3</v>
      </c>
      <c r="BM69" s="228">
        <v>55</v>
      </c>
      <c r="BN69" s="228">
        <v>82</v>
      </c>
      <c r="BO69" s="228">
        <v>-26</v>
      </c>
      <c r="BP69" s="229">
        <v>-0.32340000000000002</v>
      </c>
      <c r="BQ69" s="228">
        <v>464</v>
      </c>
      <c r="BR69" s="228">
        <v>503</v>
      </c>
      <c r="BS69" s="228">
        <v>-38</v>
      </c>
      <c r="BT69" s="229">
        <v>-7.6399999999999996E-2</v>
      </c>
      <c r="BU69" s="230">
        <v>1852717</v>
      </c>
      <c r="BV69" s="230">
        <v>2531839</v>
      </c>
      <c r="BW69" s="230">
        <v>-679122</v>
      </c>
      <c r="BX69" s="229">
        <v>-0.26819999999999999</v>
      </c>
      <c r="BY69" s="230">
        <v>1328</v>
      </c>
      <c r="BZ69" s="230">
        <v>1311</v>
      </c>
      <c r="CA69" s="228">
        <v>17</v>
      </c>
      <c r="CB69" s="229">
        <v>1.32E-2</v>
      </c>
      <c r="CC69" s="230">
        <v>1276</v>
      </c>
      <c r="CD69" s="230">
        <v>1270</v>
      </c>
      <c r="CE69" s="228">
        <v>7</v>
      </c>
      <c r="CF69" s="229">
        <v>5.1999999999999998E-3</v>
      </c>
      <c r="CG69" s="228">
        <v>51</v>
      </c>
      <c r="CH69" s="228">
        <v>40</v>
      </c>
      <c r="CI69" s="228">
        <v>10</v>
      </c>
      <c r="CJ69" s="229">
        <v>0.25850000000000001</v>
      </c>
      <c r="CK69" s="228">
        <v>1</v>
      </c>
      <c r="CL69" s="228">
        <v>1</v>
      </c>
      <c r="CM69" s="228">
        <v>0</v>
      </c>
      <c r="CN69" s="229">
        <v>0.4375</v>
      </c>
      <c r="CO69" s="228">
        <v>434</v>
      </c>
      <c r="CP69" s="228">
        <v>399</v>
      </c>
      <c r="CQ69" s="228">
        <v>34</v>
      </c>
      <c r="CR69" s="229">
        <v>8.5699999999999998E-2</v>
      </c>
      <c r="CS69" s="228">
        <v>223</v>
      </c>
      <c r="CT69" s="228">
        <v>220</v>
      </c>
      <c r="CU69" s="228">
        <v>3</v>
      </c>
      <c r="CV69" s="229">
        <v>1.4999999999999999E-2</v>
      </c>
      <c r="CW69" s="230">
        <v>1985</v>
      </c>
      <c r="CX69" s="230">
        <v>1930</v>
      </c>
      <c r="CY69" s="228">
        <v>55</v>
      </c>
      <c r="CZ69" s="229">
        <v>2.8400000000000002E-2</v>
      </c>
      <c r="DA69" s="228">
        <v>24.44</v>
      </c>
      <c r="DB69" s="228">
        <v>24.64</v>
      </c>
      <c r="DC69" s="228">
        <v>-0.2</v>
      </c>
      <c r="DD69" s="228">
        <v>-0.2</v>
      </c>
      <c r="DE69" s="228">
        <v>30.06</v>
      </c>
      <c r="DF69" s="228">
        <v>30.13</v>
      </c>
      <c r="DG69" s="228">
        <v>-5.62</v>
      </c>
      <c r="DH69" s="228">
        <v>-7.0000000000000007E-2</v>
      </c>
      <c r="DI69" s="228">
        <v>24.45</v>
      </c>
      <c r="DJ69" s="228">
        <v>24.71</v>
      </c>
      <c r="DK69" s="228">
        <v>-0.26</v>
      </c>
      <c r="DL69" s="228">
        <v>-0.26</v>
      </c>
      <c r="DM69" s="228">
        <v>24.42</v>
      </c>
      <c r="DN69" s="228">
        <v>24.42</v>
      </c>
      <c r="DO69" s="228">
        <v>0</v>
      </c>
      <c r="DP69" s="228">
        <v>0</v>
      </c>
      <c r="DQ69" s="228">
        <v>0.51</v>
      </c>
      <c r="DR69" s="228">
        <v>0.55000000000000004</v>
      </c>
      <c r="DS69" s="228">
        <v>-0.04</v>
      </c>
      <c r="DT69" s="229">
        <v>-7.2700000000000001E-2</v>
      </c>
      <c r="DU69" s="231">
        <v>1200</v>
      </c>
      <c r="DV69" s="231">
        <v>1100</v>
      </c>
      <c r="DW69" s="228">
        <v>0.22</v>
      </c>
      <c r="DX69" s="228">
        <v>0.32</v>
      </c>
      <c r="DY69" s="228">
        <v>-0.1</v>
      </c>
      <c r="DZ69" s="229">
        <v>-0.3125</v>
      </c>
      <c r="EA69" s="229">
        <v>3.9100000000000003E-2</v>
      </c>
      <c r="EB69" s="230">
        <v>362000</v>
      </c>
      <c r="EC69" s="229">
        <v>-7.1999999999999998E-3</v>
      </c>
      <c r="ED69" s="229">
        <v>3.9100000000000003E-2</v>
      </c>
      <c r="EE69" s="228">
        <v>-7.7</v>
      </c>
      <c r="EF69" s="229">
        <v>-6.7999999999999996E-3</v>
      </c>
      <c r="EG69" s="230">
        <v>1423165</v>
      </c>
      <c r="EH69" s="230">
        <v>1872808</v>
      </c>
      <c r="EI69" s="229">
        <v>-0.24010000000000001</v>
      </c>
      <c r="EJ69" s="229">
        <v>0.76819999999999999</v>
      </c>
      <c r="EK69" s="228">
        <v>268.05</v>
      </c>
      <c r="EL69" s="228">
        <v>54.7</v>
      </c>
      <c r="EM69" s="228">
        <v>151.72999999999999</v>
      </c>
      <c r="EN69" s="228">
        <v>30.63</v>
      </c>
      <c r="EO69" s="228">
        <v>474.48</v>
      </c>
      <c r="EP69" s="228">
        <v>513.16999999999996</v>
      </c>
      <c r="EQ69" s="228">
        <v>-38.69</v>
      </c>
      <c r="ER69" s="229">
        <v>-7.5399999999999995E-2</v>
      </c>
      <c r="ES69" s="228">
        <v>462.17</v>
      </c>
      <c r="ET69" s="228">
        <v>218.12</v>
      </c>
      <c r="EU69" s="231">
        <v>1327.62</v>
      </c>
      <c r="EV69" s="231">
        <v>58001204</v>
      </c>
      <c r="EW69" s="231">
        <v>2007.91</v>
      </c>
      <c r="EX69" s="231">
        <v>1947.82</v>
      </c>
      <c r="EY69" s="228">
        <v>60.09</v>
      </c>
      <c r="EZ69" s="229">
        <v>3.0800000000000001E-2</v>
      </c>
      <c r="FA69" s="229">
        <v>0.30149999999999999</v>
      </c>
      <c r="FB69" s="227" t="s">
        <v>555</v>
      </c>
      <c r="FC69">
        <f t="shared" si="1"/>
        <v>52</v>
      </c>
    </row>
    <row r="70" spans="1:159" ht="17.25" thickBot="1" x14ac:dyDescent="0.3">
      <c r="A70" s="226">
        <v>45940</v>
      </c>
      <c r="B70" s="227" t="s">
        <v>206</v>
      </c>
      <c r="C70" s="227" t="s">
        <v>218</v>
      </c>
      <c r="D70" s="228">
        <v>275</v>
      </c>
      <c r="E70" s="228">
        <v>18</v>
      </c>
      <c r="F70" s="231">
        <v>2100.1999999999998</v>
      </c>
      <c r="G70" s="231">
        <v>2043</v>
      </c>
      <c r="H70" s="228">
        <v>57.2</v>
      </c>
      <c r="I70" s="229">
        <v>2.8000000000000001E-2</v>
      </c>
      <c r="J70" s="231">
        <v>2091.9</v>
      </c>
      <c r="K70" s="231">
        <v>2031.5</v>
      </c>
      <c r="L70" s="228">
        <v>60.4</v>
      </c>
      <c r="M70" s="229">
        <v>2.9700000000000001E-2</v>
      </c>
      <c r="N70" s="231">
        <v>2100.1999999999998</v>
      </c>
      <c r="O70" s="231">
        <v>2043</v>
      </c>
      <c r="P70" s="228">
        <v>57.2</v>
      </c>
      <c r="Q70" s="229">
        <v>2.8000000000000001E-2</v>
      </c>
      <c r="R70" s="231">
        <v>2110.8000000000002</v>
      </c>
      <c r="S70" s="231">
        <v>2054.1</v>
      </c>
      <c r="T70" s="228">
        <v>56.7</v>
      </c>
      <c r="U70" s="229">
        <v>2.76E-2</v>
      </c>
      <c r="V70" s="231">
        <v>2124.4</v>
      </c>
      <c r="W70" s="231">
        <v>2069.9</v>
      </c>
      <c r="X70" s="228">
        <v>54.5</v>
      </c>
      <c r="Y70" s="229">
        <v>2.63E-2</v>
      </c>
      <c r="Z70" s="228">
        <v>8.3000000000000007</v>
      </c>
      <c r="AA70" s="228">
        <v>11.5</v>
      </c>
      <c r="AB70" s="228">
        <v>-3.2</v>
      </c>
      <c r="AC70" s="229">
        <v>4.0000000000000001E-3</v>
      </c>
      <c r="AD70" s="228">
        <v>8.3000000000000007</v>
      </c>
      <c r="AE70" s="228">
        <v>11.5</v>
      </c>
      <c r="AF70" s="228">
        <v>-3.2</v>
      </c>
      <c r="AG70" s="229">
        <v>4.0000000000000001E-3</v>
      </c>
      <c r="AH70" s="228">
        <v>18.899999999999999</v>
      </c>
      <c r="AI70" s="228">
        <v>22.6</v>
      </c>
      <c r="AJ70" s="228">
        <v>-3.7</v>
      </c>
      <c r="AK70" s="229">
        <v>8.9999999999999993E-3</v>
      </c>
      <c r="AL70" s="228">
        <v>32.5</v>
      </c>
      <c r="AM70" s="228">
        <v>38.4</v>
      </c>
      <c r="AN70" s="228">
        <v>-5.9</v>
      </c>
      <c r="AO70" s="229">
        <v>1.55E-2</v>
      </c>
      <c r="AP70" s="231">
        <v>2087.0500000000002</v>
      </c>
      <c r="AQ70" s="231">
        <v>2098.8200000000002</v>
      </c>
      <c r="AR70" s="228">
        <v>0</v>
      </c>
      <c r="AS70" s="228">
        <v>481</v>
      </c>
      <c r="AT70" s="228">
        <v>295</v>
      </c>
      <c r="AU70" s="228">
        <v>186</v>
      </c>
      <c r="AV70" s="229">
        <v>0.63009999999999999</v>
      </c>
      <c r="AW70" s="228">
        <v>451</v>
      </c>
      <c r="AX70" s="228">
        <v>278</v>
      </c>
      <c r="AY70" s="228">
        <v>172</v>
      </c>
      <c r="AZ70" s="229">
        <v>0.61980000000000002</v>
      </c>
      <c r="BA70" s="228">
        <v>26</v>
      </c>
      <c r="BB70" s="228">
        <v>16</v>
      </c>
      <c r="BC70" s="228">
        <v>10</v>
      </c>
      <c r="BD70" s="229">
        <v>0.62370000000000003</v>
      </c>
      <c r="BE70" s="228">
        <v>4</v>
      </c>
      <c r="BF70" s="228">
        <v>1</v>
      </c>
      <c r="BG70" s="228">
        <v>3</v>
      </c>
      <c r="BH70" s="229">
        <v>4.9166999999999996</v>
      </c>
      <c r="BI70" s="230">
        <v>1583</v>
      </c>
      <c r="BJ70" s="228">
        <v>634</v>
      </c>
      <c r="BK70" s="228">
        <v>949</v>
      </c>
      <c r="BL70" s="229">
        <v>1.4962</v>
      </c>
      <c r="BM70" s="228">
        <v>525</v>
      </c>
      <c r="BN70" s="228">
        <v>259</v>
      </c>
      <c r="BO70" s="228">
        <v>266</v>
      </c>
      <c r="BP70" s="229">
        <v>1.0251999999999999</v>
      </c>
      <c r="BQ70" s="230">
        <v>2589</v>
      </c>
      <c r="BR70" s="230">
        <v>1189</v>
      </c>
      <c r="BS70" s="230">
        <v>1401</v>
      </c>
      <c r="BT70" s="229">
        <v>1.1785000000000001</v>
      </c>
      <c r="BU70" s="230">
        <v>917959</v>
      </c>
      <c r="BV70" s="230">
        <v>529557</v>
      </c>
      <c r="BW70" s="230">
        <v>388402</v>
      </c>
      <c r="BX70" s="229">
        <v>0.73340000000000005</v>
      </c>
      <c r="BY70" s="230">
        <v>2054</v>
      </c>
      <c r="BZ70" s="230">
        <v>2103</v>
      </c>
      <c r="CA70" s="228">
        <v>-49</v>
      </c>
      <c r="CB70" s="229">
        <v>-2.35E-2</v>
      </c>
      <c r="CC70" s="230">
        <v>2004</v>
      </c>
      <c r="CD70" s="230">
        <v>2051</v>
      </c>
      <c r="CE70" s="228">
        <v>-47</v>
      </c>
      <c r="CF70" s="229">
        <v>-2.2800000000000001E-2</v>
      </c>
      <c r="CG70" s="228">
        <v>46</v>
      </c>
      <c r="CH70" s="228">
        <v>50</v>
      </c>
      <c r="CI70" s="228">
        <v>-4</v>
      </c>
      <c r="CJ70" s="229">
        <v>-8.3000000000000004E-2</v>
      </c>
      <c r="CK70" s="228">
        <v>4</v>
      </c>
      <c r="CL70" s="228">
        <v>2</v>
      </c>
      <c r="CM70" s="228">
        <v>2</v>
      </c>
      <c r="CN70" s="229">
        <v>0.72970000000000002</v>
      </c>
      <c r="CO70" s="228">
        <v>577</v>
      </c>
      <c r="CP70" s="228">
        <v>588</v>
      </c>
      <c r="CQ70" s="228">
        <v>-11</v>
      </c>
      <c r="CR70" s="229">
        <v>-1.8599999999999998E-2</v>
      </c>
      <c r="CS70" s="228">
        <v>380</v>
      </c>
      <c r="CT70" s="228">
        <v>362</v>
      </c>
      <c r="CU70" s="228">
        <v>17</v>
      </c>
      <c r="CV70" s="229">
        <v>4.7500000000000001E-2</v>
      </c>
      <c r="CW70" s="230">
        <v>3010</v>
      </c>
      <c r="CX70" s="230">
        <v>3053</v>
      </c>
      <c r="CY70" s="228">
        <v>-43</v>
      </c>
      <c r="CZ70" s="229">
        <v>-1.41E-2</v>
      </c>
      <c r="DA70" s="228">
        <v>31.27</v>
      </c>
      <c r="DB70" s="228">
        <v>32.159999999999997</v>
      </c>
      <c r="DC70" s="228">
        <v>-0.89</v>
      </c>
      <c r="DD70" s="228">
        <v>-0.89</v>
      </c>
      <c r="DE70" s="228">
        <v>44.36</v>
      </c>
      <c r="DF70" s="228">
        <v>44.31</v>
      </c>
      <c r="DG70" s="228">
        <v>-13.09</v>
      </c>
      <c r="DH70" s="228">
        <v>0.05</v>
      </c>
      <c r="DI70" s="228">
        <v>31.22</v>
      </c>
      <c r="DJ70" s="228">
        <v>32.159999999999997</v>
      </c>
      <c r="DK70" s="228">
        <v>-0.94</v>
      </c>
      <c r="DL70" s="228">
        <v>-0.94</v>
      </c>
      <c r="DM70" s="228">
        <v>31.4</v>
      </c>
      <c r="DN70" s="228">
        <v>32.18</v>
      </c>
      <c r="DO70" s="228">
        <v>-0.78</v>
      </c>
      <c r="DP70" s="228">
        <v>-0.78</v>
      </c>
      <c r="DQ70" s="228">
        <v>0.66</v>
      </c>
      <c r="DR70" s="228">
        <v>0.62</v>
      </c>
      <c r="DS70" s="228">
        <v>0.04</v>
      </c>
      <c r="DT70" s="229">
        <v>6.4500000000000002E-2</v>
      </c>
      <c r="DU70" s="231">
        <v>2100</v>
      </c>
      <c r="DV70" s="231">
        <v>2000</v>
      </c>
      <c r="DW70" s="228">
        <v>0.33</v>
      </c>
      <c r="DX70" s="228">
        <v>0.41</v>
      </c>
      <c r="DY70" s="228">
        <v>-0.08</v>
      </c>
      <c r="DZ70" s="229">
        <v>-0.1951</v>
      </c>
      <c r="EA70" s="229">
        <v>2.4199999999999999E-2</v>
      </c>
      <c r="EB70" s="230">
        <v>248600</v>
      </c>
      <c r="EC70" s="229">
        <v>5.0000000000000001E-3</v>
      </c>
      <c r="ED70" s="229">
        <v>2.4199999999999999E-2</v>
      </c>
      <c r="EE70" s="228">
        <v>11.77</v>
      </c>
      <c r="EF70" s="229">
        <v>5.5999999999999999E-3</v>
      </c>
      <c r="EG70" s="230">
        <v>348965</v>
      </c>
      <c r="EH70" s="230">
        <v>194591</v>
      </c>
      <c r="EI70" s="229">
        <v>0.79330000000000001</v>
      </c>
      <c r="EJ70" s="229">
        <v>0.38019999999999998</v>
      </c>
      <c r="EK70" s="231">
        <v>1633.84</v>
      </c>
      <c r="EL70" s="228">
        <v>517.38</v>
      </c>
      <c r="EM70" s="228">
        <v>478.01</v>
      </c>
      <c r="EN70" s="228">
        <v>36.46</v>
      </c>
      <c r="EO70" s="231">
        <v>2629.23</v>
      </c>
      <c r="EP70" s="231">
        <v>1187.68</v>
      </c>
      <c r="EQ70" s="231">
        <v>1441.54</v>
      </c>
      <c r="ER70" s="229">
        <v>1.2137</v>
      </c>
      <c r="ES70" s="228">
        <v>597.86</v>
      </c>
      <c r="ET70" s="228">
        <v>362.91</v>
      </c>
      <c r="EU70" s="231">
        <v>2053.83</v>
      </c>
      <c r="EV70" s="231">
        <v>24082879</v>
      </c>
      <c r="EW70" s="231">
        <v>3014.59</v>
      </c>
      <c r="EX70" s="231">
        <v>2998.91</v>
      </c>
      <c r="EY70" s="228">
        <v>15.68</v>
      </c>
      <c r="EZ70" s="229">
        <v>5.1999999999999998E-3</v>
      </c>
      <c r="FA70" s="229">
        <v>0.59509999999999996</v>
      </c>
      <c r="FB70" s="227" t="s">
        <v>556</v>
      </c>
      <c r="FC70">
        <f t="shared" si="1"/>
        <v>50</v>
      </c>
    </row>
    <row r="71" spans="1:159" ht="17.25" thickBot="1" x14ac:dyDescent="0.3">
      <c r="A71" s="226">
        <v>45940</v>
      </c>
      <c r="B71" s="227" t="s">
        <v>157</v>
      </c>
      <c r="C71" s="227" t="s">
        <v>219</v>
      </c>
      <c r="D71" s="228">
        <v>250</v>
      </c>
      <c r="E71" s="228">
        <v>18</v>
      </c>
      <c r="F71" s="231">
        <v>2826.5</v>
      </c>
      <c r="G71" s="231">
        <v>2824.7</v>
      </c>
      <c r="H71" s="228">
        <v>1.8</v>
      </c>
      <c r="I71" s="229">
        <v>5.9999999999999995E-4</v>
      </c>
      <c r="J71" s="231">
        <v>2811</v>
      </c>
      <c r="K71" s="231">
        <v>2810.6</v>
      </c>
      <c r="L71" s="228">
        <v>0.4</v>
      </c>
      <c r="M71" s="229">
        <v>1E-4</v>
      </c>
      <c r="N71" s="231">
        <v>2826.5</v>
      </c>
      <c r="O71" s="231">
        <v>2824.7</v>
      </c>
      <c r="P71" s="228">
        <v>1.8</v>
      </c>
      <c r="Q71" s="229">
        <v>5.9999999999999995E-4</v>
      </c>
      <c r="R71" s="231">
        <v>2843</v>
      </c>
      <c r="S71" s="231">
        <v>2839.6</v>
      </c>
      <c r="T71" s="228">
        <v>3.4</v>
      </c>
      <c r="U71" s="229">
        <v>1.1999999999999999E-3</v>
      </c>
      <c r="V71" s="231">
        <v>2859.8</v>
      </c>
      <c r="W71" s="231">
        <v>2835</v>
      </c>
      <c r="X71" s="228">
        <v>24.8</v>
      </c>
      <c r="Y71" s="229">
        <v>8.6999999999999994E-3</v>
      </c>
      <c r="Z71" s="228">
        <v>15.5</v>
      </c>
      <c r="AA71" s="228">
        <v>14.1</v>
      </c>
      <c r="AB71" s="228">
        <v>1.4</v>
      </c>
      <c r="AC71" s="229">
        <v>5.4999999999999997E-3</v>
      </c>
      <c r="AD71" s="228">
        <v>15.5</v>
      </c>
      <c r="AE71" s="228">
        <v>14.1</v>
      </c>
      <c r="AF71" s="228">
        <v>1.4</v>
      </c>
      <c r="AG71" s="229">
        <v>5.4999999999999997E-3</v>
      </c>
      <c r="AH71" s="228">
        <v>32</v>
      </c>
      <c r="AI71" s="228">
        <v>29</v>
      </c>
      <c r="AJ71" s="228">
        <v>3</v>
      </c>
      <c r="AK71" s="229">
        <v>1.14E-2</v>
      </c>
      <c r="AL71" s="228">
        <v>48.8</v>
      </c>
      <c r="AM71" s="228">
        <v>24.4</v>
      </c>
      <c r="AN71" s="228">
        <v>24.4</v>
      </c>
      <c r="AO71" s="229">
        <v>1.7399999999999999E-2</v>
      </c>
      <c r="AP71" s="231">
        <v>2829.11</v>
      </c>
      <c r="AQ71" s="231">
        <v>2847.69</v>
      </c>
      <c r="AR71" s="228">
        <v>0</v>
      </c>
      <c r="AS71" s="228">
        <v>205</v>
      </c>
      <c r="AT71" s="228">
        <v>163</v>
      </c>
      <c r="AU71" s="228">
        <v>42</v>
      </c>
      <c r="AV71" s="229">
        <v>0.25950000000000001</v>
      </c>
      <c r="AW71" s="228">
        <v>189</v>
      </c>
      <c r="AX71" s="228">
        <v>158</v>
      </c>
      <c r="AY71" s="228">
        <v>31</v>
      </c>
      <c r="AZ71" s="229">
        <v>0.1973</v>
      </c>
      <c r="BA71" s="228">
        <v>14</v>
      </c>
      <c r="BB71" s="228">
        <v>5</v>
      </c>
      <c r="BC71" s="228">
        <v>8</v>
      </c>
      <c r="BD71" s="229">
        <v>1.5395000000000001</v>
      </c>
      <c r="BE71" s="228">
        <v>3</v>
      </c>
      <c r="BF71" s="228">
        <v>0</v>
      </c>
      <c r="BG71" s="228">
        <v>3</v>
      </c>
      <c r="BH71" s="229">
        <v>21</v>
      </c>
      <c r="BI71" s="228">
        <v>443</v>
      </c>
      <c r="BJ71" s="228">
        <v>491</v>
      </c>
      <c r="BK71" s="228">
        <v>-48</v>
      </c>
      <c r="BL71" s="229">
        <v>-9.8699999999999996E-2</v>
      </c>
      <c r="BM71" s="228">
        <v>162</v>
      </c>
      <c r="BN71" s="228">
        <v>189</v>
      </c>
      <c r="BO71" s="228">
        <v>-27</v>
      </c>
      <c r="BP71" s="229">
        <v>-0.14510000000000001</v>
      </c>
      <c r="BQ71" s="228">
        <v>810</v>
      </c>
      <c r="BR71" s="228">
        <v>843</v>
      </c>
      <c r="BS71" s="228">
        <v>-34</v>
      </c>
      <c r="BT71" s="229">
        <v>-3.9800000000000002E-2</v>
      </c>
      <c r="BU71" s="230">
        <v>590080</v>
      </c>
      <c r="BV71" s="230">
        <v>411666</v>
      </c>
      <c r="BW71" s="230">
        <v>178414</v>
      </c>
      <c r="BX71" s="229">
        <v>0.43340000000000001</v>
      </c>
      <c r="BY71" s="230">
        <v>4085</v>
      </c>
      <c r="BZ71" s="230">
        <v>4041</v>
      </c>
      <c r="CA71" s="228">
        <v>44</v>
      </c>
      <c r="CB71" s="229">
        <v>1.0999999999999999E-2</v>
      </c>
      <c r="CC71" s="230">
        <v>4062</v>
      </c>
      <c r="CD71" s="230">
        <v>4026</v>
      </c>
      <c r="CE71" s="228">
        <v>36</v>
      </c>
      <c r="CF71" s="229">
        <v>9.1000000000000004E-3</v>
      </c>
      <c r="CG71" s="228">
        <v>20</v>
      </c>
      <c r="CH71" s="228">
        <v>15</v>
      </c>
      <c r="CI71" s="228">
        <v>5</v>
      </c>
      <c r="CJ71" s="229">
        <v>0.36670000000000003</v>
      </c>
      <c r="CK71" s="228">
        <v>3</v>
      </c>
      <c r="CL71" s="228">
        <v>1</v>
      </c>
      <c r="CM71" s="228">
        <v>3</v>
      </c>
      <c r="CN71" s="229">
        <v>4.5</v>
      </c>
      <c r="CO71" s="228">
        <v>480</v>
      </c>
      <c r="CP71" s="228">
        <v>489</v>
      </c>
      <c r="CQ71" s="228">
        <v>-9</v>
      </c>
      <c r="CR71" s="229">
        <v>-1.7899999999999999E-2</v>
      </c>
      <c r="CS71" s="228">
        <v>286</v>
      </c>
      <c r="CT71" s="228">
        <v>288</v>
      </c>
      <c r="CU71" s="228">
        <v>-3</v>
      </c>
      <c r="CV71" s="229">
        <v>-8.8000000000000005E-3</v>
      </c>
      <c r="CW71" s="230">
        <v>4852</v>
      </c>
      <c r="CX71" s="230">
        <v>4819</v>
      </c>
      <c r="CY71" s="228">
        <v>33</v>
      </c>
      <c r="CZ71" s="229">
        <v>6.8999999999999999E-3</v>
      </c>
      <c r="DA71" s="228">
        <v>17.73</v>
      </c>
      <c r="DB71" s="228">
        <v>18.739999999999998</v>
      </c>
      <c r="DC71" s="228">
        <v>-1.01</v>
      </c>
      <c r="DD71" s="228">
        <v>-1.01</v>
      </c>
      <c r="DE71" s="228">
        <v>25.61</v>
      </c>
      <c r="DF71" s="228">
        <v>25.67</v>
      </c>
      <c r="DG71" s="228">
        <v>-7.88</v>
      </c>
      <c r="DH71" s="228">
        <v>-0.06</v>
      </c>
      <c r="DI71" s="228">
        <v>17.64</v>
      </c>
      <c r="DJ71" s="228">
        <v>18.78</v>
      </c>
      <c r="DK71" s="228">
        <v>-1.1399999999999999</v>
      </c>
      <c r="DL71" s="228">
        <v>-1.1399999999999999</v>
      </c>
      <c r="DM71" s="228">
        <v>17.989999999999998</v>
      </c>
      <c r="DN71" s="228">
        <v>18.63</v>
      </c>
      <c r="DO71" s="228">
        <v>-0.64</v>
      </c>
      <c r="DP71" s="228">
        <v>-0.64</v>
      </c>
      <c r="DQ71" s="228">
        <v>0.6</v>
      </c>
      <c r="DR71" s="228">
        <v>0.59</v>
      </c>
      <c r="DS71" s="228">
        <v>0.01</v>
      </c>
      <c r="DT71" s="229">
        <v>1.6899999999999998E-2</v>
      </c>
      <c r="DU71" s="231">
        <v>2900</v>
      </c>
      <c r="DV71" s="231">
        <v>2700</v>
      </c>
      <c r="DW71" s="228">
        <v>0.37</v>
      </c>
      <c r="DX71" s="228">
        <v>0.38</v>
      </c>
      <c r="DY71" s="228">
        <v>-0.01</v>
      </c>
      <c r="DZ71" s="229">
        <v>-2.63E-2</v>
      </c>
      <c r="EA71" s="229">
        <v>5.7000000000000002E-3</v>
      </c>
      <c r="EB71" s="230">
        <v>54500</v>
      </c>
      <c r="EC71" s="229">
        <v>5.7999999999999996E-3</v>
      </c>
      <c r="ED71" s="229">
        <v>5.7000000000000002E-3</v>
      </c>
      <c r="EE71" s="228">
        <v>18.579999999999998</v>
      </c>
      <c r="EF71" s="229">
        <v>6.6E-3</v>
      </c>
      <c r="EG71" s="230">
        <v>363615</v>
      </c>
      <c r="EH71" s="230">
        <v>245764</v>
      </c>
      <c r="EI71" s="229">
        <v>0.47949999999999998</v>
      </c>
      <c r="EJ71" s="229">
        <v>0.61619999999999997</v>
      </c>
      <c r="EK71" s="228">
        <v>454.56</v>
      </c>
      <c r="EL71" s="228">
        <v>159.66</v>
      </c>
      <c r="EM71" s="228">
        <v>205.73</v>
      </c>
      <c r="EN71" s="228">
        <v>31.06</v>
      </c>
      <c r="EO71" s="228">
        <v>819.95</v>
      </c>
      <c r="EP71" s="228">
        <v>852.05</v>
      </c>
      <c r="EQ71" s="228">
        <v>-32.1</v>
      </c>
      <c r="ER71" s="229">
        <v>-3.7699999999999997E-2</v>
      </c>
      <c r="ES71" s="228">
        <v>497.55</v>
      </c>
      <c r="ET71" s="228">
        <v>276.38</v>
      </c>
      <c r="EU71" s="231">
        <v>4085.65</v>
      </c>
      <c r="EV71" s="231">
        <v>38514157</v>
      </c>
      <c r="EW71" s="231">
        <v>4859.58</v>
      </c>
      <c r="EX71" s="231">
        <v>4823.0200000000004</v>
      </c>
      <c r="EY71" s="228">
        <v>36.56</v>
      </c>
      <c r="EZ71" s="229">
        <v>7.6E-3</v>
      </c>
      <c r="FA71" s="229">
        <v>0.44569999999999999</v>
      </c>
      <c r="FB71" s="227" t="s">
        <v>555</v>
      </c>
      <c r="FC71">
        <f t="shared" si="1"/>
        <v>23</v>
      </c>
    </row>
    <row r="72" spans="1:159" ht="17.25" thickBot="1" x14ac:dyDescent="0.3">
      <c r="A72" s="226">
        <v>45940</v>
      </c>
      <c r="B72" s="227" t="s">
        <v>184</v>
      </c>
      <c r="C72" s="227" t="s">
        <v>513</v>
      </c>
      <c r="D72" s="228">
        <v>150</v>
      </c>
      <c r="E72" s="228">
        <v>18</v>
      </c>
      <c r="F72" s="231">
        <v>4859.3999999999996</v>
      </c>
      <c r="G72" s="231">
        <v>4873.7</v>
      </c>
      <c r="H72" s="228">
        <v>-14.3</v>
      </c>
      <c r="I72" s="229">
        <v>-2.8999999999999998E-3</v>
      </c>
      <c r="J72" s="231">
        <v>4832.8999999999996</v>
      </c>
      <c r="K72" s="231">
        <v>4846.3</v>
      </c>
      <c r="L72" s="228">
        <v>-13.4</v>
      </c>
      <c r="M72" s="229">
        <v>-2.8E-3</v>
      </c>
      <c r="N72" s="231">
        <v>4859.3999999999996</v>
      </c>
      <c r="O72" s="231">
        <v>4873.7</v>
      </c>
      <c r="P72" s="228">
        <v>-14.3</v>
      </c>
      <c r="Q72" s="229">
        <v>-2.8999999999999998E-3</v>
      </c>
      <c r="R72" s="231">
        <v>4883.5</v>
      </c>
      <c r="S72" s="231">
        <v>4898.3</v>
      </c>
      <c r="T72" s="228">
        <v>-14.8</v>
      </c>
      <c r="U72" s="229">
        <v>-3.0000000000000001E-3</v>
      </c>
      <c r="V72" s="231">
        <v>4913.8999999999996</v>
      </c>
      <c r="W72" s="231">
        <v>4927.8</v>
      </c>
      <c r="X72" s="228">
        <v>-13.9</v>
      </c>
      <c r="Y72" s="229">
        <v>-2.8E-3</v>
      </c>
      <c r="Z72" s="228">
        <v>26.5</v>
      </c>
      <c r="AA72" s="228">
        <v>27.4</v>
      </c>
      <c r="AB72" s="228">
        <v>-0.9</v>
      </c>
      <c r="AC72" s="229">
        <v>5.4999999999999997E-3</v>
      </c>
      <c r="AD72" s="228">
        <v>26.5</v>
      </c>
      <c r="AE72" s="228">
        <v>27.4</v>
      </c>
      <c r="AF72" s="228">
        <v>-0.9</v>
      </c>
      <c r="AG72" s="229">
        <v>5.4999999999999997E-3</v>
      </c>
      <c r="AH72" s="228">
        <v>50.6</v>
      </c>
      <c r="AI72" s="228">
        <v>52</v>
      </c>
      <c r="AJ72" s="228">
        <v>-1.4</v>
      </c>
      <c r="AK72" s="229">
        <v>1.0500000000000001E-2</v>
      </c>
      <c r="AL72" s="228">
        <v>81</v>
      </c>
      <c r="AM72" s="228">
        <v>81.5</v>
      </c>
      <c r="AN72" s="228">
        <v>-0.5</v>
      </c>
      <c r="AO72" s="229">
        <v>1.6799999999999999E-2</v>
      </c>
      <c r="AP72" s="231">
        <v>4887.63</v>
      </c>
      <c r="AQ72" s="231">
        <v>4913.49</v>
      </c>
      <c r="AR72" s="228">
        <v>0</v>
      </c>
      <c r="AS72" s="228">
        <v>579</v>
      </c>
      <c r="AT72" s="228">
        <v>893</v>
      </c>
      <c r="AU72" s="228">
        <v>-315</v>
      </c>
      <c r="AV72" s="229">
        <v>-0.3523</v>
      </c>
      <c r="AW72" s="228">
        <v>505</v>
      </c>
      <c r="AX72" s="228">
        <v>805</v>
      </c>
      <c r="AY72" s="228">
        <v>-300</v>
      </c>
      <c r="AZ72" s="229">
        <v>-0.37269999999999998</v>
      </c>
      <c r="BA72" s="228">
        <v>60</v>
      </c>
      <c r="BB72" s="228">
        <v>75</v>
      </c>
      <c r="BC72" s="228">
        <v>-15</v>
      </c>
      <c r="BD72" s="229">
        <v>-0.19500000000000001</v>
      </c>
      <c r="BE72" s="228">
        <v>13</v>
      </c>
      <c r="BF72" s="228">
        <v>13</v>
      </c>
      <c r="BG72" s="228">
        <v>0</v>
      </c>
      <c r="BH72" s="229">
        <v>-1.6199999999999999E-2</v>
      </c>
      <c r="BI72" s="230">
        <v>2774</v>
      </c>
      <c r="BJ72" s="230">
        <v>3385</v>
      </c>
      <c r="BK72" s="228">
        <v>-611</v>
      </c>
      <c r="BL72" s="229">
        <v>-0.1804</v>
      </c>
      <c r="BM72" s="230">
        <v>1060</v>
      </c>
      <c r="BN72" s="230">
        <v>1179</v>
      </c>
      <c r="BO72" s="228">
        <v>-119</v>
      </c>
      <c r="BP72" s="229">
        <v>-0.1009</v>
      </c>
      <c r="BQ72" s="230">
        <v>4413</v>
      </c>
      <c r="BR72" s="230">
        <v>5457</v>
      </c>
      <c r="BS72" s="230">
        <v>-1044</v>
      </c>
      <c r="BT72" s="229">
        <v>-0.19139999999999999</v>
      </c>
      <c r="BU72" s="230">
        <v>698754</v>
      </c>
      <c r="BV72" s="230">
        <v>1041997</v>
      </c>
      <c r="BW72" s="230">
        <v>-343243</v>
      </c>
      <c r="BX72" s="229">
        <v>-0.32940000000000003</v>
      </c>
      <c r="BY72" s="230">
        <v>4400</v>
      </c>
      <c r="BZ72" s="230">
        <v>4358</v>
      </c>
      <c r="CA72" s="228">
        <v>42</v>
      </c>
      <c r="CB72" s="229">
        <v>9.5999999999999992E-3</v>
      </c>
      <c r="CC72" s="230">
        <v>4149</v>
      </c>
      <c r="CD72" s="230">
        <v>4109</v>
      </c>
      <c r="CE72" s="228">
        <v>40</v>
      </c>
      <c r="CF72" s="229">
        <v>9.7999999999999997E-3</v>
      </c>
      <c r="CG72" s="228">
        <v>226</v>
      </c>
      <c r="CH72" s="228">
        <v>225</v>
      </c>
      <c r="CI72" s="228">
        <v>0</v>
      </c>
      <c r="CJ72" s="229">
        <v>1E-3</v>
      </c>
      <c r="CK72" s="228">
        <v>25</v>
      </c>
      <c r="CL72" s="228">
        <v>24</v>
      </c>
      <c r="CM72" s="228">
        <v>1</v>
      </c>
      <c r="CN72" s="229">
        <v>6.1199999999999997E-2</v>
      </c>
      <c r="CO72" s="230">
        <v>2044</v>
      </c>
      <c r="CP72" s="230">
        <v>1885</v>
      </c>
      <c r="CQ72" s="228">
        <v>159</v>
      </c>
      <c r="CR72" s="229">
        <v>8.43E-2</v>
      </c>
      <c r="CS72" s="230">
        <v>1253</v>
      </c>
      <c r="CT72" s="230">
        <v>1259</v>
      </c>
      <c r="CU72" s="228">
        <v>-6</v>
      </c>
      <c r="CV72" s="229">
        <v>-4.8999999999999998E-3</v>
      </c>
      <c r="CW72" s="230">
        <v>7697</v>
      </c>
      <c r="CX72" s="230">
        <v>7502</v>
      </c>
      <c r="CY72" s="228">
        <v>195</v>
      </c>
      <c r="CZ72" s="229">
        <v>2.5899999999999999E-2</v>
      </c>
      <c r="DA72" s="228">
        <v>26.25</v>
      </c>
      <c r="DB72" s="228">
        <v>26.99</v>
      </c>
      <c r="DC72" s="228">
        <v>-0.74</v>
      </c>
      <c r="DD72" s="228">
        <v>-0.74</v>
      </c>
      <c r="DE72" s="228">
        <v>40.07</v>
      </c>
      <c r="DF72" s="228">
        <v>40.17</v>
      </c>
      <c r="DG72" s="228">
        <v>-13.82</v>
      </c>
      <c r="DH72" s="228">
        <v>-0.1</v>
      </c>
      <c r="DI72" s="228">
        <v>26.21</v>
      </c>
      <c r="DJ72" s="228">
        <v>27.01</v>
      </c>
      <c r="DK72" s="228">
        <v>-0.8</v>
      </c>
      <c r="DL72" s="228">
        <v>-0.8</v>
      </c>
      <c r="DM72" s="228">
        <v>26.34</v>
      </c>
      <c r="DN72" s="228">
        <v>26.95</v>
      </c>
      <c r="DO72" s="228">
        <v>-0.61</v>
      </c>
      <c r="DP72" s="228">
        <v>-0.61</v>
      </c>
      <c r="DQ72" s="228">
        <v>0.61</v>
      </c>
      <c r="DR72" s="228">
        <v>0.67</v>
      </c>
      <c r="DS72" s="228">
        <v>-0.06</v>
      </c>
      <c r="DT72" s="229">
        <v>-8.9599999999999999E-2</v>
      </c>
      <c r="DU72" s="231">
        <v>5000</v>
      </c>
      <c r="DV72" s="231">
        <v>4800</v>
      </c>
      <c r="DW72" s="228">
        <v>0.38</v>
      </c>
      <c r="DX72" s="228">
        <v>0.35</v>
      </c>
      <c r="DY72" s="228">
        <v>0.03</v>
      </c>
      <c r="DZ72" s="229">
        <v>8.5699999999999998E-2</v>
      </c>
      <c r="EA72" s="229">
        <v>5.7000000000000002E-2</v>
      </c>
      <c r="EB72" s="230">
        <v>512700</v>
      </c>
      <c r="EC72" s="229">
        <v>5.0000000000000001E-3</v>
      </c>
      <c r="ED72" s="229">
        <v>5.7000000000000002E-2</v>
      </c>
      <c r="EE72" s="228">
        <v>25.86</v>
      </c>
      <c r="EF72" s="229">
        <v>5.3E-3</v>
      </c>
      <c r="EG72" s="230">
        <v>361378</v>
      </c>
      <c r="EH72" s="230">
        <v>502308</v>
      </c>
      <c r="EI72" s="229">
        <v>-0.28060000000000002</v>
      </c>
      <c r="EJ72" s="229">
        <v>0.51719999999999999</v>
      </c>
      <c r="EK72" s="231">
        <v>2897.87</v>
      </c>
      <c r="EL72" s="231">
        <v>1039.76</v>
      </c>
      <c r="EM72" s="228">
        <v>582.36</v>
      </c>
      <c r="EN72" s="228">
        <v>84.19</v>
      </c>
      <c r="EO72" s="231">
        <v>4520</v>
      </c>
      <c r="EP72" s="231">
        <v>5567.94</v>
      </c>
      <c r="EQ72" s="231">
        <v>-1047.95</v>
      </c>
      <c r="ER72" s="229">
        <v>-0.18820000000000001</v>
      </c>
      <c r="ES72" s="231">
        <v>2113.21</v>
      </c>
      <c r="ET72" s="231">
        <v>1213.19</v>
      </c>
      <c r="EU72" s="231">
        <v>4401.3900000000003</v>
      </c>
      <c r="EV72" s="231">
        <v>28450886</v>
      </c>
      <c r="EW72" s="231">
        <v>7727.79</v>
      </c>
      <c r="EX72" s="231">
        <v>7537.63</v>
      </c>
      <c r="EY72" s="228">
        <v>190.16</v>
      </c>
      <c r="EZ72" s="229">
        <v>2.52E-2</v>
      </c>
      <c r="FA72" s="229">
        <v>0.55669999999999997</v>
      </c>
      <c r="FB72" s="227" t="s">
        <v>567</v>
      </c>
      <c r="FC72">
        <f t="shared" si="1"/>
        <v>251</v>
      </c>
    </row>
    <row r="73" spans="1:159" ht="17.25" thickBot="1" x14ac:dyDescent="0.3">
      <c r="A73" s="226">
        <v>45940</v>
      </c>
      <c r="B73" s="227" t="s">
        <v>184</v>
      </c>
      <c r="C73" s="227" t="s">
        <v>220</v>
      </c>
      <c r="D73" s="228">
        <v>500</v>
      </c>
      <c r="E73" s="228">
        <v>18</v>
      </c>
      <c r="F73" s="231">
        <v>1504.1</v>
      </c>
      <c r="G73" s="231">
        <v>1492.3</v>
      </c>
      <c r="H73" s="228">
        <v>11.8</v>
      </c>
      <c r="I73" s="229">
        <v>7.9000000000000008E-3</v>
      </c>
      <c r="J73" s="231">
        <v>1495.9</v>
      </c>
      <c r="K73" s="231">
        <v>1485.8</v>
      </c>
      <c r="L73" s="228">
        <v>10.1</v>
      </c>
      <c r="M73" s="229">
        <v>6.7999999999999996E-3</v>
      </c>
      <c r="N73" s="231">
        <v>1504.1</v>
      </c>
      <c r="O73" s="231">
        <v>1492.3</v>
      </c>
      <c r="P73" s="228">
        <v>11.8</v>
      </c>
      <c r="Q73" s="229">
        <v>7.9000000000000008E-3</v>
      </c>
      <c r="R73" s="231">
        <v>1511.3</v>
      </c>
      <c r="S73" s="231">
        <v>1500.4</v>
      </c>
      <c r="T73" s="228">
        <v>10.9</v>
      </c>
      <c r="U73" s="229">
        <v>7.3000000000000001E-3</v>
      </c>
      <c r="V73" s="231">
        <v>1522.3</v>
      </c>
      <c r="W73" s="231">
        <v>1504</v>
      </c>
      <c r="X73" s="228">
        <v>18.3</v>
      </c>
      <c r="Y73" s="229">
        <v>1.2200000000000001E-2</v>
      </c>
      <c r="Z73" s="228">
        <v>8.1999999999999993</v>
      </c>
      <c r="AA73" s="228">
        <v>6.5</v>
      </c>
      <c r="AB73" s="228">
        <v>1.7</v>
      </c>
      <c r="AC73" s="229">
        <v>5.4999999999999997E-3</v>
      </c>
      <c r="AD73" s="228">
        <v>8.1999999999999993</v>
      </c>
      <c r="AE73" s="228">
        <v>6.5</v>
      </c>
      <c r="AF73" s="228">
        <v>1.7</v>
      </c>
      <c r="AG73" s="229">
        <v>5.4999999999999997E-3</v>
      </c>
      <c r="AH73" s="228">
        <v>15.4</v>
      </c>
      <c r="AI73" s="228">
        <v>14.6</v>
      </c>
      <c r="AJ73" s="228">
        <v>0.8</v>
      </c>
      <c r="AK73" s="229">
        <v>1.03E-2</v>
      </c>
      <c r="AL73" s="228">
        <v>26.4</v>
      </c>
      <c r="AM73" s="228">
        <v>18.2</v>
      </c>
      <c r="AN73" s="228">
        <v>8.1999999999999993</v>
      </c>
      <c r="AO73" s="229">
        <v>1.7600000000000001E-2</v>
      </c>
      <c r="AP73" s="231">
        <v>1512.1</v>
      </c>
      <c r="AQ73" s="231">
        <v>1520.42</v>
      </c>
      <c r="AR73" s="228">
        <v>0</v>
      </c>
      <c r="AS73" s="228">
        <v>417</v>
      </c>
      <c r="AT73" s="228">
        <v>278</v>
      </c>
      <c r="AU73" s="228">
        <v>138</v>
      </c>
      <c r="AV73" s="229">
        <v>0.49619999999999997</v>
      </c>
      <c r="AW73" s="228">
        <v>390</v>
      </c>
      <c r="AX73" s="228">
        <v>263</v>
      </c>
      <c r="AY73" s="228">
        <v>127</v>
      </c>
      <c r="AZ73" s="229">
        <v>0.48399999999999999</v>
      </c>
      <c r="BA73" s="228">
        <v>23</v>
      </c>
      <c r="BB73" s="228">
        <v>14</v>
      </c>
      <c r="BC73" s="228">
        <v>10</v>
      </c>
      <c r="BD73" s="229">
        <v>0.6865</v>
      </c>
      <c r="BE73" s="228">
        <v>3</v>
      </c>
      <c r="BF73" s="228">
        <v>1</v>
      </c>
      <c r="BG73" s="228">
        <v>1</v>
      </c>
      <c r="BH73" s="229">
        <v>0.89470000000000005</v>
      </c>
      <c r="BI73" s="228">
        <v>896</v>
      </c>
      <c r="BJ73" s="228">
        <v>444</v>
      </c>
      <c r="BK73" s="228">
        <v>452</v>
      </c>
      <c r="BL73" s="229">
        <v>1.0176000000000001</v>
      </c>
      <c r="BM73" s="228">
        <v>343</v>
      </c>
      <c r="BN73" s="228">
        <v>236</v>
      </c>
      <c r="BO73" s="228">
        <v>107</v>
      </c>
      <c r="BP73" s="229">
        <v>0.4516</v>
      </c>
      <c r="BQ73" s="230">
        <v>1655</v>
      </c>
      <c r="BR73" s="228">
        <v>959</v>
      </c>
      <c r="BS73" s="228">
        <v>697</v>
      </c>
      <c r="BT73" s="229">
        <v>0.72670000000000001</v>
      </c>
      <c r="BU73" s="230">
        <v>842285</v>
      </c>
      <c r="BV73" s="230">
        <v>628325</v>
      </c>
      <c r="BW73" s="230">
        <v>213960</v>
      </c>
      <c r="BX73" s="229">
        <v>0.34050000000000002</v>
      </c>
      <c r="BY73" s="230">
        <v>1580</v>
      </c>
      <c r="BZ73" s="230">
        <v>1585</v>
      </c>
      <c r="CA73" s="228">
        <v>-5</v>
      </c>
      <c r="CB73" s="229">
        <v>-3.0000000000000001E-3</v>
      </c>
      <c r="CC73" s="230">
        <v>1542</v>
      </c>
      <c r="CD73" s="230">
        <v>1549</v>
      </c>
      <c r="CE73" s="228">
        <v>-7</v>
      </c>
      <c r="CF73" s="229">
        <v>-4.4000000000000003E-3</v>
      </c>
      <c r="CG73" s="228">
        <v>34</v>
      </c>
      <c r="CH73" s="228">
        <v>32</v>
      </c>
      <c r="CI73" s="228">
        <v>2</v>
      </c>
      <c r="CJ73" s="229">
        <v>4.65E-2</v>
      </c>
      <c r="CK73" s="228">
        <v>4</v>
      </c>
      <c r="CL73" s="228">
        <v>4</v>
      </c>
      <c r="CM73" s="228">
        <v>1</v>
      </c>
      <c r="CN73" s="229">
        <v>0.16669999999999999</v>
      </c>
      <c r="CO73" s="228">
        <v>389</v>
      </c>
      <c r="CP73" s="228">
        <v>416</v>
      </c>
      <c r="CQ73" s="228">
        <v>-27</v>
      </c>
      <c r="CR73" s="229">
        <v>-6.4699999999999994E-2</v>
      </c>
      <c r="CS73" s="228">
        <v>239</v>
      </c>
      <c r="CT73" s="228">
        <v>238</v>
      </c>
      <c r="CU73" s="228">
        <v>1</v>
      </c>
      <c r="CV73" s="229">
        <v>6.0000000000000001E-3</v>
      </c>
      <c r="CW73" s="230">
        <v>2208</v>
      </c>
      <c r="CX73" s="230">
        <v>2238</v>
      </c>
      <c r="CY73" s="228">
        <v>-30</v>
      </c>
      <c r="CZ73" s="229">
        <v>-1.35E-2</v>
      </c>
      <c r="DA73" s="228">
        <v>26.7</v>
      </c>
      <c r="DB73" s="228">
        <v>27.21</v>
      </c>
      <c r="DC73" s="228">
        <v>-0.51</v>
      </c>
      <c r="DD73" s="228">
        <v>-0.51</v>
      </c>
      <c r="DE73" s="228">
        <v>28.57</v>
      </c>
      <c r="DF73" s="228">
        <v>28.62</v>
      </c>
      <c r="DG73" s="228">
        <v>-1.87</v>
      </c>
      <c r="DH73" s="228">
        <v>-0.05</v>
      </c>
      <c r="DI73" s="228">
        <v>26.85</v>
      </c>
      <c r="DJ73" s="228">
        <v>27.23</v>
      </c>
      <c r="DK73" s="228">
        <v>-0.38</v>
      </c>
      <c r="DL73" s="228">
        <v>-0.38</v>
      </c>
      <c r="DM73" s="228">
        <v>26.33</v>
      </c>
      <c r="DN73" s="228">
        <v>27.17</v>
      </c>
      <c r="DO73" s="228">
        <v>-0.84</v>
      </c>
      <c r="DP73" s="228">
        <v>-0.84</v>
      </c>
      <c r="DQ73" s="228">
        <v>0.61</v>
      </c>
      <c r="DR73" s="228">
        <v>0.56999999999999995</v>
      </c>
      <c r="DS73" s="228">
        <v>0.04</v>
      </c>
      <c r="DT73" s="229">
        <v>7.0199999999999999E-2</v>
      </c>
      <c r="DU73" s="231">
        <v>1600</v>
      </c>
      <c r="DV73" s="231">
        <v>1500</v>
      </c>
      <c r="DW73" s="228">
        <v>0.38</v>
      </c>
      <c r="DX73" s="228">
        <v>0.53</v>
      </c>
      <c r="DY73" s="228">
        <v>-0.15</v>
      </c>
      <c r="DZ73" s="229">
        <v>-0.28299999999999997</v>
      </c>
      <c r="EA73" s="229">
        <v>2.41E-2</v>
      </c>
      <c r="EB73" s="230">
        <v>239000</v>
      </c>
      <c r="EC73" s="229">
        <v>4.7999999999999996E-3</v>
      </c>
      <c r="ED73" s="229">
        <v>2.41E-2</v>
      </c>
      <c r="EE73" s="228">
        <v>8.32</v>
      </c>
      <c r="EF73" s="229">
        <v>5.4999999999999997E-3</v>
      </c>
      <c r="EG73" s="230">
        <v>406443</v>
      </c>
      <c r="EH73" s="230">
        <v>359739</v>
      </c>
      <c r="EI73" s="229">
        <v>0.1298</v>
      </c>
      <c r="EJ73" s="229">
        <v>0.48249999999999998</v>
      </c>
      <c r="EK73" s="228">
        <v>934.78</v>
      </c>
      <c r="EL73" s="228">
        <v>343.24</v>
      </c>
      <c r="EM73" s="228">
        <v>418.93</v>
      </c>
      <c r="EN73" s="228">
        <v>27.34</v>
      </c>
      <c r="EO73" s="231">
        <v>1696.96</v>
      </c>
      <c r="EP73" s="228">
        <v>971.26</v>
      </c>
      <c r="EQ73" s="228">
        <v>725.7</v>
      </c>
      <c r="ER73" s="229">
        <v>0.74719999999999998</v>
      </c>
      <c r="ES73" s="228">
        <v>408.35</v>
      </c>
      <c r="ET73" s="228">
        <v>235.22</v>
      </c>
      <c r="EU73" s="231">
        <v>1580.19</v>
      </c>
      <c r="EV73" s="231">
        <v>38133766</v>
      </c>
      <c r="EW73" s="231">
        <v>2223.77</v>
      </c>
      <c r="EX73" s="231">
        <v>2242.2199999999998</v>
      </c>
      <c r="EY73" s="228">
        <v>-18.45</v>
      </c>
      <c r="EZ73" s="229">
        <v>-8.2000000000000007E-3</v>
      </c>
      <c r="FA73" s="229">
        <v>0.38490000000000002</v>
      </c>
      <c r="FB73" s="227" t="s">
        <v>556</v>
      </c>
      <c r="FC73">
        <f t="shared" si="1"/>
        <v>38</v>
      </c>
    </row>
    <row r="74" spans="1:159" ht="17.25" thickBot="1" x14ac:dyDescent="0.3">
      <c r="A74" s="226">
        <v>45940</v>
      </c>
      <c r="B74" s="227" t="s">
        <v>221</v>
      </c>
      <c r="C74" s="227" t="s">
        <v>222</v>
      </c>
      <c r="D74" s="228">
        <v>350</v>
      </c>
      <c r="E74" s="228">
        <v>18</v>
      </c>
      <c r="F74" s="231">
        <v>1487.8</v>
      </c>
      <c r="G74" s="231">
        <v>1479.2</v>
      </c>
      <c r="H74" s="228">
        <v>8.6</v>
      </c>
      <c r="I74" s="229">
        <v>5.7999999999999996E-3</v>
      </c>
      <c r="J74" s="231">
        <v>1495.5</v>
      </c>
      <c r="K74" s="231">
        <v>1486.5</v>
      </c>
      <c r="L74" s="228">
        <v>9</v>
      </c>
      <c r="M74" s="229">
        <v>6.1000000000000004E-3</v>
      </c>
      <c r="N74" s="231">
        <v>1487.8</v>
      </c>
      <c r="O74" s="231">
        <v>1479.2</v>
      </c>
      <c r="P74" s="228">
        <v>8.6</v>
      </c>
      <c r="Q74" s="229">
        <v>5.7999999999999996E-3</v>
      </c>
      <c r="R74" s="231">
        <v>1495.8</v>
      </c>
      <c r="S74" s="231">
        <v>1487.2</v>
      </c>
      <c r="T74" s="228">
        <v>8.6</v>
      </c>
      <c r="U74" s="229">
        <v>5.7999999999999996E-3</v>
      </c>
      <c r="V74" s="231">
        <v>1504.5</v>
      </c>
      <c r="W74" s="231">
        <v>1492.3</v>
      </c>
      <c r="X74" s="228">
        <v>12.2</v>
      </c>
      <c r="Y74" s="229">
        <v>8.2000000000000007E-3</v>
      </c>
      <c r="Z74" s="228">
        <v>-7.7</v>
      </c>
      <c r="AA74" s="228">
        <v>-7.3</v>
      </c>
      <c r="AB74" s="228">
        <v>-0.4</v>
      </c>
      <c r="AC74" s="229">
        <v>-5.1000000000000004E-3</v>
      </c>
      <c r="AD74" s="228">
        <v>-7.7</v>
      </c>
      <c r="AE74" s="228">
        <v>-7.3</v>
      </c>
      <c r="AF74" s="228">
        <v>-0.4</v>
      </c>
      <c r="AG74" s="229">
        <v>-5.1000000000000004E-3</v>
      </c>
      <c r="AH74" s="228">
        <v>0.3</v>
      </c>
      <c r="AI74" s="228">
        <v>0.7</v>
      </c>
      <c r="AJ74" s="228">
        <v>-0.4</v>
      </c>
      <c r="AK74" s="229">
        <v>2.0000000000000001E-4</v>
      </c>
      <c r="AL74" s="228">
        <v>9</v>
      </c>
      <c r="AM74" s="228">
        <v>5.8</v>
      </c>
      <c r="AN74" s="228">
        <v>3.2</v>
      </c>
      <c r="AO74" s="229">
        <v>6.0000000000000001E-3</v>
      </c>
      <c r="AP74" s="231">
        <v>1483.71</v>
      </c>
      <c r="AQ74" s="231">
        <v>1491.4</v>
      </c>
      <c r="AR74" s="228">
        <v>0</v>
      </c>
      <c r="AS74" s="228">
        <v>801</v>
      </c>
      <c r="AT74" s="230">
        <v>1004</v>
      </c>
      <c r="AU74" s="228">
        <v>-203</v>
      </c>
      <c r="AV74" s="229">
        <v>-0.20230000000000001</v>
      </c>
      <c r="AW74" s="228">
        <v>759</v>
      </c>
      <c r="AX74" s="228">
        <v>957</v>
      </c>
      <c r="AY74" s="228">
        <v>-198</v>
      </c>
      <c r="AZ74" s="229">
        <v>-0.20699999999999999</v>
      </c>
      <c r="BA74" s="228">
        <v>34</v>
      </c>
      <c r="BB74" s="228">
        <v>41</v>
      </c>
      <c r="BC74" s="228">
        <v>-7</v>
      </c>
      <c r="BD74" s="229">
        <v>-0.16300000000000001</v>
      </c>
      <c r="BE74" s="228">
        <v>7</v>
      </c>
      <c r="BF74" s="228">
        <v>6</v>
      </c>
      <c r="BG74" s="228">
        <v>2</v>
      </c>
      <c r="BH74" s="229">
        <v>0.30909999999999999</v>
      </c>
      <c r="BI74" s="230">
        <v>2069</v>
      </c>
      <c r="BJ74" s="230">
        <v>3012</v>
      </c>
      <c r="BK74" s="228">
        <v>-943</v>
      </c>
      <c r="BL74" s="229">
        <v>-0.313</v>
      </c>
      <c r="BM74" s="230">
        <v>1278</v>
      </c>
      <c r="BN74" s="230">
        <v>1761</v>
      </c>
      <c r="BO74" s="228">
        <v>-484</v>
      </c>
      <c r="BP74" s="229">
        <v>-0.2747</v>
      </c>
      <c r="BQ74" s="230">
        <v>4148</v>
      </c>
      <c r="BR74" s="230">
        <v>5777</v>
      </c>
      <c r="BS74" s="230">
        <v>-1630</v>
      </c>
      <c r="BT74" s="229">
        <v>-0.28210000000000002</v>
      </c>
      <c r="BU74" s="230">
        <v>2168155</v>
      </c>
      <c r="BV74" s="230">
        <v>2773864</v>
      </c>
      <c r="BW74" s="230">
        <v>-605709</v>
      </c>
      <c r="BX74" s="229">
        <v>-0.21840000000000001</v>
      </c>
      <c r="BY74" s="230">
        <v>2997</v>
      </c>
      <c r="BZ74" s="230">
        <v>3128</v>
      </c>
      <c r="CA74" s="228">
        <v>-131</v>
      </c>
      <c r="CB74" s="229">
        <v>-4.1799999999999997E-2</v>
      </c>
      <c r="CC74" s="230">
        <v>2915</v>
      </c>
      <c r="CD74" s="230">
        <v>3054</v>
      </c>
      <c r="CE74" s="228">
        <v>-139</v>
      </c>
      <c r="CF74" s="229">
        <v>-4.5600000000000002E-2</v>
      </c>
      <c r="CG74" s="228">
        <v>73</v>
      </c>
      <c r="CH74" s="228">
        <v>69</v>
      </c>
      <c r="CI74" s="228">
        <v>4</v>
      </c>
      <c r="CJ74" s="229">
        <v>5.6599999999999998E-2</v>
      </c>
      <c r="CK74" s="228">
        <v>10</v>
      </c>
      <c r="CL74" s="228">
        <v>5</v>
      </c>
      <c r="CM74" s="228">
        <v>5</v>
      </c>
      <c r="CN74" s="229">
        <v>0.95830000000000004</v>
      </c>
      <c r="CO74" s="228">
        <v>927</v>
      </c>
      <c r="CP74" s="228">
        <v>831</v>
      </c>
      <c r="CQ74" s="228">
        <v>96</v>
      </c>
      <c r="CR74" s="229">
        <v>0.115</v>
      </c>
      <c r="CS74" s="228">
        <v>761</v>
      </c>
      <c r="CT74" s="228">
        <v>689</v>
      </c>
      <c r="CU74" s="228">
        <v>71</v>
      </c>
      <c r="CV74" s="229">
        <v>0.1037</v>
      </c>
      <c r="CW74" s="230">
        <v>4685</v>
      </c>
      <c r="CX74" s="230">
        <v>4649</v>
      </c>
      <c r="CY74" s="228">
        <v>37</v>
      </c>
      <c r="CZ74" s="229">
        <v>7.9000000000000008E-3</v>
      </c>
      <c r="DA74" s="228">
        <v>26.25</v>
      </c>
      <c r="DB74" s="228">
        <v>27.05</v>
      </c>
      <c r="DC74" s="228">
        <v>-0.8</v>
      </c>
      <c r="DD74" s="228">
        <v>-0.8</v>
      </c>
      <c r="DE74" s="228">
        <v>29.17</v>
      </c>
      <c r="DF74" s="228">
        <v>29.23</v>
      </c>
      <c r="DG74" s="228">
        <v>-2.92</v>
      </c>
      <c r="DH74" s="228">
        <v>-0.06</v>
      </c>
      <c r="DI74" s="228">
        <v>25.81</v>
      </c>
      <c r="DJ74" s="228">
        <v>26.65</v>
      </c>
      <c r="DK74" s="228">
        <v>-0.84</v>
      </c>
      <c r="DL74" s="228">
        <v>-0.84</v>
      </c>
      <c r="DM74" s="228">
        <v>26.98</v>
      </c>
      <c r="DN74" s="228">
        <v>27.75</v>
      </c>
      <c r="DO74" s="228">
        <v>-0.77</v>
      </c>
      <c r="DP74" s="228">
        <v>-0.77</v>
      </c>
      <c r="DQ74" s="228">
        <v>0.82</v>
      </c>
      <c r="DR74" s="228">
        <v>0.83</v>
      </c>
      <c r="DS74" s="228">
        <v>-0.01</v>
      </c>
      <c r="DT74" s="229">
        <v>-1.2E-2</v>
      </c>
      <c r="DU74" s="231">
        <v>1500</v>
      </c>
      <c r="DV74" s="231">
        <v>1400</v>
      </c>
      <c r="DW74" s="228">
        <v>0.62</v>
      </c>
      <c r="DX74" s="228">
        <v>0.57999999999999996</v>
      </c>
      <c r="DY74" s="228">
        <v>0.04</v>
      </c>
      <c r="DZ74" s="229">
        <v>6.9000000000000006E-2</v>
      </c>
      <c r="EA74" s="229">
        <v>2.76E-2</v>
      </c>
      <c r="EB74" s="230">
        <v>497000</v>
      </c>
      <c r="EC74" s="229">
        <v>5.4000000000000003E-3</v>
      </c>
      <c r="ED74" s="229">
        <v>2.76E-2</v>
      </c>
      <c r="EE74" s="228">
        <v>7.69</v>
      </c>
      <c r="EF74" s="229">
        <v>5.1999999999999998E-3</v>
      </c>
      <c r="EG74" s="230">
        <v>976076</v>
      </c>
      <c r="EH74" s="230">
        <v>1255842</v>
      </c>
      <c r="EI74" s="229">
        <v>-0.2228</v>
      </c>
      <c r="EJ74" s="229">
        <v>0.45019999999999999</v>
      </c>
      <c r="EK74" s="231">
        <v>2146.92</v>
      </c>
      <c r="EL74" s="231">
        <v>1260.28</v>
      </c>
      <c r="EM74" s="228">
        <v>798.63</v>
      </c>
      <c r="EN74" s="228">
        <v>103.26</v>
      </c>
      <c r="EO74" s="231">
        <v>4205.83</v>
      </c>
      <c r="EP74" s="231">
        <v>5820.56</v>
      </c>
      <c r="EQ74" s="231">
        <v>-1614.73</v>
      </c>
      <c r="ER74" s="229">
        <v>-0.27739999999999998</v>
      </c>
      <c r="ES74" s="228">
        <v>947.91</v>
      </c>
      <c r="ET74" s="228">
        <v>710.41</v>
      </c>
      <c r="EU74" s="231">
        <v>2997.82</v>
      </c>
      <c r="EV74" s="231">
        <v>145993539</v>
      </c>
      <c r="EW74" s="231">
        <v>4656.1400000000003</v>
      </c>
      <c r="EX74" s="231">
        <v>4596.9399999999996</v>
      </c>
      <c r="EY74" s="228">
        <v>59.2</v>
      </c>
      <c r="EZ74" s="229">
        <v>1.29E-2</v>
      </c>
      <c r="FA74" s="229">
        <v>0.2157</v>
      </c>
      <c r="FB74" s="227" t="s">
        <v>556</v>
      </c>
      <c r="FC74">
        <f t="shared" si="1"/>
        <v>82</v>
      </c>
    </row>
    <row r="75" spans="1:159" ht="17.25" thickBot="1" x14ac:dyDescent="0.3">
      <c r="A75" s="226">
        <v>45940</v>
      </c>
      <c r="B75" s="227" t="s">
        <v>175</v>
      </c>
      <c r="C75" s="227" t="s">
        <v>475</v>
      </c>
      <c r="D75" s="228">
        <v>150</v>
      </c>
      <c r="E75" s="228">
        <v>18</v>
      </c>
      <c r="F75" s="231">
        <v>5549.5</v>
      </c>
      <c r="G75" s="231">
        <v>5497.5</v>
      </c>
      <c r="H75" s="228">
        <v>52</v>
      </c>
      <c r="I75" s="229">
        <v>9.4999999999999998E-3</v>
      </c>
      <c r="J75" s="231">
        <v>5520</v>
      </c>
      <c r="K75" s="231">
        <v>5479</v>
      </c>
      <c r="L75" s="228">
        <v>41</v>
      </c>
      <c r="M75" s="229">
        <v>7.4999999999999997E-3</v>
      </c>
      <c r="N75" s="231">
        <v>5549.5</v>
      </c>
      <c r="O75" s="231">
        <v>5497.5</v>
      </c>
      <c r="P75" s="228">
        <v>52</v>
      </c>
      <c r="Q75" s="229">
        <v>9.4999999999999998E-3</v>
      </c>
      <c r="R75" s="231">
        <v>5575.5</v>
      </c>
      <c r="S75" s="231">
        <v>5527.5</v>
      </c>
      <c r="T75" s="228">
        <v>48</v>
      </c>
      <c r="U75" s="229">
        <v>8.6999999999999994E-3</v>
      </c>
      <c r="V75" s="231">
        <v>5616</v>
      </c>
      <c r="W75" s="231">
        <v>5543</v>
      </c>
      <c r="X75" s="228">
        <v>73</v>
      </c>
      <c r="Y75" s="229">
        <v>1.32E-2</v>
      </c>
      <c r="Z75" s="228">
        <v>29.5</v>
      </c>
      <c r="AA75" s="228">
        <v>18.5</v>
      </c>
      <c r="AB75" s="228">
        <v>11</v>
      </c>
      <c r="AC75" s="229">
        <v>5.3E-3</v>
      </c>
      <c r="AD75" s="228">
        <v>29.5</v>
      </c>
      <c r="AE75" s="228">
        <v>18.5</v>
      </c>
      <c r="AF75" s="228">
        <v>11</v>
      </c>
      <c r="AG75" s="229">
        <v>5.3E-3</v>
      </c>
      <c r="AH75" s="228">
        <v>55.5</v>
      </c>
      <c r="AI75" s="228">
        <v>48.5</v>
      </c>
      <c r="AJ75" s="228">
        <v>7</v>
      </c>
      <c r="AK75" s="229">
        <v>1.01E-2</v>
      </c>
      <c r="AL75" s="228">
        <v>96</v>
      </c>
      <c r="AM75" s="228">
        <v>64</v>
      </c>
      <c r="AN75" s="228">
        <v>32</v>
      </c>
      <c r="AO75" s="229">
        <v>1.7399999999999999E-2</v>
      </c>
      <c r="AP75" s="231">
        <v>5549.81</v>
      </c>
      <c r="AQ75" s="231">
        <v>5576.12</v>
      </c>
      <c r="AR75" s="228">
        <v>0</v>
      </c>
      <c r="AS75" s="228">
        <v>236</v>
      </c>
      <c r="AT75" s="228">
        <v>238</v>
      </c>
      <c r="AU75" s="228">
        <v>-2</v>
      </c>
      <c r="AV75" s="229">
        <v>-7.0000000000000001E-3</v>
      </c>
      <c r="AW75" s="228">
        <v>228</v>
      </c>
      <c r="AX75" s="228">
        <v>232</v>
      </c>
      <c r="AY75" s="228">
        <v>-4</v>
      </c>
      <c r="AZ75" s="229">
        <v>-1.6500000000000001E-2</v>
      </c>
      <c r="BA75" s="228">
        <v>8</v>
      </c>
      <c r="BB75" s="228">
        <v>5</v>
      </c>
      <c r="BC75" s="228">
        <v>2</v>
      </c>
      <c r="BD75" s="229">
        <v>0.4219</v>
      </c>
      <c r="BE75" s="228">
        <v>0</v>
      </c>
      <c r="BF75" s="228">
        <v>1</v>
      </c>
      <c r="BG75" s="228">
        <v>0</v>
      </c>
      <c r="BH75" s="229">
        <v>-0.1429</v>
      </c>
      <c r="BI75" s="228">
        <v>674</v>
      </c>
      <c r="BJ75" s="228">
        <v>568</v>
      </c>
      <c r="BK75" s="228">
        <v>106</v>
      </c>
      <c r="BL75" s="229">
        <v>0.18740000000000001</v>
      </c>
      <c r="BM75" s="228">
        <v>231</v>
      </c>
      <c r="BN75" s="228">
        <v>265</v>
      </c>
      <c r="BO75" s="228">
        <v>-34</v>
      </c>
      <c r="BP75" s="229">
        <v>-0.1288</v>
      </c>
      <c r="BQ75" s="230">
        <v>1141</v>
      </c>
      <c r="BR75" s="230">
        <v>1071</v>
      </c>
      <c r="BS75" s="228">
        <v>71</v>
      </c>
      <c r="BT75" s="229">
        <v>6.59E-2</v>
      </c>
      <c r="BU75" s="230">
        <v>446748</v>
      </c>
      <c r="BV75" s="230">
        <v>424667</v>
      </c>
      <c r="BW75" s="230">
        <v>22081</v>
      </c>
      <c r="BX75" s="229">
        <v>5.1999999999999998E-2</v>
      </c>
      <c r="BY75" s="230">
        <v>1234</v>
      </c>
      <c r="BZ75" s="230">
        <v>1233</v>
      </c>
      <c r="CA75" s="228">
        <v>1</v>
      </c>
      <c r="CB75" s="229">
        <v>8.9999999999999998E-4</v>
      </c>
      <c r="CC75" s="230">
        <v>1211</v>
      </c>
      <c r="CD75" s="230">
        <v>1208</v>
      </c>
      <c r="CE75" s="228">
        <v>3</v>
      </c>
      <c r="CF75" s="229">
        <v>2.2000000000000001E-3</v>
      </c>
      <c r="CG75" s="228">
        <v>22</v>
      </c>
      <c r="CH75" s="228">
        <v>23</v>
      </c>
      <c r="CI75" s="228">
        <v>-1</v>
      </c>
      <c r="CJ75" s="229">
        <v>-5.4300000000000001E-2</v>
      </c>
      <c r="CK75" s="228">
        <v>2</v>
      </c>
      <c r="CL75" s="228">
        <v>2</v>
      </c>
      <c r="CM75" s="228">
        <v>0</v>
      </c>
      <c r="CN75" s="229">
        <v>-0.13639999999999999</v>
      </c>
      <c r="CO75" s="228">
        <v>427</v>
      </c>
      <c r="CP75" s="228">
        <v>416</v>
      </c>
      <c r="CQ75" s="228">
        <v>11</v>
      </c>
      <c r="CR75" s="229">
        <v>2.58E-2</v>
      </c>
      <c r="CS75" s="228">
        <v>325</v>
      </c>
      <c r="CT75" s="228">
        <v>311</v>
      </c>
      <c r="CU75" s="228">
        <v>15</v>
      </c>
      <c r="CV75" s="229">
        <v>4.6899999999999997E-2</v>
      </c>
      <c r="CW75" s="230">
        <v>1987</v>
      </c>
      <c r="CX75" s="230">
        <v>1960</v>
      </c>
      <c r="CY75" s="228">
        <v>26</v>
      </c>
      <c r="CZ75" s="229">
        <v>1.35E-2</v>
      </c>
      <c r="DA75" s="228">
        <v>26.77</v>
      </c>
      <c r="DB75" s="228">
        <v>27.51</v>
      </c>
      <c r="DC75" s="228">
        <v>-0.74</v>
      </c>
      <c r="DD75" s="228">
        <v>-0.74</v>
      </c>
      <c r="DE75" s="228">
        <v>34.950000000000003</v>
      </c>
      <c r="DF75" s="228">
        <v>35.020000000000003</v>
      </c>
      <c r="DG75" s="228">
        <v>-8.18</v>
      </c>
      <c r="DH75" s="228">
        <v>-7.0000000000000007E-2</v>
      </c>
      <c r="DI75" s="228">
        <v>26.76</v>
      </c>
      <c r="DJ75" s="228">
        <v>27.64</v>
      </c>
      <c r="DK75" s="228">
        <v>-0.88</v>
      </c>
      <c r="DL75" s="228">
        <v>-0.88</v>
      </c>
      <c r="DM75" s="228">
        <v>26.77</v>
      </c>
      <c r="DN75" s="228">
        <v>27.21</v>
      </c>
      <c r="DO75" s="228">
        <v>-0.44</v>
      </c>
      <c r="DP75" s="228">
        <v>-0.44</v>
      </c>
      <c r="DQ75" s="228">
        <v>0.76</v>
      </c>
      <c r="DR75" s="228">
        <v>0.75</v>
      </c>
      <c r="DS75" s="228">
        <v>0.01</v>
      </c>
      <c r="DT75" s="229">
        <v>1.3299999999999999E-2</v>
      </c>
      <c r="DU75" s="231">
        <v>5600</v>
      </c>
      <c r="DV75" s="231">
        <v>5500</v>
      </c>
      <c r="DW75" s="228">
        <v>0.34</v>
      </c>
      <c r="DX75" s="228">
        <v>0.47</v>
      </c>
      <c r="DY75" s="228">
        <v>-0.13</v>
      </c>
      <c r="DZ75" s="229">
        <v>-0.27660000000000001</v>
      </c>
      <c r="EA75" s="229">
        <v>1.89E-2</v>
      </c>
      <c r="EB75" s="230">
        <v>44700</v>
      </c>
      <c r="EC75" s="229">
        <v>4.7000000000000002E-3</v>
      </c>
      <c r="ED75" s="229">
        <v>1.89E-2</v>
      </c>
      <c r="EE75" s="228">
        <v>26.31</v>
      </c>
      <c r="EF75" s="229">
        <v>4.7000000000000002E-3</v>
      </c>
      <c r="EG75" s="230">
        <v>324427</v>
      </c>
      <c r="EH75" s="230">
        <v>279112</v>
      </c>
      <c r="EI75" s="229">
        <v>0.16239999999999999</v>
      </c>
      <c r="EJ75" s="229">
        <v>0.72619999999999996</v>
      </c>
      <c r="EK75" s="228">
        <v>697.05</v>
      </c>
      <c r="EL75" s="228">
        <v>228.99</v>
      </c>
      <c r="EM75" s="228">
        <v>236.55</v>
      </c>
      <c r="EN75" s="228">
        <v>27.24</v>
      </c>
      <c r="EO75" s="231">
        <v>1162.58</v>
      </c>
      <c r="EP75" s="231">
        <v>1084.4000000000001</v>
      </c>
      <c r="EQ75" s="228">
        <v>78.180000000000007</v>
      </c>
      <c r="ER75" s="229">
        <v>7.2099999999999997E-2</v>
      </c>
      <c r="ES75" s="228">
        <v>444.06</v>
      </c>
      <c r="ET75" s="228">
        <v>320.3</v>
      </c>
      <c r="EU75" s="231">
        <v>1234.52</v>
      </c>
      <c r="EV75" s="231">
        <v>15259458</v>
      </c>
      <c r="EW75" s="231">
        <v>1998.89</v>
      </c>
      <c r="EX75" s="231">
        <v>1960.51</v>
      </c>
      <c r="EY75" s="228">
        <v>38.380000000000003</v>
      </c>
      <c r="EZ75" s="229">
        <v>1.9599999999999999E-2</v>
      </c>
      <c r="FA75" s="229">
        <v>0.2346</v>
      </c>
      <c r="FB75" s="227" t="s">
        <v>555</v>
      </c>
      <c r="FC75">
        <f t="shared" si="1"/>
        <v>23</v>
      </c>
    </row>
    <row r="76" spans="1:159" ht="17.25" thickBot="1" x14ac:dyDescent="0.3">
      <c r="A76" s="226">
        <v>45940</v>
      </c>
      <c r="B76" s="227" t="s">
        <v>172</v>
      </c>
      <c r="C76" s="227" t="s">
        <v>224</v>
      </c>
      <c r="D76" s="228">
        <v>1100</v>
      </c>
      <c r="E76" s="228">
        <v>18</v>
      </c>
      <c r="F76" s="228">
        <v>985.9</v>
      </c>
      <c r="G76" s="228">
        <v>979.6</v>
      </c>
      <c r="H76" s="228">
        <v>6.3</v>
      </c>
      <c r="I76" s="229">
        <v>6.4000000000000003E-3</v>
      </c>
      <c r="J76" s="228">
        <v>980.9</v>
      </c>
      <c r="K76" s="228">
        <v>977.1</v>
      </c>
      <c r="L76" s="228">
        <v>3.8</v>
      </c>
      <c r="M76" s="229">
        <v>3.8999999999999998E-3</v>
      </c>
      <c r="N76" s="228">
        <v>985.9</v>
      </c>
      <c r="O76" s="228">
        <v>979.6</v>
      </c>
      <c r="P76" s="228">
        <v>6.3</v>
      </c>
      <c r="Q76" s="229">
        <v>6.4000000000000003E-3</v>
      </c>
      <c r="R76" s="228">
        <v>991.25</v>
      </c>
      <c r="S76" s="228">
        <v>984.9</v>
      </c>
      <c r="T76" s="228">
        <v>6.35</v>
      </c>
      <c r="U76" s="229">
        <v>6.4000000000000003E-3</v>
      </c>
      <c r="V76" s="228">
        <v>997.25</v>
      </c>
      <c r="W76" s="228">
        <v>990.55</v>
      </c>
      <c r="X76" s="228">
        <v>6.7</v>
      </c>
      <c r="Y76" s="229">
        <v>6.7999999999999996E-3</v>
      </c>
      <c r="Z76" s="228">
        <v>5</v>
      </c>
      <c r="AA76" s="228">
        <v>2.5</v>
      </c>
      <c r="AB76" s="228">
        <v>2.5</v>
      </c>
      <c r="AC76" s="229">
        <v>5.1000000000000004E-3</v>
      </c>
      <c r="AD76" s="228">
        <v>5</v>
      </c>
      <c r="AE76" s="228">
        <v>2.5</v>
      </c>
      <c r="AF76" s="228">
        <v>2.5</v>
      </c>
      <c r="AG76" s="229">
        <v>5.1000000000000004E-3</v>
      </c>
      <c r="AH76" s="228">
        <v>10.35</v>
      </c>
      <c r="AI76" s="228">
        <v>7.8</v>
      </c>
      <c r="AJ76" s="228">
        <v>2.5499999999999998</v>
      </c>
      <c r="AK76" s="229">
        <v>1.06E-2</v>
      </c>
      <c r="AL76" s="228">
        <v>16.350000000000001</v>
      </c>
      <c r="AM76" s="228">
        <v>13.45</v>
      </c>
      <c r="AN76" s="228">
        <v>2.9</v>
      </c>
      <c r="AO76" s="229">
        <v>1.67E-2</v>
      </c>
      <c r="AP76" s="228">
        <v>986.92</v>
      </c>
      <c r="AQ76" s="228">
        <v>992.07</v>
      </c>
      <c r="AR76" s="228">
        <v>0</v>
      </c>
      <c r="AS76" s="230">
        <v>1825</v>
      </c>
      <c r="AT76" s="230">
        <v>1807</v>
      </c>
      <c r="AU76" s="228">
        <v>17</v>
      </c>
      <c r="AV76" s="229">
        <v>9.4999999999999998E-3</v>
      </c>
      <c r="AW76" s="230">
        <v>1603</v>
      </c>
      <c r="AX76" s="230">
        <v>1704</v>
      </c>
      <c r="AY76" s="228">
        <v>-101</v>
      </c>
      <c r="AZ76" s="229">
        <v>-5.9200000000000003E-2</v>
      </c>
      <c r="BA76" s="228">
        <v>169</v>
      </c>
      <c r="BB76" s="228">
        <v>96</v>
      </c>
      <c r="BC76" s="228">
        <v>73</v>
      </c>
      <c r="BD76" s="229">
        <v>0.75509999999999999</v>
      </c>
      <c r="BE76" s="228">
        <v>53</v>
      </c>
      <c r="BF76" s="228">
        <v>7</v>
      </c>
      <c r="BG76" s="228">
        <v>45</v>
      </c>
      <c r="BH76" s="229">
        <v>6.1618000000000004</v>
      </c>
      <c r="BI76" s="230">
        <v>4401</v>
      </c>
      <c r="BJ76" s="230">
        <v>3311</v>
      </c>
      <c r="BK76" s="230">
        <v>1090</v>
      </c>
      <c r="BL76" s="229">
        <v>0.3291</v>
      </c>
      <c r="BM76" s="230">
        <v>2289</v>
      </c>
      <c r="BN76" s="230">
        <v>2233</v>
      </c>
      <c r="BO76" s="228">
        <v>56</v>
      </c>
      <c r="BP76" s="229">
        <v>2.52E-2</v>
      </c>
      <c r="BQ76" s="230">
        <v>8515</v>
      </c>
      <c r="BR76" s="230">
        <v>7352</v>
      </c>
      <c r="BS76" s="230">
        <v>1163</v>
      </c>
      <c r="BT76" s="229">
        <v>0.15820000000000001</v>
      </c>
      <c r="BU76" s="230">
        <v>14536232</v>
      </c>
      <c r="BV76" s="230">
        <v>17879081</v>
      </c>
      <c r="BW76" s="230">
        <v>-3342849</v>
      </c>
      <c r="BX76" s="229">
        <v>-0.187</v>
      </c>
      <c r="BY76" s="230">
        <v>19752</v>
      </c>
      <c r="BZ76" s="230">
        <v>19739</v>
      </c>
      <c r="CA76" s="228">
        <v>13</v>
      </c>
      <c r="CB76" s="229">
        <v>5.9999999999999995E-4</v>
      </c>
      <c r="CC76" s="230">
        <v>19162</v>
      </c>
      <c r="CD76" s="230">
        <v>19212</v>
      </c>
      <c r="CE76" s="228">
        <v>-50</v>
      </c>
      <c r="CF76" s="229">
        <v>-2.5999999999999999E-3</v>
      </c>
      <c r="CG76" s="228">
        <v>364</v>
      </c>
      <c r="CH76" s="228">
        <v>340</v>
      </c>
      <c r="CI76" s="228">
        <v>23</v>
      </c>
      <c r="CJ76" s="229">
        <v>6.8900000000000003E-2</v>
      </c>
      <c r="CK76" s="228">
        <v>226</v>
      </c>
      <c r="CL76" s="228">
        <v>187</v>
      </c>
      <c r="CM76" s="228">
        <v>40</v>
      </c>
      <c r="CN76" s="229">
        <v>0.2132</v>
      </c>
      <c r="CO76" s="230">
        <v>3136</v>
      </c>
      <c r="CP76" s="230">
        <v>3156</v>
      </c>
      <c r="CQ76" s="228">
        <v>-20</v>
      </c>
      <c r="CR76" s="229">
        <v>-6.3E-3</v>
      </c>
      <c r="CS76" s="230">
        <v>2404</v>
      </c>
      <c r="CT76" s="230">
        <v>2426</v>
      </c>
      <c r="CU76" s="228">
        <v>-22</v>
      </c>
      <c r="CV76" s="229">
        <v>-9.1000000000000004E-3</v>
      </c>
      <c r="CW76" s="230">
        <v>25291</v>
      </c>
      <c r="CX76" s="230">
        <v>25321</v>
      </c>
      <c r="CY76" s="228">
        <v>-29</v>
      </c>
      <c r="CZ76" s="229">
        <v>-1.1999999999999999E-3</v>
      </c>
      <c r="DA76" s="228">
        <v>17.760000000000002</v>
      </c>
      <c r="DB76" s="228">
        <v>18.059999999999999</v>
      </c>
      <c r="DC76" s="228">
        <v>-0.3</v>
      </c>
      <c r="DD76" s="228">
        <v>-0.3</v>
      </c>
      <c r="DE76" s="228">
        <v>21.29</v>
      </c>
      <c r="DF76" s="228">
        <v>21.34</v>
      </c>
      <c r="DG76" s="228">
        <v>-3.53</v>
      </c>
      <c r="DH76" s="228">
        <v>-0.05</v>
      </c>
      <c r="DI76" s="228">
        <v>17.62</v>
      </c>
      <c r="DJ76" s="228">
        <v>17.86</v>
      </c>
      <c r="DK76" s="228">
        <v>-0.24</v>
      </c>
      <c r="DL76" s="228">
        <v>-0.24</v>
      </c>
      <c r="DM76" s="228">
        <v>18.04</v>
      </c>
      <c r="DN76" s="228">
        <v>18.34</v>
      </c>
      <c r="DO76" s="228">
        <v>-0.3</v>
      </c>
      <c r="DP76" s="228">
        <v>-0.3</v>
      </c>
      <c r="DQ76" s="228">
        <v>0.77</v>
      </c>
      <c r="DR76" s="228">
        <v>0.77</v>
      </c>
      <c r="DS76" s="228">
        <v>0</v>
      </c>
      <c r="DT76" s="229">
        <v>0</v>
      </c>
      <c r="DU76" s="231">
        <v>1000</v>
      </c>
      <c r="DV76" s="228">
        <v>950</v>
      </c>
      <c r="DW76" s="228">
        <v>0.52</v>
      </c>
      <c r="DX76" s="228">
        <v>0.67</v>
      </c>
      <c r="DY76" s="228">
        <v>-0.15</v>
      </c>
      <c r="DZ76" s="229">
        <v>-0.22389999999999999</v>
      </c>
      <c r="EA76" s="229">
        <v>2.9899999999999999E-2</v>
      </c>
      <c r="EB76" s="230">
        <v>5342700</v>
      </c>
      <c r="EC76" s="229">
        <v>5.4000000000000003E-3</v>
      </c>
      <c r="ED76" s="229">
        <v>2.9899999999999999E-2</v>
      </c>
      <c r="EE76" s="228">
        <v>5.15</v>
      </c>
      <c r="EF76" s="229">
        <v>5.1999999999999998E-3</v>
      </c>
      <c r="EG76" s="230">
        <v>9018735</v>
      </c>
      <c r="EH76" s="230">
        <v>9950933</v>
      </c>
      <c r="EI76" s="229">
        <v>-9.3700000000000006E-2</v>
      </c>
      <c r="EJ76" s="229">
        <v>0.62039999999999995</v>
      </c>
      <c r="EK76" s="231">
        <v>4501.05</v>
      </c>
      <c r="EL76" s="231">
        <v>2268.67</v>
      </c>
      <c r="EM76" s="231">
        <v>1827.96</v>
      </c>
      <c r="EN76" s="228">
        <v>231.78</v>
      </c>
      <c r="EO76" s="231">
        <v>8597.68</v>
      </c>
      <c r="EP76" s="231">
        <v>7372.67</v>
      </c>
      <c r="EQ76" s="231">
        <v>1225.01</v>
      </c>
      <c r="ER76" s="229">
        <v>0.16619999999999999</v>
      </c>
      <c r="ES76" s="231">
        <v>3187.79</v>
      </c>
      <c r="ET76" s="231">
        <v>2315.1799999999998</v>
      </c>
      <c r="EU76" s="231">
        <v>19756.400000000001</v>
      </c>
      <c r="EV76" s="231">
        <v>1329733550</v>
      </c>
      <c r="EW76" s="231">
        <v>25259.360000000001</v>
      </c>
      <c r="EX76" s="231">
        <v>25153.360000000001</v>
      </c>
      <c r="EY76" s="228">
        <v>106</v>
      </c>
      <c r="EZ76" s="229">
        <v>4.1999999999999997E-3</v>
      </c>
      <c r="FA76" s="229">
        <v>0.19289999999999999</v>
      </c>
      <c r="FB76" s="227" t="s">
        <v>555</v>
      </c>
      <c r="FC76">
        <f t="shared" si="1"/>
        <v>590</v>
      </c>
    </row>
    <row r="77" spans="1:159" ht="17.25" thickBot="1" x14ac:dyDescent="0.3">
      <c r="A77" s="226">
        <v>45940</v>
      </c>
      <c r="B77" s="227" t="s">
        <v>175</v>
      </c>
      <c r="C77" s="227" t="s">
        <v>225</v>
      </c>
      <c r="D77" s="228">
        <v>1100</v>
      </c>
      <c r="E77" s="228">
        <v>18</v>
      </c>
      <c r="F77" s="228">
        <v>750.2</v>
      </c>
      <c r="G77" s="228">
        <v>758.25</v>
      </c>
      <c r="H77" s="228">
        <v>-8.0500000000000007</v>
      </c>
      <c r="I77" s="229">
        <v>-1.06E-2</v>
      </c>
      <c r="J77" s="228">
        <v>747.3</v>
      </c>
      <c r="K77" s="228">
        <v>754.35</v>
      </c>
      <c r="L77" s="228">
        <v>-7.05</v>
      </c>
      <c r="M77" s="229">
        <v>-9.2999999999999992E-3</v>
      </c>
      <c r="N77" s="228">
        <v>750.2</v>
      </c>
      <c r="O77" s="228">
        <v>758.25</v>
      </c>
      <c r="P77" s="228">
        <v>-8.0500000000000007</v>
      </c>
      <c r="Q77" s="229">
        <v>-1.06E-2</v>
      </c>
      <c r="R77" s="228">
        <v>754.25</v>
      </c>
      <c r="S77" s="228">
        <v>762.5</v>
      </c>
      <c r="T77" s="228">
        <v>-8.25</v>
      </c>
      <c r="U77" s="229">
        <v>-1.0800000000000001E-2</v>
      </c>
      <c r="V77" s="228">
        <v>758.35</v>
      </c>
      <c r="W77" s="228">
        <v>765</v>
      </c>
      <c r="X77" s="228">
        <v>-6.65</v>
      </c>
      <c r="Y77" s="229">
        <v>-8.6999999999999994E-3</v>
      </c>
      <c r="Z77" s="228">
        <v>2.9</v>
      </c>
      <c r="AA77" s="228">
        <v>3.9</v>
      </c>
      <c r="AB77" s="228">
        <v>-1</v>
      </c>
      <c r="AC77" s="229">
        <v>3.8999999999999998E-3</v>
      </c>
      <c r="AD77" s="228">
        <v>2.9</v>
      </c>
      <c r="AE77" s="228">
        <v>3.9</v>
      </c>
      <c r="AF77" s="228">
        <v>-1</v>
      </c>
      <c r="AG77" s="229">
        <v>3.8999999999999998E-3</v>
      </c>
      <c r="AH77" s="228">
        <v>6.95</v>
      </c>
      <c r="AI77" s="228">
        <v>8.15</v>
      </c>
      <c r="AJ77" s="228">
        <v>-1.2</v>
      </c>
      <c r="AK77" s="229">
        <v>9.2999999999999992E-3</v>
      </c>
      <c r="AL77" s="228">
        <v>11.05</v>
      </c>
      <c r="AM77" s="228">
        <v>10.65</v>
      </c>
      <c r="AN77" s="228">
        <v>0.4</v>
      </c>
      <c r="AO77" s="229">
        <v>1.4800000000000001E-2</v>
      </c>
      <c r="AP77" s="228">
        <v>754.6</v>
      </c>
      <c r="AQ77" s="228">
        <v>759.56</v>
      </c>
      <c r="AR77" s="228">
        <v>0</v>
      </c>
      <c r="AS77" s="228">
        <v>282</v>
      </c>
      <c r="AT77" s="228">
        <v>396</v>
      </c>
      <c r="AU77" s="228">
        <v>-114</v>
      </c>
      <c r="AV77" s="229">
        <v>-0.28839999999999999</v>
      </c>
      <c r="AW77" s="228">
        <v>268</v>
      </c>
      <c r="AX77" s="228">
        <v>380</v>
      </c>
      <c r="AY77" s="228">
        <v>-112</v>
      </c>
      <c r="AZ77" s="229">
        <v>-0.2949</v>
      </c>
      <c r="BA77" s="228">
        <v>10</v>
      </c>
      <c r="BB77" s="228">
        <v>14</v>
      </c>
      <c r="BC77" s="228">
        <v>-4</v>
      </c>
      <c r="BD77" s="229">
        <v>-0.30059999999999998</v>
      </c>
      <c r="BE77" s="228">
        <v>4</v>
      </c>
      <c r="BF77" s="228">
        <v>1</v>
      </c>
      <c r="BG77" s="228">
        <v>2</v>
      </c>
      <c r="BH77" s="229">
        <v>1.5</v>
      </c>
      <c r="BI77" s="228">
        <v>568</v>
      </c>
      <c r="BJ77" s="228">
        <v>764</v>
      </c>
      <c r="BK77" s="228">
        <v>-196</v>
      </c>
      <c r="BL77" s="229">
        <v>-0.25679999999999997</v>
      </c>
      <c r="BM77" s="228">
        <v>270</v>
      </c>
      <c r="BN77" s="228">
        <v>396</v>
      </c>
      <c r="BO77" s="228">
        <v>-127</v>
      </c>
      <c r="BP77" s="229">
        <v>-0.31990000000000002</v>
      </c>
      <c r="BQ77" s="230">
        <v>1119</v>
      </c>
      <c r="BR77" s="230">
        <v>1556</v>
      </c>
      <c r="BS77" s="228">
        <v>-437</v>
      </c>
      <c r="BT77" s="229">
        <v>-0.28089999999999998</v>
      </c>
      <c r="BU77" s="230">
        <v>2809876</v>
      </c>
      <c r="BV77" s="230">
        <v>4561204</v>
      </c>
      <c r="BW77" s="230">
        <v>-1751328</v>
      </c>
      <c r="BX77" s="229">
        <v>-0.38400000000000001</v>
      </c>
      <c r="BY77" s="230">
        <v>2340</v>
      </c>
      <c r="BZ77" s="230">
        <v>2285</v>
      </c>
      <c r="CA77" s="228">
        <v>55</v>
      </c>
      <c r="CB77" s="229">
        <v>2.4199999999999999E-2</v>
      </c>
      <c r="CC77" s="230">
        <v>2305</v>
      </c>
      <c r="CD77" s="230">
        <v>2257</v>
      </c>
      <c r="CE77" s="228">
        <v>48</v>
      </c>
      <c r="CF77" s="229">
        <v>2.1299999999999999E-2</v>
      </c>
      <c r="CG77" s="228">
        <v>30</v>
      </c>
      <c r="CH77" s="228">
        <v>25</v>
      </c>
      <c r="CI77" s="228">
        <v>5</v>
      </c>
      <c r="CJ77" s="229">
        <v>0.17799999999999999</v>
      </c>
      <c r="CK77" s="228">
        <v>5</v>
      </c>
      <c r="CL77" s="228">
        <v>2</v>
      </c>
      <c r="CM77" s="228">
        <v>3</v>
      </c>
      <c r="CN77" s="229">
        <v>1.375</v>
      </c>
      <c r="CO77" s="228">
        <v>711</v>
      </c>
      <c r="CP77" s="228">
        <v>627</v>
      </c>
      <c r="CQ77" s="228">
        <v>84</v>
      </c>
      <c r="CR77" s="229">
        <v>0.13400000000000001</v>
      </c>
      <c r="CS77" s="228">
        <v>391</v>
      </c>
      <c r="CT77" s="228">
        <v>382</v>
      </c>
      <c r="CU77" s="228">
        <v>8</v>
      </c>
      <c r="CV77" s="229">
        <v>2.18E-2</v>
      </c>
      <c r="CW77" s="230">
        <v>3442</v>
      </c>
      <c r="CX77" s="230">
        <v>3294</v>
      </c>
      <c r="CY77" s="228">
        <v>148</v>
      </c>
      <c r="CZ77" s="229">
        <v>4.48E-2</v>
      </c>
      <c r="DA77" s="228">
        <v>25.14</v>
      </c>
      <c r="DB77" s="228">
        <v>24.52</v>
      </c>
      <c r="DC77" s="228">
        <v>0.62</v>
      </c>
      <c r="DD77" s="228">
        <v>0.62</v>
      </c>
      <c r="DE77" s="228">
        <v>25.97</v>
      </c>
      <c r="DF77" s="228">
        <v>26</v>
      </c>
      <c r="DG77" s="228">
        <v>-0.83</v>
      </c>
      <c r="DH77" s="228">
        <v>-0.03</v>
      </c>
      <c r="DI77" s="228">
        <v>25.39</v>
      </c>
      <c r="DJ77" s="228">
        <v>24.62</v>
      </c>
      <c r="DK77" s="228">
        <v>0.77</v>
      </c>
      <c r="DL77" s="228">
        <v>0.77</v>
      </c>
      <c r="DM77" s="228">
        <v>24.59</v>
      </c>
      <c r="DN77" s="228">
        <v>24.33</v>
      </c>
      <c r="DO77" s="228">
        <v>0.26</v>
      </c>
      <c r="DP77" s="228">
        <v>0.26</v>
      </c>
      <c r="DQ77" s="228">
        <v>0.55000000000000004</v>
      </c>
      <c r="DR77" s="228">
        <v>0.61</v>
      </c>
      <c r="DS77" s="228">
        <v>-0.06</v>
      </c>
      <c r="DT77" s="229">
        <v>-9.8400000000000001E-2</v>
      </c>
      <c r="DU77" s="228">
        <v>800</v>
      </c>
      <c r="DV77" s="228">
        <v>760</v>
      </c>
      <c r="DW77" s="228">
        <v>0.47</v>
      </c>
      <c r="DX77" s="228">
        <v>0.52</v>
      </c>
      <c r="DY77" s="228">
        <v>-0.05</v>
      </c>
      <c r="DZ77" s="229">
        <v>-9.6199999999999994E-2</v>
      </c>
      <c r="EA77" s="229">
        <v>1.4800000000000001E-2</v>
      </c>
      <c r="EB77" s="230">
        <v>366300</v>
      </c>
      <c r="EC77" s="229">
        <v>5.4000000000000003E-3</v>
      </c>
      <c r="ED77" s="229">
        <v>1.4800000000000001E-2</v>
      </c>
      <c r="EE77" s="228">
        <v>4.96</v>
      </c>
      <c r="EF77" s="229">
        <v>6.6E-3</v>
      </c>
      <c r="EG77" s="230">
        <v>1822459</v>
      </c>
      <c r="EH77" s="230">
        <v>3226706</v>
      </c>
      <c r="EI77" s="229">
        <v>-0.43519999999999998</v>
      </c>
      <c r="EJ77" s="229">
        <v>0.64859999999999995</v>
      </c>
      <c r="EK77" s="228">
        <v>595.09</v>
      </c>
      <c r="EL77" s="228">
        <v>268.67</v>
      </c>
      <c r="EM77" s="228">
        <v>283.58</v>
      </c>
      <c r="EN77" s="228">
        <v>32.07</v>
      </c>
      <c r="EO77" s="231">
        <v>1147.3399999999999</v>
      </c>
      <c r="EP77" s="231">
        <v>1592.35</v>
      </c>
      <c r="EQ77" s="228">
        <v>-445.02</v>
      </c>
      <c r="ER77" s="229">
        <v>-0.27950000000000003</v>
      </c>
      <c r="ES77" s="228">
        <v>757.09</v>
      </c>
      <c r="ET77" s="228">
        <v>382.04</v>
      </c>
      <c r="EU77" s="231">
        <v>2340.21</v>
      </c>
      <c r="EV77" s="231">
        <v>119296253</v>
      </c>
      <c r="EW77" s="231">
        <v>3479.33</v>
      </c>
      <c r="EX77" s="231">
        <v>3353.97</v>
      </c>
      <c r="EY77" s="228">
        <v>125.36</v>
      </c>
      <c r="EZ77" s="229">
        <v>3.7400000000000003E-2</v>
      </c>
      <c r="FA77" s="229">
        <v>0.3846</v>
      </c>
      <c r="FB77" s="227" t="s">
        <v>567</v>
      </c>
      <c r="FC77">
        <f t="shared" si="1"/>
        <v>35</v>
      </c>
    </row>
    <row r="78" spans="1:159" ht="17.25" thickBot="1" x14ac:dyDescent="0.3">
      <c r="A78" s="226">
        <v>45940</v>
      </c>
      <c r="B78" s="227" t="s">
        <v>162</v>
      </c>
      <c r="C78" s="227" t="s">
        <v>226</v>
      </c>
      <c r="D78" s="228">
        <v>150</v>
      </c>
      <c r="E78" s="228">
        <v>18</v>
      </c>
      <c r="F78" s="231">
        <v>5529</v>
      </c>
      <c r="G78" s="231">
        <v>5543.5</v>
      </c>
      <c r="H78" s="228">
        <v>-14.5</v>
      </c>
      <c r="I78" s="229">
        <v>-2.5999999999999999E-3</v>
      </c>
      <c r="J78" s="231">
        <v>5500</v>
      </c>
      <c r="K78" s="231">
        <v>5512</v>
      </c>
      <c r="L78" s="228">
        <v>-12</v>
      </c>
      <c r="M78" s="229">
        <v>-2.2000000000000001E-3</v>
      </c>
      <c r="N78" s="231">
        <v>5529</v>
      </c>
      <c r="O78" s="231">
        <v>5543.5</v>
      </c>
      <c r="P78" s="228">
        <v>-14.5</v>
      </c>
      <c r="Q78" s="229">
        <v>-2.5999999999999999E-3</v>
      </c>
      <c r="R78" s="231">
        <v>5550</v>
      </c>
      <c r="S78" s="231">
        <v>5561</v>
      </c>
      <c r="T78" s="228">
        <v>-11</v>
      </c>
      <c r="U78" s="229">
        <v>-2E-3</v>
      </c>
      <c r="V78" s="231">
        <v>5558</v>
      </c>
      <c r="W78" s="231">
        <v>5571</v>
      </c>
      <c r="X78" s="228">
        <v>-13</v>
      </c>
      <c r="Y78" s="229">
        <v>-2.3E-3</v>
      </c>
      <c r="Z78" s="228">
        <v>29</v>
      </c>
      <c r="AA78" s="228">
        <v>31.5</v>
      </c>
      <c r="AB78" s="228">
        <v>-2.5</v>
      </c>
      <c r="AC78" s="229">
        <v>5.3E-3</v>
      </c>
      <c r="AD78" s="228">
        <v>29</v>
      </c>
      <c r="AE78" s="228">
        <v>31.5</v>
      </c>
      <c r="AF78" s="228">
        <v>-2.5</v>
      </c>
      <c r="AG78" s="229">
        <v>5.3E-3</v>
      </c>
      <c r="AH78" s="228">
        <v>50</v>
      </c>
      <c r="AI78" s="228">
        <v>49</v>
      </c>
      <c r="AJ78" s="228">
        <v>1</v>
      </c>
      <c r="AK78" s="229">
        <v>9.1000000000000004E-3</v>
      </c>
      <c r="AL78" s="228">
        <v>58</v>
      </c>
      <c r="AM78" s="228">
        <v>59</v>
      </c>
      <c r="AN78" s="228">
        <v>-1</v>
      </c>
      <c r="AO78" s="229">
        <v>1.0500000000000001E-2</v>
      </c>
      <c r="AP78" s="231">
        <v>5543.5</v>
      </c>
      <c r="AQ78" s="231">
        <v>5562.74</v>
      </c>
      <c r="AR78" s="228">
        <v>0</v>
      </c>
      <c r="AS78" s="228">
        <v>670</v>
      </c>
      <c r="AT78" s="228">
        <v>553</v>
      </c>
      <c r="AU78" s="228">
        <v>117</v>
      </c>
      <c r="AV78" s="229">
        <v>0.21160000000000001</v>
      </c>
      <c r="AW78" s="228">
        <v>650</v>
      </c>
      <c r="AX78" s="228">
        <v>541</v>
      </c>
      <c r="AY78" s="228">
        <v>109</v>
      </c>
      <c r="AZ78" s="229">
        <v>0.20080000000000001</v>
      </c>
      <c r="BA78" s="228">
        <v>20</v>
      </c>
      <c r="BB78" s="228">
        <v>11</v>
      </c>
      <c r="BC78" s="228">
        <v>9</v>
      </c>
      <c r="BD78" s="229">
        <v>0.82950000000000002</v>
      </c>
      <c r="BE78" s="228">
        <v>1</v>
      </c>
      <c r="BF78" s="228">
        <v>1</v>
      </c>
      <c r="BG78" s="228">
        <v>0</v>
      </c>
      <c r="BH78" s="229">
        <v>-0.42859999999999998</v>
      </c>
      <c r="BI78" s="230">
        <v>2877</v>
      </c>
      <c r="BJ78" s="230">
        <v>1691</v>
      </c>
      <c r="BK78" s="230">
        <v>1186</v>
      </c>
      <c r="BL78" s="229">
        <v>0.70140000000000002</v>
      </c>
      <c r="BM78" s="228">
        <v>900</v>
      </c>
      <c r="BN78" s="228">
        <v>837</v>
      </c>
      <c r="BO78" s="228">
        <v>63</v>
      </c>
      <c r="BP78" s="229">
        <v>7.51E-2</v>
      </c>
      <c r="BQ78" s="230">
        <v>4447</v>
      </c>
      <c r="BR78" s="230">
        <v>3081</v>
      </c>
      <c r="BS78" s="230">
        <v>1366</v>
      </c>
      <c r="BT78" s="229">
        <v>0.44340000000000002</v>
      </c>
      <c r="BU78" s="230">
        <v>846840</v>
      </c>
      <c r="BV78" s="230">
        <v>900196</v>
      </c>
      <c r="BW78" s="230">
        <v>-53356</v>
      </c>
      <c r="BX78" s="229">
        <v>-5.9299999999999999E-2</v>
      </c>
      <c r="BY78" s="230">
        <v>2564</v>
      </c>
      <c r="BZ78" s="230">
        <v>2543</v>
      </c>
      <c r="CA78" s="228">
        <v>21</v>
      </c>
      <c r="CB78" s="229">
        <v>8.0999999999999996E-3</v>
      </c>
      <c r="CC78" s="230">
        <v>2396</v>
      </c>
      <c r="CD78" s="230">
        <v>2380</v>
      </c>
      <c r="CE78" s="228">
        <v>16</v>
      </c>
      <c r="CF78" s="229">
        <v>6.7000000000000002E-3</v>
      </c>
      <c r="CG78" s="228">
        <v>157</v>
      </c>
      <c r="CH78" s="228">
        <v>153</v>
      </c>
      <c r="CI78" s="228">
        <v>4</v>
      </c>
      <c r="CJ78" s="229">
        <v>2.6599999999999999E-2</v>
      </c>
      <c r="CK78" s="228">
        <v>11</v>
      </c>
      <c r="CL78" s="228">
        <v>11</v>
      </c>
      <c r="CM78" s="228">
        <v>0</v>
      </c>
      <c r="CN78" s="229">
        <v>4.6899999999999997E-2</v>
      </c>
      <c r="CO78" s="230">
        <v>1502</v>
      </c>
      <c r="CP78" s="230">
        <v>1291</v>
      </c>
      <c r="CQ78" s="228">
        <v>211</v>
      </c>
      <c r="CR78" s="229">
        <v>0.16370000000000001</v>
      </c>
      <c r="CS78" s="228">
        <v>932</v>
      </c>
      <c r="CT78" s="228">
        <v>898</v>
      </c>
      <c r="CU78" s="228">
        <v>34</v>
      </c>
      <c r="CV78" s="229">
        <v>3.8300000000000001E-2</v>
      </c>
      <c r="CW78" s="230">
        <v>4999</v>
      </c>
      <c r="CX78" s="230">
        <v>4732</v>
      </c>
      <c r="CY78" s="228">
        <v>266</v>
      </c>
      <c r="CZ78" s="229">
        <v>5.6300000000000003E-2</v>
      </c>
      <c r="DA78" s="228">
        <v>25.36</v>
      </c>
      <c r="DB78" s="228">
        <v>25.4</v>
      </c>
      <c r="DC78" s="228">
        <v>-0.04</v>
      </c>
      <c r="DD78" s="228">
        <v>-0.04</v>
      </c>
      <c r="DE78" s="228">
        <v>30.96</v>
      </c>
      <c r="DF78" s="228">
        <v>31.04</v>
      </c>
      <c r="DG78" s="228">
        <v>-5.6</v>
      </c>
      <c r="DH78" s="228">
        <v>-0.08</v>
      </c>
      <c r="DI78" s="228">
        <v>25.36</v>
      </c>
      <c r="DJ78" s="228">
        <v>25.37</v>
      </c>
      <c r="DK78" s="228">
        <v>-0.01</v>
      </c>
      <c r="DL78" s="228">
        <v>-0.01</v>
      </c>
      <c r="DM78" s="228">
        <v>25.38</v>
      </c>
      <c r="DN78" s="228">
        <v>25.46</v>
      </c>
      <c r="DO78" s="228">
        <v>-0.08</v>
      </c>
      <c r="DP78" s="228">
        <v>-0.08</v>
      </c>
      <c r="DQ78" s="228">
        <v>0.62</v>
      </c>
      <c r="DR78" s="228">
        <v>0.7</v>
      </c>
      <c r="DS78" s="228">
        <v>-0.08</v>
      </c>
      <c r="DT78" s="229">
        <v>-0.1143</v>
      </c>
      <c r="DU78" s="231">
        <v>5600</v>
      </c>
      <c r="DV78" s="231">
        <v>5400</v>
      </c>
      <c r="DW78" s="228">
        <v>0.31</v>
      </c>
      <c r="DX78" s="228">
        <v>0.49</v>
      </c>
      <c r="DY78" s="228">
        <v>-0.18</v>
      </c>
      <c r="DZ78" s="229">
        <v>-0.36730000000000002</v>
      </c>
      <c r="EA78" s="229">
        <v>6.54E-2</v>
      </c>
      <c r="EB78" s="230">
        <v>295200</v>
      </c>
      <c r="EC78" s="229">
        <v>3.8E-3</v>
      </c>
      <c r="ED78" s="229">
        <v>6.54E-2</v>
      </c>
      <c r="EE78" s="228">
        <v>19.239999999999998</v>
      </c>
      <c r="EF78" s="229">
        <v>3.5000000000000001E-3</v>
      </c>
      <c r="EG78" s="230">
        <v>581784</v>
      </c>
      <c r="EH78" s="230">
        <v>615964</v>
      </c>
      <c r="EI78" s="229">
        <v>-5.5500000000000001E-2</v>
      </c>
      <c r="EJ78" s="229">
        <v>0.68700000000000006</v>
      </c>
      <c r="EK78" s="231">
        <v>3007.34</v>
      </c>
      <c r="EL78" s="228">
        <v>892.45</v>
      </c>
      <c r="EM78" s="228">
        <v>672.28</v>
      </c>
      <c r="EN78" s="228">
        <v>88.58</v>
      </c>
      <c r="EO78" s="231">
        <v>4572.0600000000004</v>
      </c>
      <c r="EP78" s="231">
        <v>3163.21</v>
      </c>
      <c r="EQ78" s="231">
        <v>1408.85</v>
      </c>
      <c r="ER78" s="229">
        <v>0.44540000000000002</v>
      </c>
      <c r="ES78" s="231">
        <v>1562.17</v>
      </c>
      <c r="ET78" s="228">
        <v>889.02</v>
      </c>
      <c r="EU78" s="231">
        <v>2564.42</v>
      </c>
      <c r="EV78" s="231">
        <v>19579129</v>
      </c>
      <c r="EW78" s="231">
        <v>5015.6099999999997</v>
      </c>
      <c r="EX78" s="231">
        <v>4752.71</v>
      </c>
      <c r="EY78" s="228">
        <v>262.89999999999998</v>
      </c>
      <c r="EZ78" s="229">
        <v>5.5300000000000002E-2</v>
      </c>
      <c r="FA78" s="229">
        <v>0.4617</v>
      </c>
      <c r="FB78" s="227" t="s">
        <v>567</v>
      </c>
      <c r="FC78">
        <f t="shared" si="1"/>
        <v>168</v>
      </c>
    </row>
    <row r="79" spans="1:159" ht="17.25" thickBot="1" x14ac:dyDescent="0.3">
      <c r="A79" s="226">
        <v>45940</v>
      </c>
      <c r="B79" s="227" t="s">
        <v>221</v>
      </c>
      <c r="C79" s="227" t="s">
        <v>577</v>
      </c>
      <c r="D79" s="228">
        <v>6450</v>
      </c>
      <c r="E79" s="228">
        <v>18</v>
      </c>
      <c r="F79" s="228">
        <v>76.44</v>
      </c>
      <c r="G79" s="228">
        <v>74.42</v>
      </c>
      <c r="H79" s="228">
        <v>2.02</v>
      </c>
      <c r="I79" s="229">
        <v>2.7099999999999999E-2</v>
      </c>
      <c r="J79" s="228">
        <v>76.040000000000006</v>
      </c>
      <c r="K79" s="228">
        <v>73.98</v>
      </c>
      <c r="L79" s="228">
        <v>2.06</v>
      </c>
      <c r="M79" s="229">
        <v>2.7799999999999998E-2</v>
      </c>
      <c r="N79" s="228">
        <v>76.44</v>
      </c>
      <c r="O79" s="228">
        <v>74.42</v>
      </c>
      <c r="P79" s="228">
        <v>2.02</v>
      </c>
      <c r="Q79" s="229">
        <v>2.7099999999999999E-2</v>
      </c>
      <c r="R79" s="228">
        <v>76.86</v>
      </c>
      <c r="S79" s="228">
        <v>74.84</v>
      </c>
      <c r="T79" s="228">
        <v>2.02</v>
      </c>
      <c r="U79" s="229">
        <v>2.7E-2</v>
      </c>
      <c r="V79" s="228">
        <v>77.5</v>
      </c>
      <c r="W79" s="228">
        <v>75.28</v>
      </c>
      <c r="X79" s="228">
        <v>2.2200000000000002</v>
      </c>
      <c r="Y79" s="229">
        <v>2.9499999999999998E-2</v>
      </c>
      <c r="Z79" s="228">
        <v>0.4</v>
      </c>
      <c r="AA79" s="228">
        <v>0.44</v>
      </c>
      <c r="AB79" s="228">
        <v>-0.04</v>
      </c>
      <c r="AC79" s="229">
        <v>5.3E-3</v>
      </c>
      <c r="AD79" s="228">
        <v>0.4</v>
      </c>
      <c r="AE79" s="228">
        <v>0.44</v>
      </c>
      <c r="AF79" s="228">
        <v>-0.04</v>
      </c>
      <c r="AG79" s="229">
        <v>5.3E-3</v>
      </c>
      <c r="AH79" s="228">
        <v>0.82</v>
      </c>
      <c r="AI79" s="228">
        <v>0.86</v>
      </c>
      <c r="AJ79" s="228">
        <v>-0.04</v>
      </c>
      <c r="AK79" s="229">
        <v>1.0800000000000001E-2</v>
      </c>
      <c r="AL79" s="228">
        <v>1.46</v>
      </c>
      <c r="AM79" s="228">
        <v>1.3</v>
      </c>
      <c r="AN79" s="228">
        <v>0.16</v>
      </c>
      <c r="AO79" s="229">
        <v>1.9199999999999998E-2</v>
      </c>
      <c r="AP79" s="228">
        <v>76.87</v>
      </c>
      <c r="AQ79" s="228">
        <v>77.209999999999994</v>
      </c>
      <c r="AR79" s="228">
        <v>0</v>
      </c>
      <c r="AS79" s="228">
        <v>244</v>
      </c>
      <c r="AT79" s="228">
        <v>142</v>
      </c>
      <c r="AU79" s="228">
        <v>102</v>
      </c>
      <c r="AV79" s="229">
        <v>0.7177</v>
      </c>
      <c r="AW79" s="228">
        <v>219</v>
      </c>
      <c r="AX79" s="228">
        <v>134</v>
      </c>
      <c r="AY79" s="228">
        <v>85</v>
      </c>
      <c r="AZ79" s="229">
        <v>0.63329999999999997</v>
      </c>
      <c r="BA79" s="228">
        <v>23</v>
      </c>
      <c r="BB79" s="228">
        <v>7</v>
      </c>
      <c r="BC79" s="228">
        <v>16</v>
      </c>
      <c r="BD79" s="229">
        <v>2.2551999999999999</v>
      </c>
      <c r="BE79" s="228">
        <v>1</v>
      </c>
      <c r="BF79" s="228">
        <v>1</v>
      </c>
      <c r="BG79" s="228">
        <v>1</v>
      </c>
      <c r="BH79" s="229">
        <v>1.25</v>
      </c>
      <c r="BI79" s="228">
        <v>505</v>
      </c>
      <c r="BJ79" s="228">
        <v>270</v>
      </c>
      <c r="BK79" s="228">
        <v>235</v>
      </c>
      <c r="BL79" s="229">
        <v>0.87250000000000005</v>
      </c>
      <c r="BM79" s="228">
        <v>157</v>
      </c>
      <c r="BN79" s="228">
        <v>104</v>
      </c>
      <c r="BO79" s="228">
        <v>52</v>
      </c>
      <c r="BP79" s="229">
        <v>0.50090000000000001</v>
      </c>
      <c r="BQ79" s="228">
        <v>905</v>
      </c>
      <c r="BR79" s="228">
        <v>516</v>
      </c>
      <c r="BS79" s="228">
        <v>389</v>
      </c>
      <c r="BT79" s="229">
        <v>0.75470000000000004</v>
      </c>
      <c r="BU79" s="230">
        <v>24118898</v>
      </c>
      <c r="BV79" s="230">
        <v>16567349</v>
      </c>
      <c r="BW79" s="230">
        <v>7551549</v>
      </c>
      <c r="BX79" s="229">
        <v>0.45579999999999998</v>
      </c>
      <c r="BY79" s="228">
        <v>922</v>
      </c>
      <c r="BZ79" s="228">
        <v>918</v>
      </c>
      <c r="CA79" s="228">
        <v>4</v>
      </c>
      <c r="CB79" s="229">
        <v>4.1000000000000003E-3</v>
      </c>
      <c r="CC79" s="228">
        <v>856</v>
      </c>
      <c r="CD79" s="228">
        <v>854</v>
      </c>
      <c r="CE79" s="228">
        <v>2</v>
      </c>
      <c r="CF79" s="229">
        <v>2.5999999999999999E-3</v>
      </c>
      <c r="CG79" s="228">
        <v>64</v>
      </c>
      <c r="CH79" s="228">
        <v>63</v>
      </c>
      <c r="CI79" s="228">
        <v>1</v>
      </c>
      <c r="CJ79" s="229">
        <v>1.9599999999999999E-2</v>
      </c>
      <c r="CK79" s="228">
        <v>2</v>
      </c>
      <c r="CL79" s="228">
        <v>2</v>
      </c>
      <c r="CM79" s="228">
        <v>0</v>
      </c>
      <c r="CN79" s="229">
        <v>0.16220000000000001</v>
      </c>
      <c r="CO79" s="228">
        <v>296</v>
      </c>
      <c r="CP79" s="228">
        <v>290</v>
      </c>
      <c r="CQ79" s="228">
        <v>7</v>
      </c>
      <c r="CR79" s="229">
        <v>2.4E-2</v>
      </c>
      <c r="CS79" s="228">
        <v>169</v>
      </c>
      <c r="CT79" s="228">
        <v>155</v>
      </c>
      <c r="CU79" s="228">
        <v>14</v>
      </c>
      <c r="CV79" s="229">
        <v>8.8200000000000001E-2</v>
      </c>
      <c r="CW79" s="230">
        <v>1388</v>
      </c>
      <c r="CX79" s="230">
        <v>1363</v>
      </c>
      <c r="CY79" s="228">
        <v>24</v>
      </c>
      <c r="CZ79" s="229">
        <v>1.7899999999999999E-2</v>
      </c>
      <c r="DA79" s="228">
        <v>41.73</v>
      </c>
      <c r="DB79" s="228">
        <v>40.700000000000003</v>
      </c>
      <c r="DC79" s="228">
        <v>1.03</v>
      </c>
      <c r="DD79" s="228">
        <v>1.03</v>
      </c>
      <c r="DE79" s="228">
        <v>55</v>
      </c>
      <c r="DF79" s="228">
        <v>55.02</v>
      </c>
      <c r="DG79" s="228">
        <v>-13.27</v>
      </c>
      <c r="DH79" s="228">
        <v>-0.02</v>
      </c>
      <c r="DI79" s="228">
        <v>41.9</v>
      </c>
      <c r="DJ79" s="228">
        <v>41.03</v>
      </c>
      <c r="DK79" s="228">
        <v>0.87</v>
      </c>
      <c r="DL79" s="228">
        <v>0.87</v>
      </c>
      <c r="DM79" s="228">
        <v>41.19</v>
      </c>
      <c r="DN79" s="228">
        <v>39.869999999999997</v>
      </c>
      <c r="DO79" s="228">
        <v>1.32</v>
      </c>
      <c r="DP79" s="228">
        <v>1.32</v>
      </c>
      <c r="DQ79" s="228">
        <v>0.56999999999999995</v>
      </c>
      <c r="DR79" s="228">
        <v>0.54</v>
      </c>
      <c r="DS79" s="228">
        <v>0.03</v>
      </c>
      <c r="DT79" s="229">
        <v>5.5599999999999997E-2</v>
      </c>
      <c r="DU79" s="228">
        <v>80</v>
      </c>
      <c r="DV79" s="228">
        <v>75</v>
      </c>
      <c r="DW79" s="228">
        <v>0.31</v>
      </c>
      <c r="DX79" s="228">
        <v>0.39</v>
      </c>
      <c r="DY79" s="228">
        <v>-0.08</v>
      </c>
      <c r="DZ79" s="229">
        <v>-0.2051</v>
      </c>
      <c r="EA79" s="229">
        <v>7.17E-2</v>
      </c>
      <c r="EB79" s="230">
        <v>8449500</v>
      </c>
      <c r="EC79" s="229">
        <v>5.4999999999999997E-3</v>
      </c>
      <c r="ED79" s="229">
        <v>7.17E-2</v>
      </c>
      <c r="EE79" s="228">
        <v>0.34</v>
      </c>
      <c r="EF79" s="229">
        <v>4.4000000000000003E-3</v>
      </c>
      <c r="EG79" s="230">
        <v>6864233</v>
      </c>
      <c r="EH79" s="230">
        <v>2796285</v>
      </c>
      <c r="EI79" s="229">
        <v>1.4548000000000001</v>
      </c>
      <c r="EJ79" s="229">
        <v>0.28460000000000002</v>
      </c>
      <c r="EK79" s="228">
        <v>532.82000000000005</v>
      </c>
      <c r="EL79" s="228">
        <v>157.51</v>
      </c>
      <c r="EM79" s="228">
        <v>245.05</v>
      </c>
      <c r="EN79" s="228">
        <v>32.81</v>
      </c>
      <c r="EO79" s="228">
        <v>935.39</v>
      </c>
      <c r="EP79" s="228">
        <v>519.28</v>
      </c>
      <c r="EQ79" s="228">
        <v>416.11</v>
      </c>
      <c r="ER79" s="229">
        <v>0.80130000000000001</v>
      </c>
      <c r="ES79" s="228">
        <v>305.43</v>
      </c>
      <c r="ET79" s="228">
        <v>164.2</v>
      </c>
      <c r="EU79" s="228">
        <v>922.36</v>
      </c>
      <c r="EV79" s="231">
        <v>147979599</v>
      </c>
      <c r="EW79" s="231">
        <v>1392</v>
      </c>
      <c r="EX79" s="231">
        <v>1341.28</v>
      </c>
      <c r="EY79" s="228">
        <v>50.72</v>
      </c>
      <c r="EZ79" s="229">
        <v>3.78E-2</v>
      </c>
      <c r="FA79" s="229">
        <v>1.2266999999999999</v>
      </c>
      <c r="FB79" s="227" t="s">
        <v>555</v>
      </c>
      <c r="FC79">
        <f t="shared" si="1"/>
        <v>66</v>
      </c>
    </row>
    <row r="80" spans="1:159" ht="17.25" thickBot="1" x14ac:dyDescent="0.3">
      <c r="A80" s="226">
        <v>45940</v>
      </c>
      <c r="B80" s="227" t="s">
        <v>227</v>
      </c>
      <c r="C80" s="227" t="s">
        <v>228</v>
      </c>
      <c r="D80" s="228">
        <v>1400</v>
      </c>
      <c r="E80" s="228">
        <v>18</v>
      </c>
      <c r="F80" s="228">
        <v>777.1</v>
      </c>
      <c r="G80" s="228">
        <v>778.25</v>
      </c>
      <c r="H80" s="228">
        <v>-1.1499999999999999</v>
      </c>
      <c r="I80" s="229">
        <v>-1.5E-3</v>
      </c>
      <c r="J80" s="228">
        <v>773.95</v>
      </c>
      <c r="K80" s="228">
        <v>774.1</v>
      </c>
      <c r="L80" s="228">
        <v>-0.15</v>
      </c>
      <c r="M80" s="229">
        <v>-2.0000000000000001E-4</v>
      </c>
      <c r="N80" s="228">
        <v>777.1</v>
      </c>
      <c r="O80" s="228">
        <v>778.25</v>
      </c>
      <c r="P80" s="228">
        <v>-1.1499999999999999</v>
      </c>
      <c r="Q80" s="229">
        <v>-1.5E-3</v>
      </c>
      <c r="R80" s="228">
        <v>781.65</v>
      </c>
      <c r="S80" s="228">
        <v>782.6</v>
      </c>
      <c r="T80" s="228">
        <v>-0.95</v>
      </c>
      <c r="U80" s="229">
        <v>-1.1999999999999999E-3</v>
      </c>
      <c r="V80" s="228">
        <v>785.55</v>
      </c>
      <c r="W80" s="228">
        <v>786.65</v>
      </c>
      <c r="X80" s="228">
        <v>-1.1000000000000001</v>
      </c>
      <c r="Y80" s="229">
        <v>-1.4E-3</v>
      </c>
      <c r="Z80" s="228">
        <v>3.15</v>
      </c>
      <c r="AA80" s="228">
        <v>4.1500000000000004</v>
      </c>
      <c r="AB80" s="228">
        <v>-1</v>
      </c>
      <c r="AC80" s="229">
        <v>4.1000000000000003E-3</v>
      </c>
      <c r="AD80" s="228">
        <v>3.15</v>
      </c>
      <c r="AE80" s="228">
        <v>4.1500000000000004</v>
      </c>
      <c r="AF80" s="228">
        <v>-1</v>
      </c>
      <c r="AG80" s="229">
        <v>4.1000000000000003E-3</v>
      </c>
      <c r="AH80" s="228">
        <v>7.7</v>
      </c>
      <c r="AI80" s="228">
        <v>8.5</v>
      </c>
      <c r="AJ80" s="228">
        <v>-0.8</v>
      </c>
      <c r="AK80" s="229">
        <v>9.9000000000000008E-3</v>
      </c>
      <c r="AL80" s="228">
        <v>11.6</v>
      </c>
      <c r="AM80" s="228">
        <v>12.55</v>
      </c>
      <c r="AN80" s="228">
        <v>-0.95</v>
      </c>
      <c r="AO80" s="229">
        <v>1.4999999999999999E-2</v>
      </c>
      <c r="AP80" s="228">
        <v>772.88</v>
      </c>
      <c r="AQ80" s="228">
        <v>776.68</v>
      </c>
      <c r="AR80" s="228">
        <v>0</v>
      </c>
      <c r="AS80" s="228">
        <v>739</v>
      </c>
      <c r="AT80" s="228">
        <v>686</v>
      </c>
      <c r="AU80" s="228">
        <v>54</v>
      </c>
      <c r="AV80" s="229">
        <v>7.8200000000000006E-2</v>
      </c>
      <c r="AW80" s="228">
        <v>698</v>
      </c>
      <c r="AX80" s="228">
        <v>638</v>
      </c>
      <c r="AY80" s="228">
        <v>61</v>
      </c>
      <c r="AZ80" s="229">
        <v>9.5200000000000007E-2</v>
      </c>
      <c r="BA80" s="228">
        <v>36</v>
      </c>
      <c r="BB80" s="228">
        <v>45</v>
      </c>
      <c r="BC80" s="228">
        <v>-9</v>
      </c>
      <c r="BD80" s="229">
        <v>-0.2082</v>
      </c>
      <c r="BE80" s="228">
        <v>5</v>
      </c>
      <c r="BF80" s="228">
        <v>3</v>
      </c>
      <c r="BG80" s="228">
        <v>2</v>
      </c>
      <c r="BH80" s="229">
        <v>0.72409999999999997</v>
      </c>
      <c r="BI80" s="230">
        <v>1958</v>
      </c>
      <c r="BJ80" s="230">
        <v>2121</v>
      </c>
      <c r="BK80" s="228">
        <v>-163</v>
      </c>
      <c r="BL80" s="229">
        <v>-7.6799999999999993E-2</v>
      </c>
      <c r="BM80" s="230">
        <v>1019</v>
      </c>
      <c r="BN80" s="228">
        <v>838</v>
      </c>
      <c r="BO80" s="228">
        <v>182</v>
      </c>
      <c r="BP80" s="229">
        <v>0.21690000000000001</v>
      </c>
      <c r="BQ80" s="230">
        <v>3717</v>
      </c>
      <c r="BR80" s="230">
        <v>3644</v>
      </c>
      <c r="BS80" s="228">
        <v>72</v>
      </c>
      <c r="BT80" s="229">
        <v>1.9900000000000001E-2</v>
      </c>
      <c r="BU80" s="230">
        <v>4430794</v>
      </c>
      <c r="BV80" s="230">
        <v>7012901</v>
      </c>
      <c r="BW80" s="230">
        <v>-2582107</v>
      </c>
      <c r="BX80" s="229">
        <v>-0.36820000000000003</v>
      </c>
      <c r="BY80" s="230">
        <v>5079</v>
      </c>
      <c r="BZ80" s="230">
        <v>5105</v>
      </c>
      <c r="CA80" s="228">
        <v>-26</v>
      </c>
      <c r="CB80" s="229">
        <v>-5.1999999999999998E-3</v>
      </c>
      <c r="CC80" s="230">
        <v>4991</v>
      </c>
      <c r="CD80" s="230">
        <v>5026</v>
      </c>
      <c r="CE80" s="228">
        <v>-35</v>
      </c>
      <c r="CF80" s="229">
        <v>-7.0000000000000001E-3</v>
      </c>
      <c r="CG80" s="228">
        <v>78</v>
      </c>
      <c r="CH80" s="228">
        <v>72</v>
      </c>
      <c r="CI80" s="228">
        <v>6</v>
      </c>
      <c r="CJ80" s="229">
        <v>7.6799999999999993E-2</v>
      </c>
      <c r="CK80" s="228">
        <v>11</v>
      </c>
      <c r="CL80" s="228">
        <v>7</v>
      </c>
      <c r="CM80" s="228">
        <v>3</v>
      </c>
      <c r="CN80" s="229">
        <v>0.44119999999999998</v>
      </c>
      <c r="CO80" s="230">
        <v>1406</v>
      </c>
      <c r="CP80" s="230">
        <v>1364</v>
      </c>
      <c r="CQ80" s="228">
        <v>42</v>
      </c>
      <c r="CR80" s="229">
        <v>3.0700000000000002E-2</v>
      </c>
      <c r="CS80" s="230">
        <v>1009</v>
      </c>
      <c r="CT80" s="228">
        <v>986</v>
      </c>
      <c r="CU80" s="228">
        <v>24</v>
      </c>
      <c r="CV80" s="229">
        <v>2.4E-2</v>
      </c>
      <c r="CW80" s="230">
        <v>7494</v>
      </c>
      <c r="CX80" s="230">
        <v>7455</v>
      </c>
      <c r="CY80" s="228">
        <v>39</v>
      </c>
      <c r="CZ80" s="229">
        <v>5.1999999999999998E-3</v>
      </c>
      <c r="DA80" s="228">
        <v>22.61</v>
      </c>
      <c r="DB80" s="228">
        <v>23.4</v>
      </c>
      <c r="DC80" s="228">
        <v>-0.79</v>
      </c>
      <c r="DD80" s="228">
        <v>-0.79</v>
      </c>
      <c r="DE80" s="228">
        <v>33.26</v>
      </c>
      <c r="DF80" s="228">
        <v>33.340000000000003</v>
      </c>
      <c r="DG80" s="228">
        <v>-10.65</v>
      </c>
      <c r="DH80" s="228">
        <v>-0.08</v>
      </c>
      <c r="DI80" s="228">
        <v>22.35</v>
      </c>
      <c r="DJ80" s="228">
        <v>23.34</v>
      </c>
      <c r="DK80" s="228">
        <v>-0.99</v>
      </c>
      <c r="DL80" s="228">
        <v>-0.99</v>
      </c>
      <c r="DM80" s="228">
        <v>23.1</v>
      </c>
      <c r="DN80" s="228">
        <v>23.53</v>
      </c>
      <c r="DO80" s="228">
        <v>-0.43</v>
      </c>
      <c r="DP80" s="228">
        <v>-0.43</v>
      </c>
      <c r="DQ80" s="228">
        <v>0.72</v>
      </c>
      <c r="DR80" s="228">
        <v>0.72</v>
      </c>
      <c r="DS80" s="228">
        <v>0</v>
      </c>
      <c r="DT80" s="229">
        <v>0</v>
      </c>
      <c r="DU80" s="228">
        <v>800</v>
      </c>
      <c r="DV80" s="228">
        <v>750</v>
      </c>
      <c r="DW80" s="228">
        <v>0.52</v>
      </c>
      <c r="DX80" s="228">
        <v>0.39</v>
      </c>
      <c r="DY80" s="228">
        <v>0.13</v>
      </c>
      <c r="DZ80" s="229">
        <v>0.33329999999999999</v>
      </c>
      <c r="EA80" s="229">
        <v>1.7399999999999999E-2</v>
      </c>
      <c r="EB80" s="230">
        <v>1024800</v>
      </c>
      <c r="EC80" s="229">
        <v>5.8999999999999999E-3</v>
      </c>
      <c r="ED80" s="229">
        <v>1.7399999999999999E-2</v>
      </c>
      <c r="EE80" s="228">
        <v>3.8</v>
      </c>
      <c r="EF80" s="229">
        <v>4.8999999999999998E-3</v>
      </c>
      <c r="EG80" s="230">
        <v>1983642</v>
      </c>
      <c r="EH80" s="230">
        <v>4566767</v>
      </c>
      <c r="EI80" s="229">
        <v>-0.56559999999999999</v>
      </c>
      <c r="EJ80" s="229">
        <v>0.44769999999999999</v>
      </c>
      <c r="EK80" s="231">
        <v>2021.61</v>
      </c>
      <c r="EL80" s="231">
        <v>1006.06</v>
      </c>
      <c r="EM80" s="228">
        <v>735.48</v>
      </c>
      <c r="EN80" s="228">
        <v>73.540000000000006</v>
      </c>
      <c r="EO80" s="231">
        <v>3763.15</v>
      </c>
      <c r="EP80" s="231">
        <v>3728.03</v>
      </c>
      <c r="EQ80" s="228">
        <v>35.130000000000003</v>
      </c>
      <c r="ER80" s="229">
        <v>9.4000000000000004E-3</v>
      </c>
      <c r="ES80" s="231">
        <v>1444.65</v>
      </c>
      <c r="ET80" s="228">
        <v>962.46</v>
      </c>
      <c r="EU80" s="231">
        <v>5079.62</v>
      </c>
      <c r="EV80" s="231">
        <v>176136372</v>
      </c>
      <c r="EW80" s="231">
        <v>7486.73</v>
      </c>
      <c r="EX80" s="231">
        <v>7458.39</v>
      </c>
      <c r="EY80" s="228">
        <v>28.34</v>
      </c>
      <c r="EZ80" s="229">
        <v>3.8E-3</v>
      </c>
      <c r="FA80" s="229">
        <v>0.54749999999999999</v>
      </c>
      <c r="FB80" s="227" t="s">
        <v>568</v>
      </c>
      <c r="FC80">
        <f t="shared" si="1"/>
        <v>88</v>
      </c>
    </row>
    <row r="81" spans="1:159" ht="17.25" thickBot="1" x14ac:dyDescent="0.3">
      <c r="A81" s="226">
        <v>45940</v>
      </c>
      <c r="B81" s="227" t="s">
        <v>193</v>
      </c>
      <c r="C81" s="227" t="s">
        <v>229</v>
      </c>
      <c r="D81" s="228">
        <v>2025</v>
      </c>
      <c r="E81" s="228">
        <v>18</v>
      </c>
      <c r="F81" s="228">
        <v>454.9</v>
      </c>
      <c r="G81" s="228">
        <v>459.65</v>
      </c>
      <c r="H81" s="228">
        <v>-4.75</v>
      </c>
      <c r="I81" s="229">
        <v>-1.03E-2</v>
      </c>
      <c r="J81" s="228">
        <v>452.5</v>
      </c>
      <c r="K81" s="228">
        <v>458</v>
      </c>
      <c r="L81" s="228">
        <v>-5.5</v>
      </c>
      <c r="M81" s="229">
        <v>-1.2E-2</v>
      </c>
      <c r="N81" s="228">
        <v>454.9</v>
      </c>
      <c r="O81" s="228">
        <v>459.65</v>
      </c>
      <c r="P81" s="228">
        <v>-4.75</v>
      </c>
      <c r="Q81" s="229">
        <v>-1.03E-2</v>
      </c>
      <c r="R81" s="228">
        <v>457.2</v>
      </c>
      <c r="S81" s="228">
        <v>461.95</v>
      </c>
      <c r="T81" s="228">
        <v>-4.75</v>
      </c>
      <c r="U81" s="229">
        <v>-1.03E-2</v>
      </c>
      <c r="V81" s="228">
        <v>458.15</v>
      </c>
      <c r="W81" s="228">
        <v>464.25</v>
      </c>
      <c r="X81" s="228">
        <v>-6.1</v>
      </c>
      <c r="Y81" s="229">
        <v>-1.3100000000000001E-2</v>
      </c>
      <c r="Z81" s="228">
        <v>2.4</v>
      </c>
      <c r="AA81" s="228">
        <v>1.65</v>
      </c>
      <c r="AB81" s="228">
        <v>0.75</v>
      </c>
      <c r="AC81" s="229">
        <v>5.3E-3</v>
      </c>
      <c r="AD81" s="228">
        <v>2.4</v>
      </c>
      <c r="AE81" s="228">
        <v>1.65</v>
      </c>
      <c r="AF81" s="228">
        <v>0.75</v>
      </c>
      <c r="AG81" s="229">
        <v>5.3E-3</v>
      </c>
      <c r="AH81" s="228">
        <v>4.7</v>
      </c>
      <c r="AI81" s="228">
        <v>3.95</v>
      </c>
      <c r="AJ81" s="228">
        <v>0.75</v>
      </c>
      <c r="AK81" s="229">
        <v>1.04E-2</v>
      </c>
      <c r="AL81" s="228">
        <v>5.65</v>
      </c>
      <c r="AM81" s="228">
        <v>6.25</v>
      </c>
      <c r="AN81" s="228">
        <v>-0.6</v>
      </c>
      <c r="AO81" s="229">
        <v>1.2500000000000001E-2</v>
      </c>
      <c r="AP81" s="228">
        <v>458.13</v>
      </c>
      <c r="AQ81" s="228">
        <v>460.3</v>
      </c>
      <c r="AR81" s="228">
        <v>0</v>
      </c>
      <c r="AS81" s="228">
        <v>259</v>
      </c>
      <c r="AT81" s="228">
        <v>365</v>
      </c>
      <c r="AU81" s="228">
        <v>-105</v>
      </c>
      <c r="AV81" s="229">
        <v>-0.28910000000000002</v>
      </c>
      <c r="AW81" s="228">
        <v>247</v>
      </c>
      <c r="AX81" s="228">
        <v>341</v>
      </c>
      <c r="AY81" s="228">
        <v>-94</v>
      </c>
      <c r="AZ81" s="229">
        <v>-0.27479999999999999</v>
      </c>
      <c r="BA81" s="228">
        <v>10</v>
      </c>
      <c r="BB81" s="228">
        <v>19</v>
      </c>
      <c r="BC81" s="228">
        <v>-9</v>
      </c>
      <c r="BD81" s="229">
        <v>-0.45369999999999999</v>
      </c>
      <c r="BE81" s="228">
        <v>2</v>
      </c>
      <c r="BF81" s="228">
        <v>5</v>
      </c>
      <c r="BG81" s="228">
        <v>-3</v>
      </c>
      <c r="BH81" s="229">
        <v>-0.61019999999999996</v>
      </c>
      <c r="BI81" s="228">
        <v>645</v>
      </c>
      <c r="BJ81" s="230">
        <v>1231</v>
      </c>
      <c r="BK81" s="228">
        <v>-585</v>
      </c>
      <c r="BL81" s="229">
        <v>-0.47549999999999998</v>
      </c>
      <c r="BM81" s="228">
        <v>374</v>
      </c>
      <c r="BN81" s="228">
        <v>584</v>
      </c>
      <c r="BO81" s="228">
        <v>-210</v>
      </c>
      <c r="BP81" s="229">
        <v>-0.36</v>
      </c>
      <c r="BQ81" s="230">
        <v>1279</v>
      </c>
      <c r="BR81" s="230">
        <v>2180</v>
      </c>
      <c r="BS81" s="228">
        <v>-901</v>
      </c>
      <c r="BT81" s="229">
        <v>-0.41339999999999999</v>
      </c>
      <c r="BU81" s="230">
        <v>1815604</v>
      </c>
      <c r="BV81" s="230">
        <v>3706507</v>
      </c>
      <c r="BW81" s="230">
        <v>-1890903</v>
      </c>
      <c r="BX81" s="229">
        <v>-0.51019999999999999</v>
      </c>
      <c r="BY81" s="230">
        <v>2320</v>
      </c>
      <c r="BZ81" s="230">
        <v>2295</v>
      </c>
      <c r="CA81" s="228">
        <v>25</v>
      </c>
      <c r="CB81" s="229">
        <v>1.0699999999999999E-2</v>
      </c>
      <c r="CC81" s="230">
        <v>2275</v>
      </c>
      <c r="CD81" s="230">
        <v>2254</v>
      </c>
      <c r="CE81" s="228">
        <v>21</v>
      </c>
      <c r="CF81" s="229">
        <v>9.2999999999999992E-3</v>
      </c>
      <c r="CG81" s="228">
        <v>38</v>
      </c>
      <c r="CH81" s="228">
        <v>35</v>
      </c>
      <c r="CI81" s="228">
        <v>3</v>
      </c>
      <c r="CJ81" s="229">
        <v>9.3299999999999994E-2</v>
      </c>
      <c r="CK81" s="228">
        <v>7</v>
      </c>
      <c r="CL81" s="228">
        <v>7</v>
      </c>
      <c r="CM81" s="228">
        <v>0</v>
      </c>
      <c r="CN81" s="229">
        <v>6.7599999999999993E-2</v>
      </c>
      <c r="CO81" s="230">
        <v>1129</v>
      </c>
      <c r="CP81" s="230">
        <v>1035</v>
      </c>
      <c r="CQ81" s="228">
        <v>94</v>
      </c>
      <c r="CR81" s="229">
        <v>9.0800000000000006E-2</v>
      </c>
      <c r="CS81" s="228">
        <v>522</v>
      </c>
      <c r="CT81" s="228">
        <v>506</v>
      </c>
      <c r="CU81" s="228">
        <v>16</v>
      </c>
      <c r="CV81" s="229">
        <v>3.1899999999999998E-2</v>
      </c>
      <c r="CW81" s="230">
        <v>3970</v>
      </c>
      <c r="CX81" s="230">
        <v>3835</v>
      </c>
      <c r="CY81" s="228">
        <v>135</v>
      </c>
      <c r="CZ81" s="229">
        <v>3.5099999999999999E-2</v>
      </c>
      <c r="DA81" s="228">
        <v>31.88</v>
      </c>
      <c r="DB81" s="228">
        <v>32.01</v>
      </c>
      <c r="DC81" s="228">
        <v>-0.13</v>
      </c>
      <c r="DD81" s="228">
        <v>-0.13</v>
      </c>
      <c r="DE81" s="228">
        <v>40.96</v>
      </c>
      <c r="DF81" s="228">
        <v>41.04</v>
      </c>
      <c r="DG81" s="228">
        <v>-9.08</v>
      </c>
      <c r="DH81" s="228">
        <v>-0.08</v>
      </c>
      <c r="DI81" s="228">
        <v>32.770000000000003</v>
      </c>
      <c r="DJ81" s="228">
        <v>32.25</v>
      </c>
      <c r="DK81" s="228">
        <v>0.52</v>
      </c>
      <c r="DL81" s="228">
        <v>0.52</v>
      </c>
      <c r="DM81" s="228">
        <v>30.33</v>
      </c>
      <c r="DN81" s="228">
        <v>31.51</v>
      </c>
      <c r="DO81" s="228">
        <v>-1.18</v>
      </c>
      <c r="DP81" s="228">
        <v>-1.18</v>
      </c>
      <c r="DQ81" s="228">
        <v>0.46</v>
      </c>
      <c r="DR81" s="228">
        <v>0.49</v>
      </c>
      <c r="DS81" s="228">
        <v>-0.03</v>
      </c>
      <c r="DT81" s="229">
        <v>-6.1199999999999997E-2</v>
      </c>
      <c r="DU81" s="228">
        <v>500</v>
      </c>
      <c r="DV81" s="228">
        <v>440</v>
      </c>
      <c r="DW81" s="228">
        <v>0.57999999999999996</v>
      </c>
      <c r="DX81" s="228">
        <v>0.47</v>
      </c>
      <c r="DY81" s="228">
        <v>0.11</v>
      </c>
      <c r="DZ81" s="229">
        <v>0.23400000000000001</v>
      </c>
      <c r="EA81" s="229">
        <v>1.9400000000000001E-2</v>
      </c>
      <c r="EB81" s="230">
        <v>909225</v>
      </c>
      <c r="EC81" s="229">
        <v>5.1000000000000004E-3</v>
      </c>
      <c r="ED81" s="229">
        <v>1.9400000000000001E-2</v>
      </c>
      <c r="EE81" s="228">
        <v>2.17</v>
      </c>
      <c r="EF81" s="229">
        <v>4.7000000000000002E-3</v>
      </c>
      <c r="EG81" s="230">
        <v>905672</v>
      </c>
      <c r="EH81" s="230">
        <v>1757302</v>
      </c>
      <c r="EI81" s="229">
        <v>-0.48459999999999998</v>
      </c>
      <c r="EJ81" s="229">
        <v>0.49880000000000002</v>
      </c>
      <c r="EK81" s="228">
        <v>691.21</v>
      </c>
      <c r="EL81" s="228">
        <v>372.35</v>
      </c>
      <c r="EM81" s="228">
        <v>261.32</v>
      </c>
      <c r="EN81" s="228">
        <v>63.25</v>
      </c>
      <c r="EO81" s="231">
        <v>1324.88</v>
      </c>
      <c r="EP81" s="231">
        <v>2268.33</v>
      </c>
      <c r="EQ81" s="228">
        <v>-943.45</v>
      </c>
      <c r="ER81" s="229">
        <v>-0.41589999999999999</v>
      </c>
      <c r="ES81" s="231">
        <v>1182.24</v>
      </c>
      <c r="ET81" s="228">
        <v>493.31</v>
      </c>
      <c r="EU81" s="231">
        <v>2319.94</v>
      </c>
      <c r="EV81" s="231">
        <v>143933168</v>
      </c>
      <c r="EW81" s="231">
        <v>3995.48</v>
      </c>
      <c r="EX81" s="231">
        <v>3878.45</v>
      </c>
      <c r="EY81" s="228">
        <v>117.03</v>
      </c>
      <c r="EZ81" s="229">
        <v>3.0200000000000001E-2</v>
      </c>
      <c r="FA81" s="229">
        <v>0.60629999999999995</v>
      </c>
      <c r="FB81" s="227" t="s">
        <v>567</v>
      </c>
      <c r="FC81">
        <f t="shared" si="1"/>
        <v>45</v>
      </c>
    </row>
    <row r="82" spans="1:159" ht="17.25" thickBot="1" x14ac:dyDescent="0.3">
      <c r="A82" s="226">
        <v>45940</v>
      </c>
      <c r="B82" s="227" t="s">
        <v>168</v>
      </c>
      <c r="C82" s="227" t="s">
        <v>230</v>
      </c>
      <c r="D82" s="228">
        <v>300</v>
      </c>
      <c r="E82" s="228">
        <v>18</v>
      </c>
      <c r="F82" s="231">
        <v>2534.6999999999998</v>
      </c>
      <c r="G82" s="231">
        <v>2524.3000000000002</v>
      </c>
      <c r="H82" s="228">
        <v>10.4</v>
      </c>
      <c r="I82" s="229">
        <v>4.1000000000000003E-3</v>
      </c>
      <c r="J82" s="231">
        <v>2528.9</v>
      </c>
      <c r="K82" s="231">
        <v>2517.6</v>
      </c>
      <c r="L82" s="228">
        <v>11.3</v>
      </c>
      <c r="M82" s="229">
        <v>4.4999999999999997E-3</v>
      </c>
      <c r="N82" s="231">
        <v>2534.6999999999998</v>
      </c>
      <c r="O82" s="231">
        <v>2524.3000000000002</v>
      </c>
      <c r="P82" s="228">
        <v>10.4</v>
      </c>
      <c r="Q82" s="229">
        <v>4.1000000000000003E-3</v>
      </c>
      <c r="R82" s="231">
        <v>2529.6</v>
      </c>
      <c r="S82" s="231">
        <v>2521.4</v>
      </c>
      <c r="T82" s="228">
        <v>8.1999999999999993</v>
      </c>
      <c r="U82" s="229">
        <v>3.3E-3</v>
      </c>
      <c r="V82" s="231">
        <v>2545</v>
      </c>
      <c r="W82" s="231">
        <v>2527</v>
      </c>
      <c r="X82" s="228">
        <v>18</v>
      </c>
      <c r="Y82" s="229">
        <v>7.1000000000000004E-3</v>
      </c>
      <c r="Z82" s="228">
        <v>5.8</v>
      </c>
      <c r="AA82" s="228">
        <v>6.7</v>
      </c>
      <c r="AB82" s="228">
        <v>-0.9</v>
      </c>
      <c r="AC82" s="229">
        <v>2.3E-3</v>
      </c>
      <c r="AD82" s="228">
        <v>5.8</v>
      </c>
      <c r="AE82" s="228">
        <v>6.7</v>
      </c>
      <c r="AF82" s="228">
        <v>-0.9</v>
      </c>
      <c r="AG82" s="229">
        <v>2.3E-3</v>
      </c>
      <c r="AH82" s="228">
        <v>0.7</v>
      </c>
      <c r="AI82" s="228">
        <v>3.8</v>
      </c>
      <c r="AJ82" s="228">
        <v>-3.1</v>
      </c>
      <c r="AK82" s="229">
        <v>2.9999999999999997E-4</v>
      </c>
      <c r="AL82" s="228">
        <v>16.100000000000001</v>
      </c>
      <c r="AM82" s="228">
        <v>9.4</v>
      </c>
      <c r="AN82" s="228">
        <v>6.7</v>
      </c>
      <c r="AO82" s="229">
        <v>6.4000000000000003E-3</v>
      </c>
      <c r="AP82" s="231">
        <v>2531.14</v>
      </c>
      <c r="AQ82" s="231">
        <v>2526.4299999999998</v>
      </c>
      <c r="AR82" s="228">
        <v>0</v>
      </c>
      <c r="AS82" s="228">
        <v>360</v>
      </c>
      <c r="AT82" s="228">
        <v>287</v>
      </c>
      <c r="AU82" s="228">
        <v>73</v>
      </c>
      <c r="AV82" s="229">
        <v>0.25459999999999999</v>
      </c>
      <c r="AW82" s="228">
        <v>321</v>
      </c>
      <c r="AX82" s="228">
        <v>270</v>
      </c>
      <c r="AY82" s="228">
        <v>51</v>
      </c>
      <c r="AZ82" s="229">
        <v>0.18859999999999999</v>
      </c>
      <c r="BA82" s="228">
        <v>29</v>
      </c>
      <c r="BB82" s="228">
        <v>17</v>
      </c>
      <c r="BC82" s="228">
        <v>12</v>
      </c>
      <c r="BD82" s="229">
        <v>0.72599999999999998</v>
      </c>
      <c r="BE82" s="228">
        <v>10</v>
      </c>
      <c r="BF82" s="228">
        <v>0</v>
      </c>
      <c r="BG82" s="228">
        <v>10</v>
      </c>
      <c r="BH82" s="229">
        <v>33</v>
      </c>
      <c r="BI82" s="230">
        <v>1036</v>
      </c>
      <c r="BJ82" s="228">
        <v>812</v>
      </c>
      <c r="BK82" s="228">
        <v>224</v>
      </c>
      <c r="BL82" s="229">
        <v>0.27589999999999998</v>
      </c>
      <c r="BM82" s="228">
        <v>564</v>
      </c>
      <c r="BN82" s="228">
        <v>373</v>
      </c>
      <c r="BO82" s="228">
        <v>191</v>
      </c>
      <c r="BP82" s="229">
        <v>0.51119999999999999</v>
      </c>
      <c r="BQ82" s="230">
        <v>1960</v>
      </c>
      <c r="BR82" s="230">
        <v>1472</v>
      </c>
      <c r="BS82" s="228">
        <v>488</v>
      </c>
      <c r="BT82" s="229">
        <v>0.33139999999999997</v>
      </c>
      <c r="BU82" s="230">
        <v>1039549</v>
      </c>
      <c r="BV82" s="230">
        <v>1617232</v>
      </c>
      <c r="BW82" s="230">
        <v>-577683</v>
      </c>
      <c r="BX82" s="229">
        <v>-0.35720000000000002</v>
      </c>
      <c r="BY82" s="230">
        <v>3570</v>
      </c>
      <c r="BZ82" s="230">
        <v>3546</v>
      </c>
      <c r="CA82" s="228">
        <v>24</v>
      </c>
      <c r="CB82" s="229">
        <v>6.7000000000000002E-3</v>
      </c>
      <c r="CC82" s="230">
        <v>3433</v>
      </c>
      <c r="CD82" s="230">
        <v>3431</v>
      </c>
      <c r="CE82" s="228">
        <v>2</v>
      </c>
      <c r="CF82" s="229">
        <v>5.9999999999999995E-4</v>
      </c>
      <c r="CG82" s="228">
        <v>125</v>
      </c>
      <c r="CH82" s="228">
        <v>111</v>
      </c>
      <c r="CI82" s="228">
        <v>14</v>
      </c>
      <c r="CJ82" s="229">
        <v>0.1235</v>
      </c>
      <c r="CK82" s="228">
        <v>12</v>
      </c>
      <c r="CL82" s="228">
        <v>4</v>
      </c>
      <c r="CM82" s="228">
        <v>8</v>
      </c>
      <c r="CN82" s="229">
        <v>2.234</v>
      </c>
      <c r="CO82" s="230">
        <v>1234</v>
      </c>
      <c r="CP82" s="230">
        <v>1167</v>
      </c>
      <c r="CQ82" s="228">
        <v>67</v>
      </c>
      <c r="CR82" s="229">
        <v>5.7599999999999998E-2</v>
      </c>
      <c r="CS82" s="228">
        <v>696</v>
      </c>
      <c r="CT82" s="228">
        <v>694</v>
      </c>
      <c r="CU82" s="228">
        <v>3</v>
      </c>
      <c r="CV82" s="229">
        <v>3.8999999999999998E-3</v>
      </c>
      <c r="CW82" s="230">
        <v>5500</v>
      </c>
      <c r="CX82" s="230">
        <v>5406</v>
      </c>
      <c r="CY82" s="228">
        <v>94</v>
      </c>
      <c r="CZ82" s="229">
        <v>1.7299999999999999E-2</v>
      </c>
      <c r="DA82" s="228">
        <v>18.78</v>
      </c>
      <c r="DB82" s="228">
        <v>19.579999999999998</v>
      </c>
      <c r="DC82" s="228">
        <v>-0.8</v>
      </c>
      <c r="DD82" s="228">
        <v>-0.8</v>
      </c>
      <c r="DE82" s="228">
        <v>22.67</v>
      </c>
      <c r="DF82" s="228">
        <v>22.72</v>
      </c>
      <c r="DG82" s="228">
        <v>-3.89</v>
      </c>
      <c r="DH82" s="228">
        <v>-0.05</v>
      </c>
      <c r="DI82" s="228">
        <v>18.670000000000002</v>
      </c>
      <c r="DJ82" s="228">
        <v>19.68</v>
      </c>
      <c r="DK82" s="228">
        <v>-1.01</v>
      </c>
      <c r="DL82" s="228">
        <v>-1.01</v>
      </c>
      <c r="DM82" s="228">
        <v>18.97</v>
      </c>
      <c r="DN82" s="228">
        <v>19.37</v>
      </c>
      <c r="DO82" s="228">
        <v>-0.4</v>
      </c>
      <c r="DP82" s="228">
        <v>-0.4</v>
      </c>
      <c r="DQ82" s="228">
        <v>0.56000000000000005</v>
      </c>
      <c r="DR82" s="228">
        <v>0.59</v>
      </c>
      <c r="DS82" s="228">
        <v>-0.03</v>
      </c>
      <c r="DT82" s="229">
        <v>-5.0799999999999998E-2</v>
      </c>
      <c r="DU82" s="231">
        <v>2600</v>
      </c>
      <c r="DV82" s="231">
        <v>2500</v>
      </c>
      <c r="DW82" s="228">
        <v>0.54</v>
      </c>
      <c r="DX82" s="228">
        <v>0.46</v>
      </c>
      <c r="DY82" s="228">
        <v>0.08</v>
      </c>
      <c r="DZ82" s="229">
        <v>0.1739</v>
      </c>
      <c r="EA82" s="229">
        <v>3.8300000000000001E-2</v>
      </c>
      <c r="EB82" s="230">
        <v>453900</v>
      </c>
      <c r="EC82" s="229">
        <v>-2E-3</v>
      </c>
      <c r="ED82" s="229">
        <v>3.8300000000000001E-2</v>
      </c>
      <c r="EE82" s="228">
        <v>-4.71</v>
      </c>
      <c r="EF82" s="229">
        <v>-1.9E-3</v>
      </c>
      <c r="EG82" s="230">
        <v>701244</v>
      </c>
      <c r="EH82" s="230">
        <v>825378</v>
      </c>
      <c r="EI82" s="229">
        <v>-0.15040000000000001</v>
      </c>
      <c r="EJ82" s="229">
        <v>0.67459999999999998</v>
      </c>
      <c r="EK82" s="231">
        <v>1067.93</v>
      </c>
      <c r="EL82" s="228">
        <v>559.45000000000005</v>
      </c>
      <c r="EM82" s="228">
        <v>359.16</v>
      </c>
      <c r="EN82" s="228">
        <v>50.78</v>
      </c>
      <c r="EO82" s="231">
        <v>1986.54</v>
      </c>
      <c r="EP82" s="231">
        <v>1497.12</v>
      </c>
      <c r="EQ82" s="228">
        <v>489.42</v>
      </c>
      <c r="ER82" s="229">
        <v>0.32690000000000002</v>
      </c>
      <c r="ES82" s="231">
        <v>1278.25</v>
      </c>
      <c r="ET82" s="228">
        <v>679.53</v>
      </c>
      <c r="EU82" s="231">
        <v>3569.54</v>
      </c>
      <c r="EV82" s="231">
        <v>89517840</v>
      </c>
      <c r="EW82" s="231">
        <v>5527.32</v>
      </c>
      <c r="EX82" s="231">
        <v>5418.63</v>
      </c>
      <c r="EY82" s="228">
        <v>108.69</v>
      </c>
      <c r="EZ82" s="229">
        <v>2.01E-2</v>
      </c>
      <c r="FA82" s="229">
        <v>0.2424</v>
      </c>
      <c r="FB82" s="227" t="s">
        <v>555</v>
      </c>
      <c r="FC82">
        <f t="shared" si="1"/>
        <v>137</v>
      </c>
    </row>
    <row r="83" spans="1:159" ht="17.25" thickBot="1" x14ac:dyDescent="0.3">
      <c r="A83" s="226">
        <v>45940</v>
      </c>
      <c r="B83" s="227" t="s">
        <v>227</v>
      </c>
      <c r="C83" s="227" t="s">
        <v>670</v>
      </c>
      <c r="D83" s="228">
        <v>1225</v>
      </c>
      <c r="E83" s="228">
        <v>18</v>
      </c>
      <c r="F83" s="228">
        <v>500.2</v>
      </c>
      <c r="G83" s="228">
        <v>515</v>
      </c>
      <c r="H83" s="228">
        <v>-14.8</v>
      </c>
      <c r="I83" s="229">
        <v>-2.87E-2</v>
      </c>
      <c r="J83" s="228">
        <v>498.3</v>
      </c>
      <c r="K83" s="228">
        <v>512.25</v>
      </c>
      <c r="L83" s="228">
        <v>-13.95</v>
      </c>
      <c r="M83" s="229">
        <v>-2.7199999999999998E-2</v>
      </c>
      <c r="N83" s="228">
        <v>500.2</v>
      </c>
      <c r="O83" s="228">
        <v>515</v>
      </c>
      <c r="P83" s="228">
        <v>-14.8</v>
      </c>
      <c r="Q83" s="229">
        <v>-2.87E-2</v>
      </c>
      <c r="R83" s="228">
        <v>502.95</v>
      </c>
      <c r="S83" s="228">
        <v>517.75</v>
      </c>
      <c r="T83" s="228">
        <v>-14.8</v>
      </c>
      <c r="U83" s="229">
        <v>-2.86E-2</v>
      </c>
      <c r="V83" s="228">
        <v>505.5</v>
      </c>
      <c r="W83" s="228">
        <v>519.9</v>
      </c>
      <c r="X83" s="228">
        <v>-14.4</v>
      </c>
      <c r="Y83" s="229">
        <v>-2.7699999999999999E-2</v>
      </c>
      <c r="Z83" s="228">
        <v>1.9</v>
      </c>
      <c r="AA83" s="228">
        <v>2.75</v>
      </c>
      <c r="AB83" s="228">
        <v>-0.85</v>
      </c>
      <c r="AC83" s="229">
        <v>3.8E-3</v>
      </c>
      <c r="AD83" s="228">
        <v>1.9</v>
      </c>
      <c r="AE83" s="228">
        <v>2.75</v>
      </c>
      <c r="AF83" s="228">
        <v>-0.85</v>
      </c>
      <c r="AG83" s="229">
        <v>3.8E-3</v>
      </c>
      <c r="AH83" s="228">
        <v>4.6500000000000004</v>
      </c>
      <c r="AI83" s="228">
        <v>5.5</v>
      </c>
      <c r="AJ83" s="228">
        <v>-0.85</v>
      </c>
      <c r="AK83" s="229">
        <v>9.2999999999999992E-3</v>
      </c>
      <c r="AL83" s="228">
        <v>7.2</v>
      </c>
      <c r="AM83" s="228">
        <v>7.65</v>
      </c>
      <c r="AN83" s="228">
        <v>-0.45</v>
      </c>
      <c r="AO83" s="229">
        <v>1.44E-2</v>
      </c>
      <c r="AP83" s="228">
        <v>497.26</v>
      </c>
      <c r="AQ83" s="228">
        <v>499.81</v>
      </c>
      <c r="AR83" s="228">
        <v>0</v>
      </c>
      <c r="AS83" s="228">
        <v>998</v>
      </c>
      <c r="AT83" s="228">
        <v>995</v>
      </c>
      <c r="AU83" s="228">
        <v>3</v>
      </c>
      <c r="AV83" s="229">
        <v>2.8999999999999998E-3</v>
      </c>
      <c r="AW83" s="228">
        <v>872</v>
      </c>
      <c r="AX83" s="228">
        <v>881</v>
      </c>
      <c r="AY83" s="228">
        <v>-9</v>
      </c>
      <c r="AZ83" s="229">
        <v>-1.01E-2</v>
      </c>
      <c r="BA83" s="228">
        <v>109</v>
      </c>
      <c r="BB83" s="228">
        <v>95</v>
      </c>
      <c r="BC83" s="228">
        <v>14</v>
      </c>
      <c r="BD83" s="229">
        <v>0.14649999999999999</v>
      </c>
      <c r="BE83" s="228">
        <v>17</v>
      </c>
      <c r="BF83" s="228">
        <v>19</v>
      </c>
      <c r="BG83" s="228">
        <v>-2</v>
      </c>
      <c r="BH83" s="229">
        <v>-0.1108</v>
      </c>
      <c r="BI83" s="230">
        <v>3109</v>
      </c>
      <c r="BJ83" s="230">
        <v>4518</v>
      </c>
      <c r="BK83" s="230">
        <v>-1410</v>
      </c>
      <c r="BL83" s="229">
        <v>-0.312</v>
      </c>
      <c r="BM83" s="230">
        <v>1355</v>
      </c>
      <c r="BN83" s="230">
        <v>1418</v>
      </c>
      <c r="BO83" s="228">
        <v>-63</v>
      </c>
      <c r="BP83" s="229">
        <v>-4.4200000000000003E-2</v>
      </c>
      <c r="BQ83" s="230">
        <v>5462</v>
      </c>
      <c r="BR83" s="230">
        <v>6931</v>
      </c>
      <c r="BS83" s="230">
        <v>-1470</v>
      </c>
      <c r="BT83" s="229">
        <v>-0.21199999999999999</v>
      </c>
      <c r="BU83" s="230">
        <v>12677243</v>
      </c>
      <c r="BV83" s="230">
        <v>17216228</v>
      </c>
      <c r="BW83" s="230">
        <v>-4538985</v>
      </c>
      <c r="BX83" s="229">
        <v>-0.2636</v>
      </c>
      <c r="BY83" s="230">
        <v>1725</v>
      </c>
      <c r="BZ83" s="230">
        <v>1643</v>
      </c>
      <c r="CA83" s="228">
        <v>82</v>
      </c>
      <c r="CB83" s="229">
        <v>4.99E-2</v>
      </c>
      <c r="CC83" s="230">
        <v>1595</v>
      </c>
      <c r="CD83" s="230">
        <v>1550</v>
      </c>
      <c r="CE83" s="228">
        <v>45</v>
      </c>
      <c r="CF83" s="229">
        <v>2.87E-2</v>
      </c>
      <c r="CG83" s="228">
        <v>112</v>
      </c>
      <c r="CH83" s="228">
        <v>75</v>
      </c>
      <c r="CI83" s="228">
        <v>37</v>
      </c>
      <c r="CJ83" s="229">
        <v>0.50329999999999997</v>
      </c>
      <c r="CK83" s="228">
        <v>18</v>
      </c>
      <c r="CL83" s="228">
        <v>18</v>
      </c>
      <c r="CM83" s="228">
        <v>0</v>
      </c>
      <c r="CN83" s="229">
        <v>-6.7999999999999996E-3</v>
      </c>
      <c r="CO83" s="230">
        <v>1030</v>
      </c>
      <c r="CP83" s="228">
        <v>734</v>
      </c>
      <c r="CQ83" s="228">
        <v>296</v>
      </c>
      <c r="CR83" s="229">
        <v>0.40260000000000001</v>
      </c>
      <c r="CS83" s="228">
        <v>606</v>
      </c>
      <c r="CT83" s="228">
        <v>546</v>
      </c>
      <c r="CU83" s="228">
        <v>59</v>
      </c>
      <c r="CV83" s="229">
        <v>0.1087</v>
      </c>
      <c r="CW83" s="230">
        <v>3361</v>
      </c>
      <c r="CX83" s="230">
        <v>2924</v>
      </c>
      <c r="CY83" s="228">
        <v>437</v>
      </c>
      <c r="CZ83" s="229">
        <v>0.14940000000000001</v>
      </c>
      <c r="DA83" s="228">
        <v>34.64</v>
      </c>
      <c r="DB83" s="228">
        <v>33.14</v>
      </c>
      <c r="DC83" s="228">
        <v>1.5</v>
      </c>
      <c r="DD83" s="228">
        <v>1.5</v>
      </c>
      <c r="DE83" s="228">
        <v>44.87</v>
      </c>
      <c r="DF83" s="228">
        <v>44.81</v>
      </c>
      <c r="DG83" s="228">
        <v>-10.23</v>
      </c>
      <c r="DH83" s="228">
        <v>0.06</v>
      </c>
      <c r="DI83" s="228">
        <v>35.049999999999997</v>
      </c>
      <c r="DJ83" s="228">
        <v>33.01</v>
      </c>
      <c r="DK83" s="228">
        <v>2.04</v>
      </c>
      <c r="DL83" s="228">
        <v>2.04</v>
      </c>
      <c r="DM83" s="228">
        <v>33.71</v>
      </c>
      <c r="DN83" s="228">
        <v>33.57</v>
      </c>
      <c r="DO83" s="228">
        <v>0.14000000000000001</v>
      </c>
      <c r="DP83" s="228">
        <v>0.14000000000000001</v>
      </c>
      <c r="DQ83" s="228">
        <v>0.59</v>
      </c>
      <c r="DR83" s="228">
        <v>0.74</v>
      </c>
      <c r="DS83" s="228">
        <v>-0.15</v>
      </c>
      <c r="DT83" s="229">
        <v>-0.20269999999999999</v>
      </c>
      <c r="DU83" s="228">
        <v>500</v>
      </c>
      <c r="DV83" s="228">
        <v>480</v>
      </c>
      <c r="DW83" s="228">
        <v>0.44</v>
      </c>
      <c r="DX83" s="228">
        <v>0.31</v>
      </c>
      <c r="DY83" s="228">
        <v>0.13</v>
      </c>
      <c r="DZ83" s="229">
        <v>0.4194</v>
      </c>
      <c r="EA83" s="229">
        <v>7.5300000000000006E-2</v>
      </c>
      <c r="EB83" s="230">
        <v>1849750</v>
      </c>
      <c r="EC83" s="229">
        <v>5.4999999999999997E-3</v>
      </c>
      <c r="ED83" s="229">
        <v>7.5300000000000006E-2</v>
      </c>
      <c r="EE83" s="228">
        <v>2.5499999999999998</v>
      </c>
      <c r="EF83" s="229">
        <v>5.1000000000000004E-3</v>
      </c>
      <c r="EG83" s="230">
        <v>3616595</v>
      </c>
      <c r="EH83" s="230">
        <v>5147363</v>
      </c>
      <c r="EI83" s="229">
        <v>-0.2974</v>
      </c>
      <c r="EJ83" s="229">
        <v>0.2853</v>
      </c>
      <c r="EK83" s="231">
        <v>3268.09</v>
      </c>
      <c r="EL83" s="231">
        <v>1337.7</v>
      </c>
      <c r="EM83" s="228">
        <v>992.92</v>
      </c>
      <c r="EN83" s="228">
        <v>81.08</v>
      </c>
      <c r="EO83" s="231">
        <v>5598.71</v>
      </c>
      <c r="EP83" s="231">
        <v>7214.87</v>
      </c>
      <c r="EQ83" s="231">
        <v>-1616.16</v>
      </c>
      <c r="ER83" s="229">
        <v>-0.224</v>
      </c>
      <c r="ES83" s="231">
        <v>1059.26</v>
      </c>
      <c r="ET83" s="228">
        <v>570.48</v>
      </c>
      <c r="EU83" s="231">
        <v>1725.74</v>
      </c>
      <c r="EV83" s="231">
        <v>167680340</v>
      </c>
      <c r="EW83" s="231">
        <v>3355.49</v>
      </c>
      <c r="EX83" s="231">
        <v>2957.76</v>
      </c>
      <c r="EY83" s="228">
        <v>397.73</v>
      </c>
      <c r="EZ83" s="229">
        <v>0.13450000000000001</v>
      </c>
      <c r="FA83" s="229">
        <v>0.4007</v>
      </c>
      <c r="FB83" s="227" t="s">
        <v>567</v>
      </c>
      <c r="FC83">
        <f t="shared" si="1"/>
        <v>130</v>
      </c>
    </row>
    <row r="84" spans="1:159" ht="17.25" thickBot="1" x14ac:dyDescent="0.3">
      <c r="A84" s="226">
        <v>45940</v>
      </c>
      <c r="B84" s="227" t="s">
        <v>206</v>
      </c>
      <c r="C84" s="227" t="s">
        <v>609</v>
      </c>
      <c r="D84" s="228">
        <v>2775</v>
      </c>
      <c r="E84" s="228">
        <v>18</v>
      </c>
      <c r="F84" s="228">
        <v>234.19</v>
      </c>
      <c r="G84" s="228">
        <v>230.92</v>
      </c>
      <c r="H84" s="228">
        <v>3.27</v>
      </c>
      <c r="I84" s="229">
        <v>1.4200000000000001E-2</v>
      </c>
      <c r="J84" s="228">
        <v>232.92</v>
      </c>
      <c r="K84" s="228">
        <v>229.47</v>
      </c>
      <c r="L84" s="228">
        <v>3.45</v>
      </c>
      <c r="M84" s="229">
        <v>1.4999999999999999E-2</v>
      </c>
      <c r="N84" s="228">
        <v>234.19</v>
      </c>
      <c r="O84" s="228">
        <v>230.92</v>
      </c>
      <c r="P84" s="228">
        <v>3.27</v>
      </c>
      <c r="Q84" s="229">
        <v>1.4200000000000001E-2</v>
      </c>
      <c r="R84" s="228">
        <v>235.28</v>
      </c>
      <c r="S84" s="228">
        <v>232.19</v>
      </c>
      <c r="T84" s="228">
        <v>3.09</v>
      </c>
      <c r="U84" s="229">
        <v>1.3299999999999999E-2</v>
      </c>
      <c r="V84" s="228">
        <v>236.8</v>
      </c>
      <c r="W84" s="228">
        <v>233.65</v>
      </c>
      <c r="X84" s="228">
        <v>3.15</v>
      </c>
      <c r="Y84" s="229">
        <v>1.35E-2</v>
      </c>
      <c r="Z84" s="228">
        <v>1.27</v>
      </c>
      <c r="AA84" s="228">
        <v>1.45</v>
      </c>
      <c r="AB84" s="228">
        <v>-0.18</v>
      </c>
      <c r="AC84" s="229">
        <v>5.4999999999999997E-3</v>
      </c>
      <c r="AD84" s="228">
        <v>1.27</v>
      </c>
      <c r="AE84" s="228">
        <v>1.45</v>
      </c>
      <c r="AF84" s="228">
        <v>-0.18</v>
      </c>
      <c r="AG84" s="229">
        <v>5.4999999999999997E-3</v>
      </c>
      <c r="AH84" s="228">
        <v>2.36</v>
      </c>
      <c r="AI84" s="228">
        <v>2.72</v>
      </c>
      <c r="AJ84" s="228">
        <v>-0.36</v>
      </c>
      <c r="AK84" s="229">
        <v>1.01E-2</v>
      </c>
      <c r="AL84" s="228">
        <v>3.88</v>
      </c>
      <c r="AM84" s="228">
        <v>4.18</v>
      </c>
      <c r="AN84" s="228">
        <v>-0.3</v>
      </c>
      <c r="AO84" s="229">
        <v>1.67E-2</v>
      </c>
      <c r="AP84" s="228">
        <v>234.06</v>
      </c>
      <c r="AQ84" s="228">
        <v>234.88</v>
      </c>
      <c r="AR84" s="228">
        <v>0</v>
      </c>
      <c r="AS84" s="228">
        <v>172</v>
      </c>
      <c r="AT84" s="228">
        <v>100</v>
      </c>
      <c r="AU84" s="228">
        <v>72</v>
      </c>
      <c r="AV84" s="229">
        <v>0.72350000000000003</v>
      </c>
      <c r="AW84" s="228">
        <v>160</v>
      </c>
      <c r="AX84" s="228">
        <v>94</v>
      </c>
      <c r="AY84" s="228">
        <v>66</v>
      </c>
      <c r="AZ84" s="229">
        <v>0.7036</v>
      </c>
      <c r="BA84" s="228">
        <v>11</v>
      </c>
      <c r="BB84" s="228">
        <v>6</v>
      </c>
      <c r="BC84" s="228">
        <v>6</v>
      </c>
      <c r="BD84" s="229">
        <v>0.97699999999999998</v>
      </c>
      <c r="BE84" s="228">
        <v>1</v>
      </c>
      <c r="BF84" s="228">
        <v>0</v>
      </c>
      <c r="BG84" s="228">
        <v>1</v>
      </c>
      <c r="BH84" s="229">
        <v>1.8332999999999999</v>
      </c>
      <c r="BI84" s="228">
        <v>539</v>
      </c>
      <c r="BJ84" s="228">
        <v>314</v>
      </c>
      <c r="BK84" s="228">
        <v>226</v>
      </c>
      <c r="BL84" s="229">
        <v>0.71909999999999996</v>
      </c>
      <c r="BM84" s="228">
        <v>256</v>
      </c>
      <c r="BN84" s="228">
        <v>116</v>
      </c>
      <c r="BO84" s="228">
        <v>140</v>
      </c>
      <c r="BP84" s="229">
        <v>1.2110000000000001</v>
      </c>
      <c r="BQ84" s="228">
        <v>968</v>
      </c>
      <c r="BR84" s="228">
        <v>529</v>
      </c>
      <c r="BS84" s="228">
        <v>438</v>
      </c>
      <c r="BT84" s="229">
        <v>0.82750000000000001</v>
      </c>
      <c r="BU84" s="230">
        <v>4582275</v>
      </c>
      <c r="BV84" s="230">
        <v>2233417</v>
      </c>
      <c r="BW84" s="230">
        <v>2348858</v>
      </c>
      <c r="BX84" s="229">
        <v>1.0517000000000001</v>
      </c>
      <c r="BY84" s="228">
        <v>643</v>
      </c>
      <c r="BZ84" s="228">
        <v>644</v>
      </c>
      <c r="CA84" s="228">
        <v>-1</v>
      </c>
      <c r="CB84" s="229">
        <v>-8.9999999999999998E-4</v>
      </c>
      <c r="CC84" s="228">
        <v>618</v>
      </c>
      <c r="CD84" s="228">
        <v>619</v>
      </c>
      <c r="CE84" s="228">
        <v>-1</v>
      </c>
      <c r="CF84" s="229">
        <v>-2E-3</v>
      </c>
      <c r="CG84" s="228">
        <v>23</v>
      </c>
      <c r="CH84" s="228">
        <v>22</v>
      </c>
      <c r="CI84" s="228">
        <v>1</v>
      </c>
      <c r="CJ84" s="229">
        <v>2.3099999999999999E-2</v>
      </c>
      <c r="CK84" s="228">
        <v>2</v>
      </c>
      <c r="CL84" s="228">
        <v>2</v>
      </c>
      <c r="CM84" s="228">
        <v>0</v>
      </c>
      <c r="CN84" s="229">
        <v>5.7099999999999998E-2</v>
      </c>
      <c r="CO84" s="228">
        <v>338</v>
      </c>
      <c r="CP84" s="228">
        <v>332</v>
      </c>
      <c r="CQ84" s="228">
        <v>6</v>
      </c>
      <c r="CR84" s="229">
        <v>1.7600000000000001E-2</v>
      </c>
      <c r="CS84" s="228">
        <v>198</v>
      </c>
      <c r="CT84" s="228">
        <v>197</v>
      </c>
      <c r="CU84" s="228">
        <v>1</v>
      </c>
      <c r="CV84" s="229">
        <v>4.8999999999999998E-3</v>
      </c>
      <c r="CW84" s="230">
        <v>1179</v>
      </c>
      <c r="CX84" s="230">
        <v>1173</v>
      </c>
      <c r="CY84" s="228">
        <v>6</v>
      </c>
      <c r="CZ84" s="229">
        <v>5.3E-3</v>
      </c>
      <c r="DA84" s="228">
        <v>29.62</v>
      </c>
      <c r="DB84" s="228">
        <v>30.48</v>
      </c>
      <c r="DC84" s="228">
        <v>-0.86</v>
      </c>
      <c r="DD84" s="228">
        <v>-0.86</v>
      </c>
      <c r="DE84" s="228">
        <v>53.81</v>
      </c>
      <c r="DF84" s="228">
        <v>53.91</v>
      </c>
      <c r="DG84" s="228">
        <v>-24.19</v>
      </c>
      <c r="DH84" s="228">
        <v>-0.1</v>
      </c>
      <c r="DI84" s="228">
        <v>29.87</v>
      </c>
      <c r="DJ84" s="228">
        <v>30.64</v>
      </c>
      <c r="DK84" s="228">
        <v>-0.77</v>
      </c>
      <c r="DL84" s="228">
        <v>-0.77</v>
      </c>
      <c r="DM84" s="228">
        <v>29.1</v>
      </c>
      <c r="DN84" s="228">
        <v>30.03</v>
      </c>
      <c r="DO84" s="228">
        <v>-0.93</v>
      </c>
      <c r="DP84" s="228">
        <v>-0.93</v>
      </c>
      <c r="DQ84" s="228">
        <v>0.59</v>
      </c>
      <c r="DR84" s="228">
        <v>0.59</v>
      </c>
      <c r="DS84" s="228">
        <v>0</v>
      </c>
      <c r="DT84" s="229">
        <v>0</v>
      </c>
      <c r="DU84" s="228">
        <v>240</v>
      </c>
      <c r="DV84" s="228">
        <v>230</v>
      </c>
      <c r="DW84" s="228">
        <v>0.47</v>
      </c>
      <c r="DX84" s="228">
        <v>0.37</v>
      </c>
      <c r="DY84" s="228">
        <v>0.1</v>
      </c>
      <c r="DZ84" s="229">
        <v>0.27029999999999998</v>
      </c>
      <c r="EA84" s="229">
        <v>3.95E-2</v>
      </c>
      <c r="EB84" s="230">
        <v>1057275</v>
      </c>
      <c r="EC84" s="229">
        <v>4.7000000000000002E-3</v>
      </c>
      <c r="ED84" s="229">
        <v>3.95E-2</v>
      </c>
      <c r="EE84" s="228">
        <v>0.82</v>
      </c>
      <c r="EF84" s="229">
        <v>3.5000000000000001E-3</v>
      </c>
      <c r="EG84" s="230">
        <v>1886453</v>
      </c>
      <c r="EH84" s="230">
        <v>967609</v>
      </c>
      <c r="EI84" s="229">
        <v>0.9496</v>
      </c>
      <c r="EJ84" s="229">
        <v>0.41170000000000001</v>
      </c>
      <c r="EK84" s="228">
        <v>558.53</v>
      </c>
      <c r="EL84" s="228">
        <v>254.97</v>
      </c>
      <c r="EM84" s="228">
        <v>172.11</v>
      </c>
      <c r="EN84" s="228">
        <v>18.23</v>
      </c>
      <c r="EO84" s="228">
        <v>985.61</v>
      </c>
      <c r="EP84" s="228">
        <v>532.79</v>
      </c>
      <c r="EQ84" s="228">
        <v>452.82</v>
      </c>
      <c r="ER84" s="229">
        <v>0.84989999999999999</v>
      </c>
      <c r="ES84" s="228">
        <v>348.45</v>
      </c>
      <c r="ET84" s="228">
        <v>192.36</v>
      </c>
      <c r="EU84" s="228">
        <v>643.12</v>
      </c>
      <c r="EV84" s="231">
        <v>75071250</v>
      </c>
      <c r="EW84" s="231">
        <v>1183.94</v>
      </c>
      <c r="EX84" s="231">
        <v>1166.6099999999999</v>
      </c>
      <c r="EY84" s="228">
        <v>17.329999999999998</v>
      </c>
      <c r="EZ84" s="229">
        <v>1.49E-2</v>
      </c>
      <c r="FA84" s="229">
        <v>0.67079999999999995</v>
      </c>
      <c r="FB84" s="227" t="s">
        <v>556</v>
      </c>
      <c r="FC84">
        <f t="shared" si="1"/>
        <v>25</v>
      </c>
    </row>
    <row r="85" spans="1:159" ht="17.25" thickBot="1" x14ac:dyDescent="0.3">
      <c r="A85" s="226">
        <v>45940</v>
      </c>
      <c r="B85" s="227" t="s">
        <v>172</v>
      </c>
      <c r="C85" s="227" t="s">
        <v>232</v>
      </c>
      <c r="D85" s="228">
        <v>700</v>
      </c>
      <c r="E85" s="228">
        <v>18</v>
      </c>
      <c r="F85" s="231">
        <v>1387.9</v>
      </c>
      <c r="G85" s="231">
        <v>1380.2</v>
      </c>
      <c r="H85" s="228">
        <v>7.7</v>
      </c>
      <c r="I85" s="229">
        <v>5.5999999999999999E-3</v>
      </c>
      <c r="J85" s="231">
        <v>1380.3</v>
      </c>
      <c r="K85" s="231">
        <v>1376.2</v>
      </c>
      <c r="L85" s="228">
        <v>4.0999999999999996</v>
      </c>
      <c r="M85" s="229">
        <v>3.0000000000000001E-3</v>
      </c>
      <c r="N85" s="231">
        <v>1387.9</v>
      </c>
      <c r="O85" s="231">
        <v>1380.2</v>
      </c>
      <c r="P85" s="228">
        <v>7.7</v>
      </c>
      <c r="Q85" s="229">
        <v>5.5999999999999999E-3</v>
      </c>
      <c r="R85" s="231">
        <v>1395.1</v>
      </c>
      <c r="S85" s="231">
        <v>1387.5</v>
      </c>
      <c r="T85" s="228">
        <v>7.6</v>
      </c>
      <c r="U85" s="229">
        <v>5.4999999999999997E-3</v>
      </c>
      <c r="V85" s="231">
        <v>1404</v>
      </c>
      <c r="W85" s="231">
        <v>1396.2</v>
      </c>
      <c r="X85" s="228">
        <v>7.8</v>
      </c>
      <c r="Y85" s="229">
        <v>5.5999999999999999E-3</v>
      </c>
      <c r="Z85" s="228">
        <v>7.6</v>
      </c>
      <c r="AA85" s="228">
        <v>4</v>
      </c>
      <c r="AB85" s="228">
        <v>3.6</v>
      </c>
      <c r="AC85" s="229">
        <v>5.4999999999999997E-3</v>
      </c>
      <c r="AD85" s="228">
        <v>7.6</v>
      </c>
      <c r="AE85" s="228">
        <v>4</v>
      </c>
      <c r="AF85" s="228">
        <v>3.6</v>
      </c>
      <c r="AG85" s="229">
        <v>5.4999999999999997E-3</v>
      </c>
      <c r="AH85" s="228">
        <v>14.8</v>
      </c>
      <c r="AI85" s="228">
        <v>11.3</v>
      </c>
      <c r="AJ85" s="228">
        <v>3.5</v>
      </c>
      <c r="AK85" s="229">
        <v>1.0699999999999999E-2</v>
      </c>
      <c r="AL85" s="228">
        <v>23.7</v>
      </c>
      <c r="AM85" s="228">
        <v>20</v>
      </c>
      <c r="AN85" s="228">
        <v>3.7</v>
      </c>
      <c r="AO85" s="229">
        <v>1.72E-2</v>
      </c>
      <c r="AP85" s="231">
        <v>1387.92</v>
      </c>
      <c r="AQ85" s="231">
        <v>1394.71</v>
      </c>
      <c r="AR85" s="228">
        <v>0</v>
      </c>
      <c r="AS85" s="230">
        <v>1660</v>
      </c>
      <c r="AT85" s="230">
        <v>1416</v>
      </c>
      <c r="AU85" s="228">
        <v>244</v>
      </c>
      <c r="AV85" s="229">
        <v>0.17219999999999999</v>
      </c>
      <c r="AW85" s="230">
        <v>1474</v>
      </c>
      <c r="AX85" s="230">
        <v>1353</v>
      </c>
      <c r="AY85" s="228">
        <v>120</v>
      </c>
      <c r="AZ85" s="229">
        <v>8.8900000000000007E-2</v>
      </c>
      <c r="BA85" s="228">
        <v>151</v>
      </c>
      <c r="BB85" s="228">
        <v>57</v>
      </c>
      <c r="BC85" s="228">
        <v>94</v>
      </c>
      <c r="BD85" s="229">
        <v>1.6541999999999999</v>
      </c>
      <c r="BE85" s="228">
        <v>34</v>
      </c>
      <c r="BF85" s="228">
        <v>5</v>
      </c>
      <c r="BG85" s="228">
        <v>29</v>
      </c>
      <c r="BH85" s="229">
        <v>5.4545000000000003</v>
      </c>
      <c r="BI85" s="230">
        <v>3844</v>
      </c>
      <c r="BJ85" s="230">
        <v>3092</v>
      </c>
      <c r="BK85" s="228">
        <v>752</v>
      </c>
      <c r="BL85" s="229">
        <v>0.2432</v>
      </c>
      <c r="BM85" s="230">
        <v>1938</v>
      </c>
      <c r="BN85" s="230">
        <v>1734</v>
      </c>
      <c r="BO85" s="228">
        <v>204</v>
      </c>
      <c r="BP85" s="229">
        <v>0.1177</v>
      </c>
      <c r="BQ85" s="230">
        <v>7441</v>
      </c>
      <c r="BR85" s="230">
        <v>6241</v>
      </c>
      <c r="BS85" s="230">
        <v>1200</v>
      </c>
      <c r="BT85" s="229">
        <v>0.19220000000000001</v>
      </c>
      <c r="BU85" s="230">
        <v>8146503</v>
      </c>
      <c r="BV85" s="230">
        <v>8857003</v>
      </c>
      <c r="BW85" s="230">
        <v>-710500</v>
      </c>
      <c r="BX85" s="229">
        <v>-8.0199999999999994E-2</v>
      </c>
      <c r="BY85" s="230">
        <v>15666</v>
      </c>
      <c r="BZ85" s="230">
        <v>15420</v>
      </c>
      <c r="CA85" s="228">
        <v>246</v>
      </c>
      <c r="CB85" s="229">
        <v>1.6E-2</v>
      </c>
      <c r="CC85" s="230">
        <v>15007</v>
      </c>
      <c r="CD85" s="230">
        <v>14839</v>
      </c>
      <c r="CE85" s="228">
        <v>168</v>
      </c>
      <c r="CF85" s="229">
        <v>1.1299999999999999E-2</v>
      </c>
      <c r="CG85" s="228">
        <v>522</v>
      </c>
      <c r="CH85" s="228">
        <v>471</v>
      </c>
      <c r="CI85" s="228">
        <v>52</v>
      </c>
      <c r="CJ85" s="229">
        <v>0.10979999999999999</v>
      </c>
      <c r="CK85" s="228">
        <v>137</v>
      </c>
      <c r="CL85" s="228">
        <v>111</v>
      </c>
      <c r="CM85" s="228">
        <v>27</v>
      </c>
      <c r="CN85" s="229">
        <v>0.24229999999999999</v>
      </c>
      <c r="CO85" s="230">
        <v>3275</v>
      </c>
      <c r="CP85" s="230">
        <v>3219</v>
      </c>
      <c r="CQ85" s="228">
        <v>56</v>
      </c>
      <c r="CR85" s="229">
        <v>1.7399999999999999E-2</v>
      </c>
      <c r="CS85" s="230">
        <v>2397</v>
      </c>
      <c r="CT85" s="230">
        <v>2343</v>
      </c>
      <c r="CU85" s="228">
        <v>54</v>
      </c>
      <c r="CV85" s="229">
        <v>2.3E-2</v>
      </c>
      <c r="CW85" s="230">
        <v>21339</v>
      </c>
      <c r="CX85" s="230">
        <v>20982</v>
      </c>
      <c r="CY85" s="228">
        <v>356</v>
      </c>
      <c r="CZ85" s="229">
        <v>1.7000000000000001E-2</v>
      </c>
      <c r="DA85" s="228">
        <v>18.13</v>
      </c>
      <c r="DB85" s="228">
        <v>18.05</v>
      </c>
      <c r="DC85" s="228">
        <v>0.08</v>
      </c>
      <c r="DD85" s="228">
        <v>0.08</v>
      </c>
      <c r="DE85" s="228">
        <v>20.97</v>
      </c>
      <c r="DF85" s="228">
        <v>21.02</v>
      </c>
      <c r="DG85" s="228">
        <v>-2.84</v>
      </c>
      <c r="DH85" s="228">
        <v>-0.05</v>
      </c>
      <c r="DI85" s="228">
        <v>17.93</v>
      </c>
      <c r="DJ85" s="228">
        <v>18</v>
      </c>
      <c r="DK85" s="228">
        <v>-7.0000000000000007E-2</v>
      </c>
      <c r="DL85" s="228">
        <v>-7.0000000000000007E-2</v>
      </c>
      <c r="DM85" s="228">
        <v>18.52</v>
      </c>
      <c r="DN85" s="228">
        <v>18.149999999999999</v>
      </c>
      <c r="DO85" s="228">
        <v>0.37</v>
      </c>
      <c r="DP85" s="228">
        <v>0.37</v>
      </c>
      <c r="DQ85" s="228">
        <v>0.73</v>
      </c>
      <c r="DR85" s="228">
        <v>0.73</v>
      </c>
      <c r="DS85" s="228">
        <v>0</v>
      </c>
      <c r="DT85" s="229">
        <v>0</v>
      </c>
      <c r="DU85" s="231">
        <v>1400</v>
      </c>
      <c r="DV85" s="231">
        <v>1400</v>
      </c>
      <c r="DW85" s="228">
        <v>0.5</v>
      </c>
      <c r="DX85" s="228">
        <v>0.56000000000000005</v>
      </c>
      <c r="DY85" s="228">
        <v>-0.06</v>
      </c>
      <c r="DZ85" s="229">
        <v>-0.1071</v>
      </c>
      <c r="EA85" s="229">
        <v>4.2099999999999999E-2</v>
      </c>
      <c r="EB85" s="230">
        <v>4187400</v>
      </c>
      <c r="EC85" s="229">
        <v>5.1999999999999998E-3</v>
      </c>
      <c r="ED85" s="229">
        <v>4.2099999999999999E-2</v>
      </c>
      <c r="EE85" s="228">
        <v>6.79</v>
      </c>
      <c r="EF85" s="229">
        <v>4.8999999999999998E-3</v>
      </c>
      <c r="EG85" s="230">
        <v>4723549</v>
      </c>
      <c r="EH85" s="230">
        <v>4392412</v>
      </c>
      <c r="EI85" s="229">
        <v>7.5399999999999995E-2</v>
      </c>
      <c r="EJ85" s="229">
        <v>0.57979999999999998</v>
      </c>
      <c r="EK85" s="231">
        <v>3935.22</v>
      </c>
      <c r="EL85" s="231">
        <v>1922.58</v>
      </c>
      <c r="EM85" s="231">
        <v>1660.76</v>
      </c>
      <c r="EN85" s="228">
        <v>193.62</v>
      </c>
      <c r="EO85" s="231">
        <v>7518.55</v>
      </c>
      <c r="EP85" s="231">
        <v>6276.01</v>
      </c>
      <c r="EQ85" s="231">
        <v>1242.54</v>
      </c>
      <c r="ER85" s="229">
        <v>0.19800000000000001</v>
      </c>
      <c r="ES85" s="231">
        <v>3334.25</v>
      </c>
      <c r="ET85" s="231">
        <v>2343.2399999999998</v>
      </c>
      <c r="EU85" s="231">
        <v>15670.61</v>
      </c>
      <c r="EV85" s="231">
        <v>579785172</v>
      </c>
      <c r="EW85" s="231">
        <v>21348.11</v>
      </c>
      <c r="EX85" s="231">
        <v>20899.57</v>
      </c>
      <c r="EY85" s="228">
        <v>448.54</v>
      </c>
      <c r="EZ85" s="229">
        <v>2.1499999999999998E-2</v>
      </c>
      <c r="FA85" s="229">
        <v>0.26519999999999999</v>
      </c>
      <c r="FB85" s="227" t="s">
        <v>555</v>
      </c>
      <c r="FC85">
        <f t="shared" si="1"/>
        <v>659</v>
      </c>
    </row>
    <row r="86" spans="1:159" ht="17.25" thickBot="1" x14ac:dyDescent="0.3">
      <c r="A86" s="226">
        <v>45940</v>
      </c>
      <c r="B86" s="227" t="s">
        <v>175</v>
      </c>
      <c r="C86" s="227" t="s">
        <v>472</v>
      </c>
      <c r="D86" s="228">
        <v>325</v>
      </c>
      <c r="E86" s="228">
        <v>18</v>
      </c>
      <c r="F86" s="231">
        <v>1866.3</v>
      </c>
      <c r="G86" s="231">
        <v>1883.9</v>
      </c>
      <c r="H86" s="228">
        <v>-17.600000000000001</v>
      </c>
      <c r="I86" s="229">
        <v>-9.2999999999999992E-3</v>
      </c>
      <c r="J86" s="231">
        <v>1862.8</v>
      </c>
      <c r="K86" s="231">
        <v>1882.7</v>
      </c>
      <c r="L86" s="228">
        <v>-19.899999999999999</v>
      </c>
      <c r="M86" s="229">
        <v>-1.06E-2</v>
      </c>
      <c r="N86" s="231">
        <v>1866.3</v>
      </c>
      <c r="O86" s="231">
        <v>1883.9</v>
      </c>
      <c r="P86" s="228">
        <v>-17.600000000000001</v>
      </c>
      <c r="Q86" s="229">
        <v>-9.2999999999999992E-3</v>
      </c>
      <c r="R86" s="231">
        <v>1875.4</v>
      </c>
      <c r="S86" s="231">
        <v>1898.3</v>
      </c>
      <c r="T86" s="228">
        <v>-22.9</v>
      </c>
      <c r="U86" s="229">
        <v>-1.21E-2</v>
      </c>
      <c r="V86" s="231">
        <v>1885.8</v>
      </c>
      <c r="W86" s="231">
        <v>1904</v>
      </c>
      <c r="X86" s="228">
        <v>-18.2</v>
      </c>
      <c r="Y86" s="229">
        <v>-9.5999999999999992E-3</v>
      </c>
      <c r="Z86" s="228">
        <v>3.5</v>
      </c>
      <c r="AA86" s="228">
        <v>1.2</v>
      </c>
      <c r="AB86" s="228">
        <v>2.2999999999999998</v>
      </c>
      <c r="AC86" s="229">
        <v>1.9E-3</v>
      </c>
      <c r="AD86" s="228">
        <v>3.5</v>
      </c>
      <c r="AE86" s="228">
        <v>1.2</v>
      </c>
      <c r="AF86" s="228">
        <v>2.2999999999999998</v>
      </c>
      <c r="AG86" s="229">
        <v>1.9E-3</v>
      </c>
      <c r="AH86" s="228">
        <v>12.6</v>
      </c>
      <c r="AI86" s="228">
        <v>15.6</v>
      </c>
      <c r="AJ86" s="228">
        <v>-3</v>
      </c>
      <c r="AK86" s="229">
        <v>6.7999999999999996E-3</v>
      </c>
      <c r="AL86" s="228">
        <v>23</v>
      </c>
      <c r="AM86" s="228">
        <v>21.3</v>
      </c>
      <c r="AN86" s="228">
        <v>1.7</v>
      </c>
      <c r="AO86" s="229">
        <v>1.23E-2</v>
      </c>
      <c r="AP86" s="231">
        <v>1881.42</v>
      </c>
      <c r="AQ86" s="231">
        <v>1883.85</v>
      </c>
      <c r="AR86" s="228">
        <v>0</v>
      </c>
      <c r="AS86" s="228">
        <v>124</v>
      </c>
      <c r="AT86" s="228">
        <v>143</v>
      </c>
      <c r="AU86" s="228">
        <v>-19</v>
      </c>
      <c r="AV86" s="229">
        <v>-0.1333</v>
      </c>
      <c r="AW86" s="228">
        <v>120</v>
      </c>
      <c r="AX86" s="228">
        <v>137</v>
      </c>
      <c r="AY86" s="228">
        <v>-18</v>
      </c>
      <c r="AZ86" s="229">
        <v>-0.12970000000000001</v>
      </c>
      <c r="BA86" s="228">
        <v>3</v>
      </c>
      <c r="BB86" s="228">
        <v>5</v>
      </c>
      <c r="BC86" s="228">
        <v>-2</v>
      </c>
      <c r="BD86" s="229">
        <v>-0.31709999999999999</v>
      </c>
      <c r="BE86" s="228">
        <v>1</v>
      </c>
      <c r="BF86" s="228">
        <v>0</v>
      </c>
      <c r="BG86" s="228">
        <v>0</v>
      </c>
      <c r="BH86" s="229">
        <v>0.75</v>
      </c>
      <c r="BI86" s="228">
        <v>135</v>
      </c>
      <c r="BJ86" s="228">
        <v>198</v>
      </c>
      <c r="BK86" s="228">
        <v>-63</v>
      </c>
      <c r="BL86" s="229">
        <v>-0.31869999999999998</v>
      </c>
      <c r="BM86" s="228">
        <v>76</v>
      </c>
      <c r="BN86" s="228">
        <v>91</v>
      </c>
      <c r="BO86" s="228">
        <v>-14</v>
      </c>
      <c r="BP86" s="229">
        <v>-0.15939999999999999</v>
      </c>
      <c r="BQ86" s="228">
        <v>335</v>
      </c>
      <c r="BR86" s="228">
        <v>431</v>
      </c>
      <c r="BS86" s="228">
        <v>-97</v>
      </c>
      <c r="BT86" s="229">
        <v>-0.22370000000000001</v>
      </c>
      <c r="BU86" s="230">
        <v>317596</v>
      </c>
      <c r="BV86" s="230">
        <v>644296</v>
      </c>
      <c r="BW86" s="230">
        <v>-326700</v>
      </c>
      <c r="BX86" s="229">
        <v>-0.5071</v>
      </c>
      <c r="BY86" s="230">
        <v>1047</v>
      </c>
      <c r="BZ86" s="230">
        <v>1020</v>
      </c>
      <c r="CA86" s="228">
        <v>27</v>
      </c>
      <c r="CB86" s="229">
        <v>2.6599999999999999E-2</v>
      </c>
      <c r="CC86" s="230">
        <v>1038</v>
      </c>
      <c r="CD86" s="230">
        <v>1013</v>
      </c>
      <c r="CE86" s="228">
        <v>25</v>
      </c>
      <c r="CF86" s="229">
        <v>2.4400000000000002E-2</v>
      </c>
      <c r="CG86" s="228">
        <v>8</v>
      </c>
      <c r="CH86" s="228">
        <v>7</v>
      </c>
      <c r="CI86" s="228">
        <v>2</v>
      </c>
      <c r="CJ86" s="229">
        <v>0.21929999999999999</v>
      </c>
      <c r="CK86" s="228">
        <v>1</v>
      </c>
      <c r="CL86" s="228">
        <v>0</v>
      </c>
      <c r="CM86" s="228">
        <v>1</v>
      </c>
      <c r="CN86" s="229">
        <v>2.3332999999999999</v>
      </c>
      <c r="CO86" s="228">
        <v>206</v>
      </c>
      <c r="CP86" s="228">
        <v>189</v>
      </c>
      <c r="CQ86" s="228">
        <v>18</v>
      </c>
      <c r="CR86" s="229">
        <v>9.2999999999999999E-2</v>
      </c>
      <c r="CS86" s="228">
        <v>131</v>
      </c>
      <c r="CT86" s="228">
        <v>128</v>
      </c>
      <c r="CU86" s="228">
        <v>3</v>
      </c>
      <c r="CV86" s="229">
        <v>1.9800000000000002E-2</v>
      </c>
      <c r="CW86" s="230">
        <v>1384</v>
      </c>
      <c r="CX86" s="230">
        <v>1337</v>
      </c>
      <c r="CY86" s="228">
        <v>47</v>
      </c>
      <c r="CZ86" s="229">
        <v>3.5299999999999998E-2</v>
      </c>
      <c r="DA86" s="228">
        <v>26.5</v>
      </c>
      <c r="DB86" s="228">
        <v>26.61</v>
      </c>
      <c r="DC86" s="228">
        <v>-0.11</v>
      </c>
      <c r="DD86" s="228">
        <v>-0.11</v>
      </c>
      <c r="DE86" s="228">
        <v>28.14</v>
      </c>
      <c r="DF86" s="228">
        <v>28.17</v>
      </c>
      <c r="DG86" s="228">
        <v>-1.64</v>
      </c>
      <c r="DH86" s="228">
        <v>-0.03</v>
      </c>
      <c r="DI86" s="228">
        <v>26.78</v>
      </c>
      <c r="DJ86" s="228">
        <v>26.57</v>
      </c>
      <c r="DK86" s="228">
        <v>0.21</v>
      </c>
      <c r="DL86" s="228">
        <v>0.21</v>
      </c>
      <c r="DM86" s="228">
        <v>26.01</v>
      </c>
      <c r="DN86" s="228">
        <v>26.71</v>
      </c>
      <c r="DO86" s="228">
        <v>-0.7</v>
      </c>
      <c r="DP86" s="228">
        <v>-0.7</v>
      </c>
      <c r="DQ86" s="228">
        <v>0.64</v>
      </c>
      <c r="DR86" s="228">
        <v>0.68</v>
      </c>
      <c r="DS86" s="228">
        <v>-0.04</v>
      </c>
      <c r="DT86" s="229">
        <v>-5.8799999999999998E-2</v>
      </c>
      <c r="DU86" s="231">
        <v>1900</v>
      </c>
      <c r="DV86" s="231">
        <v>1900</v>
      </c>
      <c r="DW86" s="228">
        <v>0.56999999999999995</v>
      </c>
      <c r="DX86" s="228">
        <v>0.46</v>
      </c>
      <c r="DY86" s="228">
        <v>0.11</v>
      </c>
      <c r="DZ86" s="229">
        <v>0.23910000000000001</v>
      </c>
      <c r="EA86" s="229">
        <v>9.1999999999999998E-3</v>
      </c>
      <c r="EB86" s="230">
        <v>39000</v>
      </c>
      <c r="EC86" s="229">
        <v>4.8999999999999998E-3</v>
      </c>
      <c r="ED86" s="229">
        <v>9.1999999999999998E-3</v>
      </c>
      <c r="EE86" s="228">
        <v>2.4300000000000002</v>
      </c>
      <c r="EF86" s="229">
        <v>1.2999999999999999E-3</v>
      </c>
      <c r="EG86" s="230">
        <v>201356</v>
      </c>
      <c r="EH86" s="230">
        <v>419191</v>
      </c>
      <c r="EI86" s="229">
        <v>-0.51970000000000005</v>
      </c>
      <c r="EJ86" s="229">
        <v>0.63400000000000001</v>
      </c>
      <c r="EK86" s="228">
        <v>141.52000000000001</v>
      </c>
      <c r="EL86" s="228">
        <v>77.16</v>
      </c>
      <c r="EM86" s="228">
        <v>124.87</v>
      </c>
      <c r="EN86" s="228">
        <v>17.100000000000001</v>
      </c>
      <c r="EO86" s="228">
        <v>343.54</v>
      </c>
      <c r="EP86" s="228">
        <v>441.99</v>
      </c>
      <c r="EQ86" s="228">
        <v>-98.45</v>
      </c>
      <c r="ER86" s="229">
        <v>-0.22270000000000001</v>
      </c>
      <c r="ES86" s="228">
        <v>217.2</v>
      </c>
      <c r="ET86" s="228">
        <v>130.04</v>
      </c>
      <c r="EU86" s="231">
        <v>1047.32</v>
      </c>
      <c r="EV86" s="231">
        <v>26688038</v>
      </c>
      <c r="EW86" s="231">
        <v>1394.57</v>
      </c>
      <c r="EX86" s="231">
        <v>1356.32</v>
      </c>
      <c r="EY86" s="228">
        <v>38.25</v>
      </c>
      <c r="EZ86" s="229">
        <v>2.8199999999999999E-2</v>
      </c>
      <c r="FA86" s="229">
        <v>0.27789999999999998</v>
      </c>
      <c r="FB86" s="227" t="s">
        <v>567</v>
      </c>
      <c r="FC86">
        <f t="shared" si="1"/>
        <v>9</v>
      </c>
    </row>
    <row r="87" spans="1:159" ht="17.25" thickBot="1" x14ac:dyDescent="0.3">
      <c r="A87" s="226">
        <v>45940</v>
      </c>
      <c r="B87" s="227" t="s">
        <v>175</v>
      </c>
      <c r="C87" s="227" t="s">
        <v>233</v>
      </c>
      <c r="D87" s="228">
        <v>925</v>
      </c>
      <c r="E87" s="228">
        <v>18</v>
      </c>
      <c r="F87" s="228">
        <v>601.1</v>
      </c>
      <c r="G87" s="228">
        <v>596.75</v>
      </c>
      <c r="H87" s="228">
        <v>4.3499999999999996</v>
      </c>
      <c r="I87" s="229">
        <v>7.3000000000000001E-3</v>
      </c>
      <c r="J87" s="228">
        <v>597.70000000000005</v>
      </c>
      <c r="K87" s="228">
        <v>593.4</v>
      </c>
      <c r="L87" s="228">
        <v>4.3</v>
      </c>
      <c r="M87" s="229">
        <v>7.1999999999999998E-3</v>
      </c>
      <c r="N87" s="228">
        <v>601.1</v>
      </c>
      <c r="O87" s="228">
        <v>596.75</v>
      </c>
      <c r="P87" s="228">
        <v>4.3499999999999996</v>
      </c>
      <c r="Q87" s="229">
        <v>7.3000000000000001E-3</v>
      </c>
      <c r="R87" s="228">
        <v>604.25</v>
      </c>
      <c r="S87" s="228">
        <v>600.20000000000005</v>
      </c>
      <c r="T87" s="228">
        <v>4.05</v>
      </c>
      <c r="U87" s="229">
        <v>6.7000000000000002E-3</v>
      </c>
      <c r="V87" s="228">
        <v>608.4</v>
      </c>
      <c r="W87" s="228">
        <v>603.54999999999995</v>
      </c>
      <c r="X87" s="228">
        <v>4.8499999999999996</v>
      </c>
      <c r="Y87" s="229">
        <v>8.0000000000000002E-3</v>
      </c>
      <c r="Z87" s="228">
        <v>3.4</v>
      </c>
      <c r="AA87" s="228">
        <v>3.35</v>
      </c>
      <c r="AB87" s="228">
        <v>0.05</v>
      </c>
      <c r="AC87" s="229">
        <v>5.7000000000000002E-3</v>
      </c>
      <c r="AD87" s="228">
        <v>3.4</v>
      </c>
      <c r="AE87" s="228">
        <v>3.35</v>
      </c>
      <c r="AF87" s="228">
        <v>0.05</v>
      </c>
      <c r="AG87" s="229">
        <v>5.7000000000000002E-3</v>
      </c>
      <c r="AH87" s="228">
        <v>6.55</v>
      </c>
      <c r="AI87" s="228">
        <v>6.8</v>
      </c>
      <c r="AJ87" s="228">
        <v>-0.25</v>
      </c>
      <c r="AK87" s="229">
        <v>1.0999999999999999E-2</v>
      </c>
      <c r="AL87" s="228">
        <v>10.7</v>
      </c>
      <c r="AM87" s="228">
        <v>10.15</v>
      </c>
      <c r="AN87" s="228">
        <v>0.55000000000000004</v>
      </c>
      <c r="AO87" s="229">
        <v>1.7899999999999999E-2</v>
      </c>
      <c r="AP87" s="228">
        <v>603.97</v>
      </c>
      <c r="AQ87" s="228">
        <v>607.76</v>
      </c>
      <c r="AR87" s="228">
        <v>0</v>
      </c>
      <c r="AS87" s="228">
        <v>103</v>
      </c>
      <c r="AT87" s="228">
        <v>53</v>
      </c>
      <c r="AU87" s="228">
        <v>51</v>
      </c>
      <c r="AV87" s="229">
        <v>0.95889999999999997</v>
      </c>
      <c r="AW87" s="228">
        <v>97</v>
      </c>
      <c r="AX87" s="228">
        <v>50</v>
      </c>
      <c r="AY87" s="228">
        <v>47</v>
      </c>
      <c r="AZ87" s="229">
        <v>0.9365</v>
      </c>
      <c r="BA87" s="228">
        <v>6</v>
      </c>
      <c r="BB87" s="228">
        <v>2</v>
      </c>
      <c r="BC87" s="228">
        <v>3</v>
      </c>
      <c r="BD87" s="229">
        <v>1.3864000000000001</v>
      </c>
      <c r="BE87" s="228">
        <v>1</v>
      </c>
      <c r="BF87" s="228">
        <v>1</v>
      </c>
      <c r="BG87" s="228">
        <v>1</v>
      </c>
      <c r="BH87" s="229">
        <v>1.1111</v>
      </c>
      <c r="BI87" s="228">
        <v>192</v>
      </c>
      <c r="BJ87" s="228">
        <v>94</v>
      </c>
      <c r="BK87" s="228">
        <v>98</v>
      </c>
      <c r="BL87" s="229">
        <v>1.0347999999999999</v>
      </c>
      <c r="BM87" s="228">
        <v>72</v>
      </c>
      <c r="BN87" s="228">
        <v>31</v>
      </c>
      <c r="BO87" s="228">
        <v>41</v>
      </c>
      <c r="BP87" s="229">
        <v>1.3254999999999999</v>
      </c>
      <c r="BQ87" s="228">
        <v>367</v>
      </c>
      <c r="BR87" s="228">
        <v>178</v>
      </c>
      <c r="BS87" s="228">
        <v>189</v>
      </c>
      <c r="BT87" s="229">
        <v>1.0628</v>
      </c>
      <c r="BU87" s="230">
        <v>854677</v>
      </c>
      <c r="BV87" s="230">
        <v>472659</v>
      </c>
      <c r="BW87" s="230">
        <v>382018</v>
      </c>
      <c r="BX87" s="229">
        <v>0.80820000000000003</v>
      </c>
      <c r="BY87" s="228">
        <v>700</v>
      </c>
      <c r="BZ87" s="228">
        <v>705</v>
      </c>
      <c r="CA87" s="228">
        <v>-5</v>
      </c>
      <c r="CB87" s="229">
        <v>-6.7999999999999996E-3</v>
      </c>
      <c r="CC87" s="228">
        <v>685</v>
      </c>
      <c r="CD87" s="228">
        <v>690</v>
      </c>
      <c r="CE87" s="228">
        <v>-5</v>
      </c>
      <c r="CF87" s="229">
        <v>-6.8999999999999999E-3</v>
      </c>
      <c r="CG87" s="228">
        <v>14</v>
      </c>
      <c r="CH87" s="228">
        <v>13</v>
      </c>
      <c r="CI87" s="228">
        <v>1</v>
      </c>
      <c r="CJ87" s="229">
        <v>3.7199999999999997E-2</v>
      </c>
      <c r="CK87" s="228">
        <v>1</v>
      </c>
      <c r="CL87" s="228">
        <v>2</v>
      </c>
      <c r="CM87" s="228">
        <v>-1</v>
      </c>
      <c r="CN87" s="229">
        <v>-0.3226</v>
      </c>
      <c r="CO87" s="228">
        <v>195</v>
      </c>
      <c r="CP87" s="228">
        <v>180</v>
      </c>
      <c r="CQ87" s="228">
        <v>16</v>
      </c>
      <c r="CR87" s="229">
        <v>8.7900000000000006E-2</v>
      </c>
      <c r="CS87" s="228">
        <v>119</v>
      </c>
      <c r="CT87" s="228">
        <v>123</v>
      </c>
      <c r="CU87" s="228">
        <v>-4</v>
      </c>
      <c r="CV87" s="229">
        <v>-3.4299999999999997E-2</v>
      </c>
      <c r="CW87" s="230">
        <v>1014</v>
      </c>
      <c r="CX87" s="230">
        <v>1008</v>
      </c>
      <c r="CY87" s="228">
        <v>7</v>
      </c>
      <c r="CZ87" s="229">
        <v>6.7000000000000002E-3</v>
      </c>
      <c r="DA87" s="228">
        <v>27.02</v>
      </c>
      <c r="DB87" s="228">
        <v>27.91</v>
      </c>
      <c r="DC87" s="228">
        <v>-0.89</v>
      </c>
      <c r="DD87" s="228">
        <v>-0.89</v>
      </c>
      <c r="DE87" s="228">
        <v>28.28</v>
      </c>
      <c r="DF87" s="228">
        <v>28.33</v>
      </c>
      <c r="DG87" s="228">
        <v>-1.26</v>
      </c>
      <c r="DH87" s="228">
        <v>-0.05</v>
      </c>
      <c r="DI87" s="228">
        <v>26.99</v>
      </c>
      <c r="DJ87" s="228">
        <v>27.91</v>
      </c>
      <c r="DK87" s="228">
        <v>-0.92</v>
      </c>
      <c r="DL87" s="228">
        <v>-0.92</v>
      </c>
      <c r="DM87" s="228">
        <v>27.08</v>
      </c>
      <c r="DN87" s="228">
        <v>27.93</v>
      </c>
      <c r="DO87" s="228">
        <v>-0.85</v>
      </c>
      <c r="DP87" s="228">
        <v>-0.85</v>
      </c>
      <c r="DQ87" s="228">
        <v>0.61</v>
      </c>
      <c r="DR87" s="228">
        <v>0.69</v>
      </c>
      <c r="DS87" s="228">
        <v>-0.08</v>
      </c>
      <c r="DT87" s="229">
        <v>-0.1159</v>
      </c>
      <c r="DU87" s="228">
        <v>620</v>
      </c>
      <c r="DV87" s="228">
        <v>600</v>
      </c>
      <c r="DW87" s="228">
        <v>0.37</v>
      </c>
      <c r="DX87" s="228">
        <v>0.33</v>
      </c>
      <c r="DY87" s="228">
        <v>0.04</v>
      </c>
      <c r="DZ87" s="229">
        <v>0.1212</v>
      </c>
      <c r="EA87" s="229">
        <v>2.1600000000000001E-2</v>
      </c>
      <c r="EB87" s="230">
        <v>252525</v>
      </c>
      <c r="EC87" s="229">
        <v>5.1999999999999998E-3</v>
      </c>
      <c r="ED87" s="229">
        <v>2.1600000000000001E-2</v>
      </c>
      <c r="EE87" s="228">
        <v>3.79</v>
      </c>
      <c r="EF87" s="229">
        <v>6.3E-3</v>
      </c>
      <c r="EG87" s="230">
        <v>463953</v>
      </c>
      <c r="EH87" s="230">
        <v>303403</v>
      </c>
      <c r="EI87" s="229">
        <v>0.5292</v>
      </c>
      <c r="EJ87" s="229">
        <v>0.54279999999999995</v>
      </c>
      <c r="EK87" s="228">
        <v>200.32</v>
      </c>
      <c r="EL87" s="228">
        <v>70.73</v>
      </c>
      <c r="EM87" s="228">
        <v>104.02</v>
      </c>
      <c r="EN87" s="228">
        <v>15.38</v>
      </c>
      <c r="EO87" s="228">
        <v>375.07</v>
      </c>
      <c r="EP87" s="228">
        <v>180.87</v>
      </c>
      <c r="EQ87" s="228">
        <v>194.2</v>
      </c>
      <c r="ER87" s="229">
        <v>1.0737000000000001</v>
      </c>
      <c r="ES87" s="228">
        <v>203.5</v>
      </c>
      <c r="ET87" s="228">
        <v>115.8</v>
      </c>
      <c r="EU87" s="228">
        <v>700</v>
      </c>
      <c r="EV87" s="231">
        <v>48653643</v>
      </c>
      <c r="EW87" s="231">
        <v>1019.3</v>
      </c>
      <c r="EX87" s="231">
        <v>1006.28</v>
      </c>
      <c r="EY87" s="228">
        <v>13.02</v>
      </c>
      <c r="EZ87" s="229">
        <v>1.29E-2</v>
      </c>
      <c r="FA87" s="229">
        <v>0.3468</v>
      </c>
      <c r="FB87" s="227" t="s">
        <v>556</v>
      </c>
      <c r="FC87">
        <f t="shared" si="1"/>
        <v>15</v>
      </c>
    </row>
    <row r="88" spans="1:159" ht="17.25" thickBot="1" x14ac:dyDescent="0.3">
      <c r="A88" s="226">
        <v>45940</v>
      </c>
      <c r="B88" s="227" t="s">
        <v>188</v>
      </c>
      <c r="C88" s="227" t="s">
        <v>234</v>
      </c>
      <c r="D88" s="228">
        <v>71475</v>
      </c>
      <c r="E88" s="228">
        <v>18</v>
      </c>
      <c r="F88" s="228">
        <v>9.08</v>
      </c>
      <c r="G88" s="228">
        <v>9.06</v>
      </c>
      <c r="H88" s="228">
        <v>0.02</v>
      </c>
      <c r="I88" s="229">
        <v>2.2000000000000001E-3</v>
      </c>
      <c r="J88" s="228">
        <v>9.0399999999999991</v>
      </c>
      <c r="K88" s="228">
        <v>9.0299999999999994</v>
      </c>
      <c r="L88" s="228">
        <v>0.01</v>
      </c>
      <c r="M88" s="229">
        <v>1.1000000000000001E-3</v>
      </c>
      <c r="N88" s="228">
        <v>9.08</v>
      </c>
      <c r="O88" s="228">
        <v>9.06</v>
      </c>
      <c r="P88" s="228">
        <v>0.02</v>
      </c>
      <c r="Q88" s="229">
        <v>2.2000000000000001E-3</v>
      </c>
      <c r="R88" s="228">
        <v>9.15</v>
      </c>
      <c r="S88" s="228">
        <v>9.11</v>
      </c>
      <c r="T88" s="228">
        <v>0.04</v>
      </c>
      <c r="U88" s="229">
        <v>4.4000000000000003E-3</v>
      </c>
      <c r="V88" s="228">
        <v>9.19</v>
      </c>
      <c r="W88" s="228">
        <v>9.18</v>
      </c>
      <c r="X88" s="228">
        <v>0.01</v>
      </c>
      <c r="Y88" s="229">
        <v>1.1000000000000001E-3</v>
      </c>
      <c r="Z88" s="228">
        <v>0.04</v>
      </c>
      <c r="AA88" s="228">
        <v>0.03</v>
      </c>
      <c r="AB88" s="228">
        <v>0.01</v>
      </c>
      <c r="AC88" s="229">
        <v>4.4000000000000003E-3</v>
      </c>
      <c r="AD88" s="228">
        <v>0.04</v>
      </c>
      <c r="AE88" s="228">
        <v>0.03</v>
      </c>
      <c r="AF88" s="228">
        <v>0.01</v>
      </c>
      <c r="AG88" s="229">
        <v>4.4000000000000003E-3</v>
      </c>
      <c r="AH88" s="228">
        <v>0.11</v>
      </c>
      <c r="AI88" s="228">
        <v>0.08</v>
      </c>
      <c r="AJ88" s="228">
        <v>0.03</v>
      </c>
      <c r="AK88" s="229">
        <v>1.2200000000000001E-2</v>
      </c>
      <c r="AL88" s="228">
        <v>0.15</v>
      </c>
      <c r="AM88" s="228">
        <v>0.15</v>
      </c>
      <c r="AN88" s="228">
        <v>0</v>
      </c>
      <c r="AO88" s="229">
        <v>1.66E-2</v>
      </c>
      <c r="AP88" s="228">
        <v>9.1300000000000008</v>
      </c>
      <c r="AQ88" s="228">
        <v>9.18</v>
      </c>
      <c r="AR88" s="228">
        <v>0</v>
      </c>
      <c r="AS88" s="228">
        <v>658</v>
      </c>
      <c r="AT88" s="228">
        <v>621</v>
      </c>
      <c r="AU88" s="228">
        <v>37</v>
      </c>
      <c r="AV88" s="229">
        <v>5.9200000000000003E-2</v>
      </c>
      <c r="AW88" s="228">
        <v>556</v>
      </c>
      <c r="AX88" s="228">
        <v>520</v>
      </c>
      <c r="AY88" s="228">
        <v>36</v>
      </c>
      <c r="AZ88" s="229">
        <v>7.0199999999999999E-2</v>
      </c>
      <c r="BA88" s="228">
        <v>87</v>
      </c>
      <c r="BB88" s="228">
        <v>80</v>
      </c>
      <c r="BC88" s="228">
        <v>7</v>
      </c>
      <c r="BD88" s="229">
        <v>9.0499999999999997E-2</v>
      </c>
      <c r="BE88" s="228">
        <v>15</v>
      </c>
      <c r="BF88" s="228">
        <v>22</v>
      </c>
      <c r="BG88" s="228">
        <v>-7</v>
      </c>
      <c r="BH88" s="229">
        <v>-0.31359999999999999</v>
      </c>
      <c r="BI88" s="230">
        <v>1269</v>
      </c>
      <c r="BJ88" s="230">
        <v>1141</v>
      </c>
      <c r="BK88" s="228">
        <v>128</v>
      </c>
      <c r="BL88" s="229">
        <v>0.1119</v>
      </c>
      <c r="BM88" s="228">
        <v>409</v>
      </c>
      <c r="BN88" s="228">
        <v>381</v>
      </c>
      <c r="BO88" s="228">
        <v>28</v>
      </c>
      <c r="BP88" s="229">
        <v>7.3400000000000007E-2</v>
      </c>
      <c r="BQ88" s="230">
        <v>2336</v>
      </c>
      <c r="BR88" s="230">
        <v>2144</v>
      </c>
      <c r="BS88" s="228">
        <v>192</v>
      </c>
      <c r="BT88" s="229">
        <v>8.9800000000000005E-2</v>
      </c>
      <c r="BU88" s="230">
        <v>760669525</v>
      </c>
      <c r="BV88" s="230">
        <v>805687790</v>
      </c>
      <c r="BW88" s="230">
        <v>-45018265</v>
      </c>
      <c r="BX88" s="229">
        <v>-5.5899999999999998E-2</v>
      </c>
      <c r="BY88" s="230">
        <v>5709</v>
      </c>
      <c r="BZ88" s="230">
        <v>5778</v>
      </c>
      <c r="CA88" s="228">
        <v>-69</v>
      </c>
      <c r="CB88" s="229">
        <v>-1.2E-2</v>
      </c>
      <c r="CC88" s="230">
        <v>5266</v>
      </c>
      <c r="CD88" s="230">
        <v>5377</v>
      </c>
      <c r="CE88" s="228">
        <v>-111</v>
      </c>
      <c r="CF88" s="229">
        <v>-2.07E-2</v>
      </c>
      <c r="CG88" s="228">
        <v>389</v>
      </c>
      <c r="CH88" s="228">
        <v>349</v>
      </c>
      <c r="CI88" s="228">
        <v>40</v>
      </c>
      <c r="CJ88" s="229">
        <v>0.1153</v>
      </c>
      <c r="CK88" s="228">
        <v>54</v>
      </c>
      <c r="CL88" s="228">
        <v>52</v>
      </c>
      <c r="CM88" s="228">
        <v>2</v>
      </c>
      <c r="CN88" s="229">
        <v>3.4799999999999998E-2</v>
      </c>
      <c r="CO88" s="230">
        <v>2027</v>
      </c>
      <c r="CP88" s="230">
        <v>1937</v>
      </c>
      <c r="CQ88" s="228">
        <v>91</v>
      </c>
      <c r="CR88" s="229">
        <v>4.6800000000000001E-2</v>
      </c>
      <c r="CS88" s="230">
        <v>1120</v>
      </c>
      <c r="CT88" s="230">
        <v>1097</v>
      </c>
      <c r="CU88" s="228">
        <v>23</v>
      </c>
      <c r="CV88" s="229">
        <v>2.1000000000000001E-2</v>
      </c>
      <c r="CW88" s="230">
        <v>8856</v>
      </c>
      <c r="CX88" s="230">
        <v>8812</v>
      </c>
      <c r="CY88" s="228">
        <v>44</v>
      </c>
      <c r="CZ88" s="229">
        <v>5.0000000000000001E-3</v>
      </c>
      <c r="DA88" s="228">
        <v>76.13</v>
      </c>
      <c r="DB88" s="228">
        <v>79.91</v>
      </c>
      <c r="DC88" s="228">
        <v>-3.78</v>
      </c>
      <c r="DD88" s="228">
        <v>-3.78</v>
      </c>
      <c r="DE88" s="228">
        <v>68.33</v>
      </c>
      <c r="DF88" s="228">
        <v>68.5</v>
      </c>
      <c r="DG88" s="228">
        <v>7.8</v>
      </c>
      <c r="DH88" s="228">
        <v>-0.17</v>
      </c>
      <c r="DI88" s="228">
        <v>77.66</v>
      </c>
      <c r="DJ88" s="228">
        <v>81.16</v>
      </c>
      <c r="DK88" s="228">
        <v>-3.5</v>
      </c>
      <c r="DL88" s="228">
        <v>-3.5</v>
      </c>
      <c r="DM88" s="228">
        <v>71.38</v>
      </c>
      <c r="DN88" s="228">
        <v>76.19</v>
      </c>
      <c r="DO88" s="228">
        <v>-4.8099999999999996</v>
      </c>
      <c r="DP88" s="228">
        <v>-4.8099999999999996</v>
      </c>
      <c r="DQ88" s="228">
        <v>0.55000000000000004</v>
      </c>
      <c r="DR88" s="228">
        <v>0.56999999999999995</v>
      </c>
      <c r="DS88" s="228">
        <v>-0.02</v>
      </c>
      <c r="DT88" s="229">
        <v>-3.5099999999999999E-2</v>
      </c>
      <c r="DU88" s="228">
        <v>10</v>
      </c>
      <c r="DV88" s="228">
        <v>7</v>
      </c>
      <c r="DW88" s="228">
        <v>0.32</v>
      </c>
      <c r="DX88" s="228">
        <v>0.33</v>
      </c>
      <c r="DY88" s="228">
        <v>-0.01</v>
      </c>
      <c r="DZ88" s="229">
        <v>-3.0300000000000001E-2</v>
      </c>
      <c r="EA88" s="229">
        <v>7.7600000000000002E-2</v>
      </c>
      <c r="EB88" s="230">
        <v>441644025</v>
      </c>
      <c r="EC88" s="229">
        <v>7.7000000000000002E-3</v>
      </c>
      <c r="ED88" s="229">
        <v>7.7600000000000002E-2</v>
      </c>
      <c r="EE88" s="228">
        <v>0.05</v>
      </c>
      <c r="EF88" s="229">
        <v>5.4999999999999997E-3</v>
      </c>
      <c r="EG88" s="230">
        <v>213672162</v>
      </c>
      <c r="EH88" s="230">
        <v>188738152</v>
      </c>
      <c r="EI88" s="229">
        <v>0.1321</v>
      </c>
      <c r="EJ88" s="229">
        <v>0.28089999999999998</v>
      </c>
      <c r="EK88" s="231">
        <v>1457.96</v>
      </c>
      <c r="EL88" s="228">
        <v>392.75</v>
      </c>
      <c r="EM88" s="228">
        <v>662.72</v>
      </c>
      <c r="EN88" s="228">
        <v>176.76</v>
      </c>
      <c r="EO88" s="231">
        <v>2513.42</v>
      </c>
      <c r="EP88" s="231">
        <v>2309.77</v>
      </c>
      <c r="EQ88" s="228">
        <v>203.66</v>
      </c>
      <c r="ER88" s="229">
        <v>8.8200000000000001E-2</v>
      </c>
      <c r="ES88" s="231">
        <v>2241.5500000000002</v>
      </c>
      <c r="ET88" s="228">
        <v>936.98</v>
      </c>
      <c r="EU88" s="231">
        <v>5712.46</v>
      </c>
      <c r="EV88" s="231">
        <v>8713529091</v>
      </c>
      <c r="EW88" s="231">
        <v>8890.98</v>
      </c>
      <c r="EX88" s="231">
        <v>8828.17</v>
      </c>
      <c r="EY88" s="228">
        <v>62.81</v>
      </c>
      <c r="EZ88" s="229">
        <v>7.1000000000000004E-3</v>
      </c>
      <c r="FA88" s="229">
        <v>1.1194</v>
      </c>
      <c r="FB88" s="227" t="s">
        <v>556</v>
      </c>
      <c r="FC88">
        <f t="shared" si="1"/>
        <v>443</v>
      </c>
    </row>
    <row r="89" spans="1:159" ht="17.25" thickBot="1" x14ac:dyDescent="0.3">
      <c r="A89" s="226">
        <v>45940</v>
      </c>
      <c r="B89" s="227" t="s">
        <v>172</v>
      </c>
      <c r="C89" s="227" t="s">
        <v>235</v>
      </c>
      <c r="D89" s="228">
        <v>9275</v>
      </c>
      <c r="E89" s="228">
        <v>18</v>
      </c>
      <c r="F89" s="228">
        <v>74.62</v>
      </c>
      <c r="G89" s="228">
        <v>73.709999999999994</v>
      </c>
      <c r="H89" s="228">
        <v>0.91</v>
      </c>
      <c r="I89" s="229">
        <v>1.23E-2</v>
      </c>
      <c r="J89" s="228">
        <v>74.430000000000007</v>
      </c>
      <c r="K89" s="228">
        <v>73.45</v>
      </c>
      <c r="L89" s="228">
        <v>0.98</v>
      </c>
      <c r="M89" s="229">
        <v>1.3299999999999999E-2</v>
      </c>
      <c r="N89" s="228">
        <v>74.62</v>
      </c>
      <c r="O89" s="228">
        <v>73.709999999999994</v>
      </c>
      <c r="P89" s="228">
        <v>0.91</v>
      </c>
      <c r="Q89" s="229">
        <v>1.23E-2</v>
      </c>
      <c r="R89" s="228">
        <v>75.03</v>
      </c>
      <c r="S89" s="228">
        <v>74.099999999999994</v>
      </c>
      <c r="T89" s="228">
        <v>0.93</v>
      </c>
      <c r="U89" s="229">
        <v>1.26E-2</v>
      </c>
      <c r="V89" s="228">
        <v>75.44</v>
      </c>
      <c r="W89" s="228">
        <v>74.510000000000005</v>
      </c>
      <c r="X89" s="228">
        <v>0.93</v>
      </c>
      <c r="Y89" s="229">
        <v>1.2500000000000001E-2</v>
      </c>
      <c r="Z89" s="228">
        <v>0.19</v>
      </c>
      <c r="AA89" s="228">
        <v>0.26</v>
      </c>
      <c r="AB89" s="228">
        <v>-7.0000000000000007E-2</v>
      </c>
      <c r="AC89" s="229">
        <v>2.5999999999999999E-3</v>
      </c>
      <c r="AD89" s="228">
        <v>0.19</v>
      </c>
      <c r="AE89" s="228">
        <v>0.26</v>
      </c>
      <c r="AF89" s="228">
        <v>-7.0000000000000007E-2</v>
      </c>
      <c r="AG89" s="229">
        <v>2.5999999999999999E-3</v>
      </c>
      <c r="AH89" s="228">
        <v>0.6</v>
      </c>
      <c r="AI89" s="228">
        <v>0.65</v>
      </c>
      <c r="AJ89" s="228">
        <v>-0.05</v>
      </c>
      <c r="AK89" s="229">
        <v>8.0999999999999996E-3</v>
      </c>
      <c r="AL89" s="228">
        <v>1.01</v>
      </c>
      <c r="AM89" s="228">
        <v>1.06</v>
      </c>
      <c r="AN89" s="228">
        <v>-0.05</v>
      </c>
      <c r="AO89" s="229">
        <v>1.3599999999999999E-2</v>
      </c>
      <c r="AP89" s="228">
        <v>74.2</v>
      </c>
      <c r="AQ89" s="228">
        <v>74.55</v>
      </c>
      <c r="AR89" s="228">
        <v>0</v>
      </c>
      <c r="AS89" s="228">
        <v>551</v>
      </c>
      <c r="AT89" s="228">
        <v>402</v>
      </c>
      <c r="AU89" s="228">
        <v>148</v>
      </c>
      <c r="AV89" s="229">
        <v>0.36820000000000003</v>
      </c>
      <c r="AW89" s="228">
        <v>488</v>
      </c>
      <c r="AX89" s="228">
        <v>363</v>
      </c>
      <c r="AY89" s="228">
        <v>126</v>
      </c>
      <c r="AZ89" s="229">
        <v>0.34620000000000001</v>
      </c>
      <c r="BA89" s="228">
        <v>53</v>
      </c>
      <c r="BB89" s="228">
        <v>33</v>
      </c>
      <c r="BC89" s="228">
        <v>21</v>
      </c>
      <c r="BD89" s="229">
        <v>0.63690000000000002</v>
      </c>
      <c r="BE89" s="228">
        <v>9</v>
      </c>
      <c r="BF89" s="228">
        <v>7</v>
      </c>
      <c r="BG89" s="228">
        <v>2</v>
      </c>
      <c r="BH89" s="229">
        <v>0.2596</v>
      </c>
      <c r="BI89" s="230">
        <v>2007</v>
      </c>
      <c r="BJ89" s="230">
        <v>1022</v>
      </c>
      <c r="BK89" s="228">
        <v>985</v>
      </c>
      <c r="BL89" s="229">
        <v>0.96399999999999997</v>
      </c>
      <c r="BM89" s="228">
        <v>735</v>
      </c>
      <c r="BN89" s="228">
        <v>751</v>
      </c>
      <c r="BO89" s="228">
        <v>-17</v>
      </c>
      <c r="BP89" s="229">
        <v>-2.2200000000000001E-2</v>
      </c>
      <c r="BQ89" s="230">
        <v>3293</v>
      </c>
      <c r="BR89" s="230">
        <v>2176</v>
      </c>
      <c r="BS89" s="230">
        <v>1117</v>
      </c>
      <c r="BT89" s="229">
        <v>0.51319999999999999</v>
      </c>
      <c r="BU89" s="230">
        <v>35966478</v>
      </c>
      <c r="BV89" s="230">
        <v>25082369</v>
      </c>
      <c r="BW89" s="230">
        <v>10884109</v>
      </c>
      <c r="BX89" s="229">
        <v>0.43390000000000001</v>
      </c>
      <c r="BY89" s="230">
        <v>3020</v>
      </c>
      <c r="BZ89" s="230">
        <v>2999</v>
      </c>
      <c r="CA89" s="228">
        <v>21</v>
      </c>
      <c r="CB89" s="229">
        <v>7.1999999999999998E-3</v>
      </c>
      <c r="CC89" s="230">
        <v>2830</v>
      </c>
      <c r="CD89" s="230">
        <v>2821</v>
      </c>
      <c r="CE89" s="228">
        <v>9</v>
      </c>
      <c r="CF89" s="229">
        <v>3.2000000000000002E-3</v>
      </c>
      <c r="CG89" s="228">
        <v>170</v>
      </c>
      <c r="CH89" s="228">
        <v>161</v>
      </c>
      <c r="CI89" s="228">
        <v>10</v>
      </c>
      <c r="CJ89" s="229">
        <v>5.9900000000000002E-2</v>
      </c>
      <c r="CK89" s="228">
        <v>20</v>
      </c>
      <c r="CL89" s="228">
        <v>17</v>
      </c>
      <c r="CM89" s="228">
        <v>3</v>
      </c>
      <c r="CN89" s="229">
        <v>0.16389999999999999</v>
      </c>
      <c r="CO89" s="230">
        <v>1016</v>
      </c>
      <c r="CP89" s="228">
        <v>913</v>
      </c>
      <c r="CQ89" s="228">
        <v>103</v>
      </c>
      <c r="CR89" s="229">
        <v>0.1123</v>
      </c>
      <c r="CS89" s="228">
        <v>707</v>
      </c>
      <c r="CT89" s="228">
        <v>710</v>
      </c>
      <c r="CU89" s="228">
        <v>-3</v>
      </c>
      <c r="CV89" s="229">
        <v>-4.1999999999999997E-3</v>
      </c>
      <c r="CW89" s="230">
        <v>4743</v>
      </c>
      <c r="CX89" s="230">
        <v>4622</v>
      </c>
      <c r="CY89" s="228">
        <v>121</v>
      </c>
      <c r="CZ89" s="229">
        <v>2.6200000000000001E-2</v>
      </c>
      <c r="DA89" s="228">
        <v>28.54</v>
      </c>
      <c r="DB89" s="228">
        <v>28.31</v>
      </c>
      <c r="DC89" s="228">
        <v>0.23</v>
      </c>
      <c r="DD89" s="228">
        <v>0.23</v>
      </c>
      <c r="DE89" s="228">
        <v>33.89</v>
      </c>
      <c r="DF89" s="228">
        <v>33.94</v>
      </c>
      <c r="DG89" s="228">
        <v>-5.35</v>
      </c>
      <c r="DH89" s="228">
        <v>-0.05</v>
      </c>
      <c r="DI89" s="228">
        <v>28.18</v>
      </c>
      <c r="DJ89" s="228">
        <v>27.19</v>
      </c>
      <c r="DK89" s="228">
        <v>0.99</v>
      </c>
      <c r="DL89" s="228">
        <v>0.99</v>
      </c>
      <c r="DM89" s="228">
        <v>29.52</v>
      </c>
      <c r="DN89" s="228">
        <v>29.84</v>
      </c>
      <c r="DO89" s="228">
        <v>-0.32</v>
      </c>
      <c r="DP89" s="228">
        <v>-0.32</v>
      </c>
      <c r="DQ89" s="228">
        <v>0.7</v>
      </c>
      <c r="DR89" s="228">
        <v>0.78</v>
      </c>
      <c r="DS89" s="228">
        <v>-0.08</v>
      </c>
      <c r="DT89" s="229">
        <v>-0.1026</v>
      </c>
      <c r="DU89" s="228">
        <v>75</v>
      </c>
      <c r="DV89" s="228">
        <v>70</v>
      </c>
      <c r="DW89" s="228">
        <v>0.37</v>
      </c>
      <c r="DX89" s="228">
        <v>0.74</v>
      </c>
      <c r="DY89" s="228">
        <v>-0.37</v>
      </c>
      <c r="DZ89" s="229">
        <v>-0.5</v>
      </c>
      <c r="EA89" s="229">
        <v>6.2899999999999998E-2</v>
      </c>
      <c r="EB89" s="230">
        <v>23790375</v>
      </c>
      <c r="EC89" s="229">
        <v>5.4999999999999997E-3</v>
      </c>
      <c r="ED89" s="229">
        <v>6.2899999999999998E-2</v>
      </c>
      <c r="EE89" s="228">
        <v>0.35</v>
      </c>
      <c r="EF89" s="229">
        <v>4.7000000000000002E-3</v>
      </c>
      <c r="EG89" s="230">
        <v>20059040</v>
      </c>
      <c r="EH89" s="230">
        <v>11754000</v>
      </c>
      <c r="EI89" s="229">
        <v>0.70660000000000001</v>
      </c>
      <c r="EJ89" s="229">
        <v>0.55769999999999997</v>
      </c>
      <c r="EK89" s="231">
        <v>2067.96</v>
      </c>
      <c r="EL89" s="228">
        <v>720.49</v>
      </c>
      <c r="EM89" s="228">
        <v>547.78</v>
      </c>
      <c r="EN89" s="228">
        <v>61.24</v>
      </c>
      <c r="EO89" s="231">
        <v>3336.23</v>
      </c>
      <c r="EP89" s="231">
        <v>2153.98</v>
      </c>
      <c r="EQ89" s="231">
        <v>1182.26</v>
      </c>
      <c r="ER89" s="229">
        <v>0.54890000000000005</v>
      </c>
      <c r="ES89" s="231">
        <v>1030.52</v>
      </c>
      <c r="ET89" s="228">
        <v>656.48</v>
      </c>
      <c r="EU89" s="231">
        <v>3021.34</v>
      </c>
      <c r="EV89" s="231">
        <v>761294821</v>
      </c>
      <c r="EW89" s="231">
        <v>4708.3500000000004</v>
      </c>
      <c r="EX89" s="231">
        <v>4544.91</v>
      </c>
      <c r="EY89" s="228">
        <v>163.44</v>
      </c>
      <c r="EZ89" s="229">
        <v>3.5999999999999997E-2</v>
      </c>
      <c r="FA89" s="229">
        <v>0.83489999999999998</v>
      </c>
      <c r="FB89" s="227" t="s">
        <v>555</v>
      </c>
      <c r="FC89">
        <f t="shared" si="1"/>
        <v>190</v>
      </c>
    </row>
    <row r="90" spans="1:159" ht="17.25" thickBot="1" x14ac:dyDescent="0.3">
      <c r="A90" s="226">
        <v>45940</v>
      </c>
      <c r="B90" s="227" t="s">
        <v>161</v>
      </c>
      <c r="C90" s="227" t="s">
        <v>514</v>
      </c>
      <c r="D90" s="228">
        <v>3750</v>
      </c>
      <c r="E90" s="228">
        <v>18</v>
      </c>
      <c r="F90" s="228">
        <v>140.27000000000001</v>
      </c>
      <c r="G90" s="228">
        <v>140.97</v>
      </c>
      <c r="H90" s="228">
        <v>-0.7</v>
      </c>
      <c r="I90" s="229">
        <v>-5.0000000000000001E-3</v>
      </c>
      <c r="J90" s="228">
        <v>139.87</v>
      </c>
      <c r="K90" s="228">
        <v>140.41999999999999</v>
      </c>
      <c r="L90" s="228">
        <v>-0.55000000000000004</v>
      </c>
      <c r="M90" s="229">
        <v>-3.8999999999999998E-3</v>
      </c>
      <c r="N90" s="228">
        <v>140.27000000000001</v>
      </c>
      <c r="O90" s="228">
        <v>140.97</v>
      </c>
      <c r="P90" s="228">
        <v>-0.7</v>
      </c>
      <c r="Q90" s="229">
        <v>-5.0000000000000001E-3</v>
      </c>
      <c r="R90" s="228">
        <v>141.08000000000001</v>
      </c>
      <c r="S90" s="228">
        <v>141.69999999999999</v>
      </c>
      <c r="T90" s="228">
        <v>-0.62</v>
      </c>
      <c r="U90" s="229">
        <v>-4.4000000000000003E-3</v>
      </c>
      <c r="V90" s="228">
        <v>141.99</v>
      </c>
      <c r="W90" s="228">
        <v>142.43</v>
      </c>
      <c r="X90" s="228">
        <v>-0.44</v>
      </c>
      <c r="Y90" s="229">
        <v>-3.0999999999999999E-3</v>
      </c>
      <c r="Z90" s="228">
        <v>0.4</v>
      </c>
      <c r="AA90" s="228">
        <v>0.55000000000000004</v>
      </c>
      <c r="AB90" s="228">
        <v>-0.15</v>
      </c>
      <c r="AC90" s="229">
        <v>2.8999999999999998E-3</v>
      </c>
      <c r="AD90" s="228">
        <v>0.4</v>
      </c>
      <c r="AE90" s="228">
        <v>0.55000000000000004</v>
      </c>
      <c r="AF90" s="228">
        <v>-0.15</v>
      </c>
      <c r="AG90" s="229">
        <v>2.8999999999999998E-3</v>
      </c>
      <c r="AH90" s="228">
        <v>1.21</v>
      </c>
      <c r="AI90" s="228">
        <v>1.28</v>
      </c>
      <c r="AJ90" s="228">
        <v>-7.0000000000000007E-2</v>
      </c>
      <c r="AK90" s="229">
        <v>8.6999999999999994E-3</v>
      </c>
      <c r="AL90" s="228">
        <v>2.12</v>
      </c>
      <c r="AM90" s="228">
        <v>2.0099999999999998</v>
      </c>
      <c r="AN90" s="228">
        <v>0.11</v>
      </c>
      <c r="AO90" s="229">
        <v>1.52E-2</v>
      </c>
      <c r="AP90" s="228">
        <v>140.88</v>
      </c>
      <c r="AQ90" s="228">
        <v>141.54</v>
      </c>
      <c r="AR90" s="228">
        <v>0</v>
      </c>
      <c r="AS90" s="228">
        <v>79</v>
      </c>
      <c r="AT90" s="228">
        <v>48</v>
      </c>
      <c r="AU90" s="228">
        <v>31</v>
      </c>
      <c r="AV90" s="229">
        <v>0.65010000000000001</v>
      </c>
      <c r="AW90" s="228">
        <v>70</v>
      </c>
      <c r="AX90" s="228">
        <v>42</v>
      </c>
      <c r="AY90" s="228">
        <v>27</v>
      </c>
      <c r="AZ90" s="229">
        <v>0.65249999999999997</v>
      </c>
      <c r="BA90" s="228">
        <v>7</v>
      </c>
      <c r="BB90" s="228">
        <v>4</v>
      </c>
      <c r="BC90" s="228">
        <v>3</v>
      </c>
      <c r="BD90" s="229">
        <v>0.67069999999999996</v>
      </c>
      <c r="BE90" s="228">
        <v>2</v>
      </c>
      <c r="BF90" s="228">
        <v>1</v>
      </c>
      <c r="BG90" s="228">
        <v>1</v>
      </c>
      <c r="BH90" s="229">
        <v>0.5</v>
      </c>
      <c r="BI90" s="228">
        <v>191</v>
      </c>
      <c r="BJ90" s="228">
        <v>159</v>
      </c>
      <c r="BK90" s="228">
        <v>32</v>
      </c>
      <c r="BL90" s="229">
        <v>0.20050000000000001</v>
      </c>
      <c r="BM90" s="228">
        <v>81</v>
      </c>
      <c r="BN90" s="228">
        <v>79</v>
      </c>
      <c r="BO90" s="228">
        <v>2</v>
      </c>
      <c r="BP90" s="229">
        <v>2.46E-2</v>
      </c>
      <c r="BQ90" s="228">
        <v>350</v>
      </c>
      <c r="BR90" s="228">
        <v>285</v>
      </c>
      <c r="BS90" s="228">
        <v>65</v>
      </c>
      <c r="BT90" s="229">
        <v>0.2268</v>
      </c>
      <c r="BU90" s="230">
        <v>2416331</v>
      </c>
      <c r="BV90" s="230">
        <v>2184591</v>
      </c>
      <c r="BW90" s="230">
        <v>231740</v>
      </c>
      <c r="BX90" s="229">
        <v>0.1061</v>
      </c>
      <c r="BY90" s="228">
        <v>789</v>
      </c>
      <c r="BZ90" s="228">
        <v>777</v>
      </c>
      <c r="CA90" s="228">
        <v>12</v>
      </c>
      <c r="CB90" s="229">
        <v>1.54E-2</v>
      </c>
      <c r="CC90" s="228">
        <v>737</v>
      </c>
      <c r="CD90" s="228">
        <v>730</v>
      </c>
      <c r="CE90" s="228">
        <v>7</v>
      </c>
      <c r="CF90" s="229">
        <v>1.0200000000000001E-2</v>
      </c>
      <c r="CG90" s="228">
        <v>44</v>
      </c>
      <c r="CH90" s="228">
        <v>41</v>
      </c>
      <c r="CI90" s="228">
        <v>3</v>
      </c>
      <c r="CJ90" s="229">
        <v>7.51E-2</v>
      </c>
      <c r="CK90" s="228">
        <v>7</v>
      </c>
      <c r="CL90" s="228">
        <v>6</v>
      </c>
      <c r="CM90" s="228">
        <v>1</v>
      </c>
      <c r="CN90" s="229">
        <v>0.23480000000000001</v>
      </c>
      <c r="CO90" s="228">
        <v>400</v>
      </c>
      <c r="CP90" s="228">
        <v>381</v>
      </c>
      <c r="CQ90" s="228">
        <v>19</v>
      </c>
      <c r="CR90" s="229">
        <v>5.0900000000000001E-2</v>
      </c>
      <c r="CS90" s="228">
        <v>281</v>
      </c>
      <c r="CT90" s="228">
        <v>271</v>
      </c>
      <c r="CU90" s="228">
        <v>10</v>
      </c>
      <c r="CV90" s="229">
        <v>3.5099999999999999E-2</v>
      </c>
      <c r="CW90" s="230">
        <v>1470</v>
      </c>
      <c r="CX90" s="230">
        <v>1429</v>
      </c>
      <c r="CY90" s="228">
        <v>41</v>
      </c>
      <c r="CZ90" s="229">
        <v>2.86E-2</v>
      </c>
      <c r="DA90" s="228">
        <v>32.69</v>
      </c>
      <c r="DB90" s="228">
        <v>31.47</v>
      </c>
      <c r="DC90" s="228">
        <v>1.22</v>
      </c>
      <c r="DD90" s="228">
        <v>1.22</v>
      </c>
      <c r="DE90" s="228">
        <v>57.64</v>
      </c>
      <c r="DF90" s="228">
        <v>57.79</v>
      </c>
      <c r="DG90" s="228">
        <v>-24.95</v>
      </c>
      <c r="DH90" s="228">
        <v>-0.15</v>
      </c>
      <c r="DI90" s="228">
        <v>33.090000000000003</v>
      </c>
      <c r="DJ90" s="228">
        <v>31.68</v>
      </c>
      <c r="DK90" s="228">
        <v>1.41</v>
      </c>
      <c r="DL90" s="228">
        <v>1.41</v>
      </c>
      <c r="DM90" s="228">
        <v>31.75</v>
      </c>
      <c r="DN90" s="228">
        <v>31.07</v>
      </c>
      <c r="DO90" s="228">
        <v>0.68</v>
      </c>
      <c r="DP90" s="228">
        <v>0.68</v>
      </c>
      <c r="DQ90" s="228">
        <v>0.7</v>
      </c>
      <c r="DR90" s="228">
        <v>0.71</v>
      </c>
      <c r="DS90" s="228">
        <v>-0.01</v>
      </c>
      <c r="DT90" s="229">
        <v>-1.41E-2</v>
      </c>
      <c r="DU90" s="228">
        <v>150</v>
      </c>
      <c r="DV90" s="228">
        <v>140</v>
      </c>
      <c r="DW90" s="228">
        <v>0.43</v>
      </c>
      <c r="DX90" s="228">
        <v>0.5</v>
      </c>
      <c r="DY90" s="228">
        <v>-7.0000000000000007E-2</v>
      </c>
      <c r="DZ90" s="229">
        <v>-0.14000000000000001</v>
      </c>
      <c r="EA90" s="229">
        <v>6.5799999999999997E-2</v>
      </c>
      <c r="EB90" s="230">
        <v>3378750</v>
      </c>
      <c r="EC90" s="229">
        <v>5.7999999999999996E-3</v>
      </c>
      <c r="ED90" s="229">
        <v>6.5799999999999997E-2</v>
      </c>
      <c r="EE90" s="228">
        <v>0.66</v>
      </c>
      <c r="EF90" s="229">
        <v>4.7000000000000002E-3</v>
      </c>
      <c r="EG90" s="230">
        <v>1021945</v>
      </c>
      <c r="EH90" s="230">
        <v>766254</v>
      </c>
      <c r="EI90" s="229">
        <v>0.3337</v>
      </c>
      <c r="EJ90" s="229">
        <v>0.4229</v>
      </c>
      <c r="EK90" s="228">
        <v>202.03</v>
      </c>
      <c r="EL90" s="228">
        <v>81.11</v>
      </c>
      <c r="EM90" s="228">
        <v>79.040000000000006</v>
      </c>
      <c r="EN90" s="228">
        <v>14.71</v>
      </c>
      <c r="EO90" s="228">
        <v>362.18</v>
      </c>
      <c r="EP90" s="228">
        <v>294.95</v>
      </c>
      <c r="EQ90" s="228">
        <v>67.23</v>
      </c>
      <c r="ER90" s="229">
        <v>0.22789999999999999</v>
      </c>
      <c r="ES90" s="228">
        <v>427.89</v>
      </c>
      <c r="ET90" s="228">
        <v>283.91000000000003</v>
      </c>
      <c r="EU90" s="228">
        <v>789.68</v>
      </c>
      <c r="EV90" s="231">
        <v>133395043</v>
      </c>
      <c r="EW90" s="231">
        <v>1501.48</v>
      </c>
      <c r="EX90" s="231">
        <v>1463.73</v>
      </c>
      <c r="EY90" s="228">
        <v>37.75</v>
      </c>
      <c r="EZ90" s="229">
        <v>2.58E-2</v>
      </c>
      <c r="FA90" s="229">
        <v>0.78559999999999997</v>
      </c>
      <c r="FB90" s="227" t="s">
        <v>567</v>
      </c>
      <c r="FC90">
        <f t="shared" si="1"/>
        <v>52</v>
      </c>
    </row>
    <row r="91" spans="1:159" ht="17.25" thickBot="1" x14ac:dyDescent="0.3">
      <c r="A91" s="226">
        <v>45940</v>
      </c>
      <c r="B91" s="227" t="s">
        <v>193</v>
      </c>
      <c r="C91" s="227" t="s">
        <v>236</v>
      </c>
      <c r="D91" s="228">
        <v>2750</v>
      </c>
      <c r="E91" s="228">
        <v>18</v>
      </c>
      <c r="F91" s="228">
        <v>216.94</v>
      </c>
      <c r="G91" s="228">
        <v>219.13</v>
      </c>
      <c r="H91" s="228">
        <v>-2.19</v>
      </c>
      <c r="I91" s="229">
        <v>-0.01</v>
      </c>
      <c r="J91" s="228">
        <v>216.18</v>
      </c>
      <c r="K91" s="228">
        <v>218.52</v>
      </c>
      <c r="L91" s="228">
        <v>-2.34</v>
      </c>
      <c r="M91" s="229">
        <v>-1.0699999999999999E-2</v>
      </c>
      <c r="N91" s="228">
        <v>216.94</v>
      </c>
      <c r="O91" s="228">
        <v>219.13</v>
      </c>
      <c r="P91" s="228">
        <v>-2.19</v>
      </c>
      <c r="Q91" s="229">
        <v>-0.01</v>
      </c>
      <c r="R91" s="228">
        <v>215.93</v>
      </c>
      <c r="S91" s="228">
        <v>218.38</v>
      </c>
      <c r="T91" s="228">
        <v>-2.4500000000000002</v>
      </c>
      <c r="U91" s="229">
        <v>-1.12E-2</v>
      </c>
      <c r="V91" s="228">
        <v>0</v>
      </c>
      <c r="W91" s="228">
        <v>0</v>
      </c>
      <c r="X91" s="228">
        <v>0</v>
      </c>
      <c r="Y91" s="229">
        <v>0</v>
      </c>
      <c r="Z91" s="228">
        <v>0.76</v>
      </c>
      <c r="AA91" s="228">
        <v>0.61</v>
      </c>
      <c r="AB91" s="228">
        <v>0.15</v>
      </c>
      <c r="AC91" s="229">
        <v>3.5000000000000001E-3</v>
      </c>
      <c r="AD91" s="228">
        <v>0.76</v>
      </c>
      <c r="AE91" s="228">
        <v>0.61</v>
      </c>
      <c r="AF91" s="228">
        <v>0.15</v>
      </c>
      <c r="AG91" s="229">
        <v>3.5000000000000001E-3</v>
      </c>
      <c r="AH91" s="228">
        <v>-0.25</v>
      </c>
      <c r="AI91" s="228">
        <v>-0.14000000000000001</v>
      </c>
      <c r="AJ91" s="228">
        <v>-0.11</v>
      </c>
      <c r="AK91" s="229">
        <v>-1.1999999999999999E-3</v>
      </c>
      <c r="AL91" s="228">
        <v>0</v>
      </c>
      <c r="AM91" s="228">
        <v>0</v>
      </c>
      <c r="AN91" s="228">
        <v>0</v>
      </c>
      <c r="AO91" s="229">
        <v>0</v>
      </c>
      <c r="AP91" s="228">
        <v>217.41</v>
      </c>
      <c r="AQ91" s="228">
        <v>216.44</v>
      </c>
      <c r="AR91" s="228">
        <v>0</v>
      </c>
      <c r="AS91" s="228">
        <v>84</v>
      </c>
      <c r="AT91" s="228">
        <v>149</v>
      </c>
      <c r="AU91" s="228">
        <v>-65</v>
      </c>
      <c r="AV91" s="229">
        <v>-0.43659999999999999</v>
      </c>
      <c r="AW91" s="228">
        <v>79</v>
      </c>
      <c r="AX91" s="228">
        <v>143</v>
      </c>
      <c r="AY91" s="228">
        <v>-64</v>
      </c>
      <c r="AZ91" s="229">
        <v>-0.45079999999999998</v>
      </c>
      <c r="BA91" s="228">
        <v>5</v>
      </c>
      <c r="BB91" s="228">
        <v>6</v>
      </c>
      <c r="BC91" s="228">
        <v>0</v>
      </c>
      <c r="BD91" s="229">
        <v>-8.3299999999999999E-2</v>
      </c>
      <c r="BE91" s="228">
        <v>0</v>
      </c>
      <c r="BF91" s="228">
        <v>0</v>
      </c>
      <c r="BG91" s="228">
        <v>0</v>
      </c>
      <c r="BH91" s="229">
        <v>0</v>
      </c>
      <c r="BI91" s="228">
        <v>267</v>
      </c>
      <c r="BJ91" s="228">
        <v>472</v>
      </c>
      <c r="BK91" s="228">
        <v>-205</v>
      </c>
      <c r="BL91" s="229">
        <v>-0.43469999999999998</v>
      </c>
      <c r="BM91" s="228">
        <v>116</v>
      </c>
      <c r="BN91" s="228">
        <v>185</v>
      </c>
      <c r="BO91" s="228">
        <v>-69</v>
      </c>
      <c r="BP91" s="229">
        <v>-0.37359999999999999</v>
      </c>
      <c r="BQ91" s="228">
        <v>467</v>
      </c>
      <c r="BR91" s="228">
        <v>806</v>
      </c>
      <c r="BS91" s="228">
        <v>-340</v>
      </c>
      <c r="BT91" s="229">
        <v>-0.42099999999999999</v>
      </c>
      <c r="BU91" s="230">
        <v>1254308</v>
      </c>
      <c r="BV91" s="230">
        <v>2784553</v>
      </c>
      <c r="BW91" s="230">
        <v>-1530245</v>
      </c>
      <c r="BX91" s="229">
        <v>-0.54949999999999999</v>
      </c>
      <c r="BY91" s="228">
        <v>448</v>
      </c>
      <c r="BZ91" s="228">
        <v>452</v>
      </c>
      <c r="CA91" s="228">
        <v>-4</v>
      </c>
      <c r="CB91" s="229">
        <v>-9.4999999999999998E-3</v>
      </c>
      <c r="CC91" s="228">
        <v>419</v>
      </c>
      <c r="CD91" s="228">
        <v>425</v>
      </c>
      <c r="CE91" s="228">
        <v>-6</v>
      </c>
      <c r="CF91" s="229">
        <v>-1.3599999999999999E-2</v>
      </c>
      <c r="CG91" s="228">
        <v>29</v>
      </c>
      <c r="CH91" s="228">
        <v>27</v>
      </c>
      <c r="CI91" s="228">
        <v>1</v>
      </c>
      <c r="CJ91" s="229">
        <v>5.4600000000000003E-2</v>
      </c>
      <c r="CK91" s="228">
        <v>0</v>
      </c>
      <c r="CL91" s="228">
        <v>0</v>
      </c>
      <c r="CM91" s="228">
        <v>0</v>
      </c>
      <c r="CN91" s="229">
        <v>0</v>
      </c>
      <c r="CO91" s="228">
        <v>350</v>
      </c>
      <c r="CP91" s="228">
        <v>362</v>
      </c>
      <c r="CQ91" s="228">
        <v>-12</v>
      </c>
      <c r="CR91" s="229">
        <v>-3.44E-2</v>
      </c>
      <c r="CS91" s="228">
        <v>212</v>
      </c>
      <c r="CT91" s="228">
        <v>216</v>
      </c>
      <c r="CU91" s="228">
        <v>-4</v>
      </c>
      <c r="CV91" s="229">
        <v>-1.7100000000000001E-2</v>
      </c>
      <c r="CW91" s="230">
        <v>1010</v>
      </c>
      <c r="CX91" s="230">
        <v>1030</v>
      </c>
      <c r="CY91" s="228">
        <v>-20</v>
      </c>
      <c r="CZ91" s="229">
        <v>-1.9900000000000001E-2</v>
      </c>
      <c r="DA91" s="228">
        <v>29.87</v>
      </c>
      <c r="DB91" s="228">
        <v>31.42</v>
      </c>
      <c r="DC91" s="228">
        <v>-1.55</v>
      </c>
      <c r="DD91" s="228">
        <v>-1.55</v>
      </c>
      <c r="DE91" s="228">
        <v>42.24</v>
      </c>
      <c r="DF91" s="228">
        <v>42.32</v>
      </c>
      <c r="DG91" s="228">
        <v>-12.37</v>
      </c>
      <c r="DH91" s="228">
        <v>-0.08</v>
      </c>
      <c r="DI91" s="228">
        <v>30.34</v>
      </c>
      <c r="DJ91" s="228">
        <v>31.43</v>
      </c>
      <c r="DK91" s="228">
        <v>-1.0900000000000001</v>
      </c>
      <c r="DL91" s="228">
        <v>-1.0900000000000001</v>
      </c>
      <c r="DM91" s="228">
        <v>28.76</v>
      </c>
      <c r="DN91" s="228">
        <v>31.39</v>
      </c>
      <c r="DO91" s="228">
        <v>-2.63</v>
      </c>
      <c r="DP91" s="228">
        <v>-2.63</v>
      </c>
      <c r="DQ91" s="228">
        <v>0.61</v>
      </c>
      <c r="DR91" s="228">
        <v>0.6</v>
      </c>
      <c r="DS91" s="228">
        <v>0.01</v>
      </c>
      <c r="DT91" s="229">
        <v>1.67E-2</v>
      </c>
      <c r="DU91" s="228">
        <v>220</v>
      </c>
      <c r="DV91" s="228">
        <v>200</v>
      </c>
      <c r="DW91" s="228">
        <v>0.43</v>
      </c>
      <c r="DX91" s="228">
        <v>0.39</v>
      </c>
      <c r="DY91" s="228">
        <v>0.04</v>
      </c>
      <c r="DZ91" s="229">
        <v>0.1026</v>
      </c>
      <c r="EA91" s="229">
        <v>6.4299999999999996E-2</v>
      </c>
      <c r="EB91" s="230">
        <v>1259500</v>
      </c>
      <c r="EC91" s="229">
        <v>-4.7000000000000002E-3</v>
      </c>
      <c r="ED91" s="229">
        <v>6.4299999999999996E-2</v>
      </c>
      <c r="EE91" s="228">
        <v>-0.97</v>
      </c>
      <c r="EF91" s="229">
        <v>-4.4999999999999997E-3</v>
      </c>
      <c r="EG91" s="230">
        <v>453823</v>
      </c>
      <c r="EH91" s="230">
        <v>1109849</v>
      </c>
      <c r="EI91" s="229">
        <v>-0.59109999999999996</v>
      </c>
      <c r="EJ91" s="229">
        <v>0.36180000000000001</v>
      </c>
      <c r="EK91" s="228">
        <v>282.44</v>
      </c>
      <c r="EL91" s="228">
        <v>116.96</v>
      </c>
      <c r="EM91" s="228">
        <v>83.98</v>
      </c>
      <c r="EN91" s="228">
        <v>48.64</v>
      </c>
      <c r="EO91" s="228">
        <v>483.39</v>
      </c>
      <c r="EP91" s="228">
        <v>838.11</v>
      </c>
      <c r="EQ91" s="228">
        <v>-354.72</v>
      </c>
      <c r="ER91" s="229">
        <v>-0.42320000000000002</v>
      </c>
      <c r="ES91" s="228">
        <v>363.11</v>
      </c>
      <c r="ET91" s="228">
        <v>205.87</v>
      </c>
      <c r="EU91" s="228">
        <v>447.78</v>
      </c>
      <c r="EV91" s="231">
        <v>94000476</v>
      </c>
      <c r="EW91" s="231">
        <v>1016.76</v>
      </c>
      <c r="EX91" s="231">
        <v>1042.54</v>
      </c>
      <c r="EY91" s="228">
        <v>-25.78</v>
      </c>
      <c r="EZ91" s="229">
        <v>-2.47E-2</v>
      </c>
      <c r="FA91" s="229">
        <v>0.49519999999999997</v>
      </c>
      <c r="FB91" s="227" t="s">
        <v>568</v>
      </c>
      <c r="FC91">
        <f t="shared" si="1"/>
        <v>29</v>
      </c>
    </row>
    <row r="92" spans="1:159" ht="17.25" thickBot="1" x14ac:dyDescent="0.3">
      <c r="A92" s="226">
        <v>45940</v>
      </c>
      <c r="B92" s="227" t="s">
        <v>175</v>
      </c>
      <c r="C92" s="227" t="s">
        <v>668</v>
      </c>
      <c r="D92" s="228">
        <v>1650</v>
      </c>
      <c r="E92" s="228">
        <v>18</v>
      </c>
      <c r="F92" s="228">
        <v>492.55</v>
      </c>
      <c r="G92" s="228">
        <v>498.2</v>
      </c>
      <c r="H92" s="228">
        <v>-5.65</v>
      </c>
      <c r="I92" s="229">
        <v>-1.1299999999999999E-2</v>
      </c>
      <c r="J92" s="228">
        <v>490</v>
      </c>
      <c r="K92" s="228">
        <v>495.15</v>
      </c>
      <c r="L92" s="228">
        <v>-5.15</v>
      </c>
      <c r="M92" s="229">
        <v>-1.04E-2</v>
      </c>
      <c r="N92" s="228">
        <v>492.55</v>
      </c>
      <c r="O92" s="228">
        <v>498.2</v>
      </c>
      <c r="P92" s="228">
        <v>-5.65</v>
      </c>
      <c r="Q92" s="229">
        <v>-1.1299999999999999E-2</v>
      </c>
      <c r="R92" s="228">
        <v>495</v>
      </c>
      <c r="S92" s="228">
        <v>501.35</v>
      </c>
      <c r="T92" s="228">
        <v>-6.35</v>
      </c>
      <c r="U92" s="229">
        <v>-1.2699999999999999E-2</v>
      </c>
      <c r="V92" s="228">
        <v>500</v>
      </c>
      <c r="W92" s="228">
        <v>503</v>
      </c>
      <c r="X92" s="228">
        <v>-3</v>
      </c>
      <c r="Y92" s="229">
        <v>-6.0000000000000001E-3</v>
      </c>
      <c r="Z92" s="228">
        <v>2.5499999999999998</v>
      </c>
      <c r="AA92" s="228">
        <v>3.05</v>
      </c>
      <c r="AB92" s="228">
        <v>-0.5</v>
      </c>
      <c r="AC92" s="229">
        <v>5.1999999999999998E-3</v>
      </c>
      <c r="AD92" s="228">
        <v>2.5499999999999998</v>
      </c>
      <c r="AE92" s="228">
        <v>3.05</v>
      </c>
      <c r="AF92" s="228">
        <v>-0.5</v>
      </c>
      <c r="AG92" s="229">
        <v>5.1999999999999998E-3</v>
      </c>
      <c r="AH92" s="228">
        <v>5</v>
      </c>
      <c r="AI92" s="228">
        <v>6.2</v>
      </c>
      <c r="AJ92" s="228">
        <v>-1.2</v>
      </c>
      <c r="AK92" s="229">
        <v>1.0200000000000001E-2</v>
      </c>
      <c r="AL92" s="228">
        <v>10</v>
      </c>
      <c r="AM92" s="228">
        <v>7.85</v>
      </c>
      <c r="AN92" s="228">
        <v>2.15</v>
      </c>
      <c r="AO92" s="229">
        <v>2.0400000000000001E-2</v>
      </c>
      <c r="AP92" s="228">
        <v>493.79</v>
      </c>
      <c r="AQ92" s="228">
        <v>496.36</v>
      </c>
      <c r="AR92" s="228">
        <v>0</v>
      </c>
      <c r="AS92" s="228">
        <v>143</v>
      </c>
      <c r="AT92" s="228">
        <v>283</v>
      </c>
      <c r="AU92" s="228">
        <v>-140</v>
      </c>
      <c r="AV92" s="229">
        <v>-0.49580000000000002</v>
      </c>
      <c r="AW92" s="228">
        <v>135</v>
      </c>
      <c r="AX92" s="228">
        <v>273</v>
      </c>
      <c r="AY92" s="228">
        <v>-137</v>
      </c>
      <c r="AZ92" s="229">
        <v>-0.50339999999999996</v>
      </c>
      <c r="BA92" s="228">
        <v>7</v>
      </c>
      <c r="BB92" s="228">
        <v>9</v>
      </c>
      <c r="BC92" s="228">
        <v>-3</v>
      </c>
      <c r="BD92" s="229">
        <v>-0.27429999999999999</v>
      </c>
      <c r="BE92" s="228">
        <v>1</v>
      </c>
      <c r="BF92" s="228">
        <v>1</v>
      </c>
      <c r="BG92" s="228">
        <v>-1</v>
      </c>
      <c r="BH92" s="229">
        <v>-0.4667</v>
      </c>
      <c r="BI92" s="228">
        <v>192</v>
      </c>
      <c r="BJ92" s="228">
        <v>660</v>
      </c>
      <c r="BK92" s="228">
        <v>-469</v>
      </c>
      <c r="BL92" s="229">
        <v>-0.70979999999999999</v>
      </c>
      <c r="BM92" s="228">
        <v>115</v>
      </c>
      <c r="BN92" s="228">
        <v>221</v>
      </c>
      <c r="BO92" s="228">
        <v>-106</v>
      </c>
      <c r="BP92" s="229">
        <v>-0.47810000000000002</v>
      </c>
      <c r="BQ92" s="228">
        <v>450</v>
      </c>
      <c r="BR92" s="230">
        <v>1164</v>
      </c>
      <c r="BS92" s="228">
        <v>-715</v>
      </c>
      <c r="BT92" s="229">
        <v>-0.61380000000000001</v>
      </c>
      <c r="BU92" s="230">
        <v>1057167</v>
      </c>
      <c r="BV92" s="230">
        <v>3849650</v>
      </c>
      <c r="BW92" s="230">
        <v>-2792483</v>
      </c>
      <c r="BX92" s="229">
        <v>-0.72540000000000004</v>
      </c>
      <c r="BY92" s="228">
        <v>788</v>
      </c>
      <c r="BZ92" s="228">
        <v>799</v>
      </c>
      <c r="CA92" s="228">
        <v>-12</v>
      </c>
      <c r="CB92" s="229">
        <v>-1.44E-2</v>
      </c>
      <c r="CC92" s="228">
        <v>772</v>
      </c>
      <c r="CD92" s="228">
        <v>784</v>
      </c>
      <c r="CE92" s="228">
        <v>-12</v>
      </c>
      <c r="CF92" s="229">
        <v>-1.5599999999999999E-2</v>
      </c>
      <c r="CG92" s="228">
        <v>13</v>
      </c>
      <c r="CH92" s="228">
        <v>12</v>
      </c>
      <c r="CI92" s="228">
        <v>0</v>
      </c>
      <c r="CJ92" s="229">
        <v>3.95E-2</v>
      </c>
      <c r="CK92" s="228">
        <v>3</v>
      </c>
      <c r="CL92" s="228">
        <v>3</v>
      </c>
      <c r="CM92" s="228">
        <v>0</v>
      </c>
      <c r="CN92" s="229">
        <v>9.6799999999999997E-2</v>
      </c>
      <c r="CO92" s="228">
        <v>195</v>
      </c>
      <c r="CP92" s="228">
        <v>194</v>
      </c>
      <c r="CQ92" s="228">
        <v>1</v>
      </c>
      <c r="CR92" s="229">
        <v>4.5999999999999999E-3</v>
      </c>
      <c r="CS92" s="228">
        <v>134</v>
      </c>
      <c r="CT92" s="228">
        <v>131</v>
      </c>
      <c r="CU92" s="228">
        <v>3</v>
      </c>
      <c r="CV92" s="229">
        <v>2.29E-2</v>
      </c>
      <c r="CW92" s="230">
        <v>1116</v>
      </c>
      <c r="CX92" s="230">
        <v>1124</v>
      </c>
      <c r="CY92" s="228">
        <v>-8</v>
      </c>
      <c r="CZ92" s="229">
        <v>-6.7999999999999996E-3</v>
      </c>
      <c r="DA92" s="228">
        <v>31.78</v>
      </c>
      <c r="DB92" s="228">
        <v>33.51</v>
      </c>
      <c r="DC92" s="228">
        <v>-1.73</v>
      </c>
      <c r="DD92" s="228">
        <v>-1.73</v>
      </c>
      <c r="DE92" s="228">
        <v>52.64</v>
      </c>
      <c r="DF92" s="228">
        <v>52.75</v>
      </c>
      <c r="DG92" s="228">
        <v>-20.86</v>
      </c>
      <c r="DH92" s="228">
        <v>-0.11</v>
      </c>
      <c r="DI92" s="228">
        <v>31.81</v>
      </c>
      <c r="DJ92" s="228">
        <v>33.380000000000003</v>
      </c>
      <c r="DK92" s="228">
        <v>-1.57</v>
      </c>
      <c r="DL92" s="228">
        <v>-1.57</v>
      </c>
      <c r="DM92" s="228">
        <v>31.72</v>
      </c>
      <c r="DN92" s="228">
        <v>33.909999999999997</v>
      </c>
      <c r="DO92" s="228">
        <v>-2.19</v>
      </c>
      <c r="DP92" s="228">
        <v>-2.19</v>
      </c>
      <c r="DQ92" s="228">
        <v>0.69</v>
      </c>
      <c r="DR92" s="228">
        <v>0.68</v>
      </c>
      <c r="DS92" s="228">
        <v>0.01</v>
      </c>
      <c r="DT92" s="229">
        <v>1.47E-2</v>
      </c>
      <c r="DU92" s="228">
        <v>500</v>
      </c>
      <c r="DV92" s="228">
        <v>460</v>
      </c>
      <c r="DW92" s="228">
        <v>0.6</v>
      </c>
      <c r="DX92" s="228">
        <v>0.33</v>
      </c>
      <c r="DY92" s="228">
        <v>0.27</v>
      </c>
      <c r="DZ92" s="229">
        <v>0.81820000000000004</v>
      </c>
      <c r="EA92" s="229">
        <v>1.9800000000000002E-2</v>
      </c>
      <c r="EB92" s="230">
        <v>301950</v>
      </c>
      <c r="EC92" s="229">
        <v>5.0000000000000001E-3</v>
      </c>
      <c r="ED92" s="229">
        <v>1.9800000000000002E-2</v>
      </c>
      <c r="EE92" s="228">
        <v>2.57</v>
      </c>
      <c r="EF92" s="229">
        <v>5.1999999999999998E-3</v>
      </c>
      <c r="EG92" s="230">
        <v>428990</v>
      </c>
      <c r="EH92" s="230">
        <v>936555</v>
      </c>
      <c r="EI92" s="229">
        <v>-0.54190000000000005</v>
      </c>
      <c r="EJ92" s="229">
        <v>0.40579999999999999</v>
      </c>
      <c r="EK92" s="228">
        <v>201.92</v>
      </c>
      <c r="EL92" s="228">
        <v>112.77</v>
      </c>
      <c r="EM92" s="228">
        <v>143.03</v>
      </c>
      <c r="EN92" s="228">
        <v>36.1</v>
      </c>
      <c r="EO92" s="228">
        <v>457.71</v>
      </c>
      <c r="EP92" s="231">
        <v>1199.57</v>
      </c>
      <c r="EQ92" s="228">
        <v>-741.85</v>
      </c>
      <c r="ER92" s="229">
        <v>-0.61839999999999995</v>
      </c>
      <c r="ES92" s="228">
        <v>196.62</v>
      </c>
      <c r="ET92" s="228">
        <v>123.79</v>
      </c>
      <c r="EU92" s="228">
        <v>787.62</v>
      </c>
      <c r="EV92" s="231">
        <v>47888370</v>
      </c>
      <c r="EW92" s="231">
        <v>1108.02</v>
      </c>
      <c r="EX92" s="231">
        <v>1125.1600000000001</v>
      </c>
      <c r="EY92" s="228">
        <v>-17.14</v>
      </c>
      <c r="EZ92" s="229">
        <v>-1.52E-2</v>
      </c>
      <c r="FA92" s="229">
        <v>0.4733</v>
      </c>
      <c r="FB92" s="227" t="s">
        <v>568</v>
      </c>
      <c r="FC92">
        <f t="shared" si="1"/>
        <v>16</v>
      </c>
    </row>
    <row r="93" spans="1:159" ht="17.25" thickBot="1" x14ac:dyDescent="0.3">
      <c r="A93" s="226">
        <v>45940</v>
      </c>
      <c r="B93" s="227" t="s">
        <v>206</v>
      </c>
      <c r="C93" s="227" t="s">
        <v>501</v>
      </c>
      <c r="D93" s="228">
        <v>1000</v>
      </c>
      <c r="E93" s="228">
        <v>18</v>
      </c>
      <c r="F93" s="228">
        <v>738.75</v>
      </c>
      <c r="G93" s="228">
        <v>734.65</v>
      </c>
      <c r="H93" s="228">
        <v>4.0999999999999996</v>
      </c>
      <c r="I93" s="229">
        <v>5.5999999999999999E-3</v>
      </c>
      <c r="J93" s="228">
        <v>735.55</v>
      </c>
      <c r="K93" s="228">
        <v>732.15</v>
      </c>
      <c r="L93" s="228">
        <v>3.4</v>
      </c>
      <c r="M93" s="229">
        <v>4.5999999999999999E-3</v>
      </c>
      <c r="N93" s="228">
        <v>738.75</v>
      </c>
      <c r="O93" s="228">
        <v>734.65</v>
      </c>
      <c r="P93" s="228">
        <v>4.0999999999999996</v>
      </c>
      <c r="Q93" s="229">
        <v>5.5999999999999999E-3</v>
      </c>
      <c r="R93" s="228">
        <v>742.85</v>
      </c>
      <c r="S93" s="228">
        <v>738.75</v>
      </c>
      <c r="T93" s="228">
        <v>4.0999999999999996</v>
      </c>
      <c r="U93" s="229">
        <v>5.4999999999999997E-3</v>
      </c>
      <c r="V93" s="228">
        <v>746.85</v>
      </c>
      <c r="W93" s="228">
        <v>742.95</v>
      </c>
      <c r="X93" s="228">
        <v>3.9</v>
      </c>
      <c r="Y93" s="229">
        <v>5.1999999999999998E-3</v>
      </c>
      <c r="Z93" s="228">
        <v>3.2</v>
      </c>
      <c r="AA93" s="228">
        <v>2.5</v>
      </c>
      <c r="AB93" s="228">
        <v>0.7</v>
      </c>
      <c r="AC93" s="229">
        <v>4.4000000000000003E-3</v>
      </c>
      <c r="AD93" s="228">
        <v>3.2</v>
      </c>
      <c r="AE93" s="228">
        <v>2.5</v>
      </c>
      <c r="AF93" s="228">
        <v>0.7</v>
      </c>
      <c r="AG93" s="229">
        <v>4.4000000000000003E-3</v>
      </c>
      <c r="AH93" s="228">
        <v>7.3</v>
      </c>
      <c r="AI93" s="228">
        <v>6.6</v>
      </c>
      <c r="AJ93" s="228">
        <v>0.7</v>
      </c>
      <c r="AK93" s="229">
        <v>9.9000000000000008E-3</v>
      </c>
      <c r="AL93" s="228">
        <v>11.3</v>
      </c>
      <c r="AM93" s="228">
        <v>10.8</v>
      </c>
      <c r="AN93" s="228">
        <v>0.5</v>
      </c>
      <c r="AO93" s="229">
        <v>1.54E-2</v>
      </c>
      <c r="AP93" s="228">
        <v>739.86</v>
      </c>
      <c r="AQ93" s="228">
        <v>743.95</v>
      </c>
      <c r="AR93" s="228">
        <v>0</v>
      </c>
      <c r="AS93" s="228">
        <v>226</v>
      </c>
      <c r="AT93" s="228">
        <v>156</v>
      </c>
      <c r="AU93" s="228">
        <v>69</v>
      </c>
      <c r="AV93" s="229">
        <v>0.44290000000000002</v>
      </c>
      <c r="AW93" s="228">
        <v>200</v>
      </c>
      <c r="AX93" s="228">
        <v>143</v>
      </c>
      <c r="AY93" s="228">
        <v>58</v>
      </c>
      <c r="AZ93" s="229">
        <v>0.40689999999999998</v>
      </c>
      <c r="BA93" s="228">
        <v>23</v>
      </c>
      <c r="BB93" s="228">
        <v>11</v>
      </c>
      <c r="BC93" s="228">
        <v>12</v>
      </c>
      <c r="BD93" s="229">
        <v>1.1351</v>
      </c>
      <c r="BE93" s="228">
        <v>2</v>
      </c>
      <c r="BF93" s="228">
        <v>3</v>
      </c>
      <c r="BG93" s="228">
        <v>-1</v>
      </c>
      <c r="BH93" s="229">
        <v>-0.3659</v>
      </c>
      <c r="BI93" s="230">
        <v>1020</v>
      </c>
      <c r="BJ93" s="228">
        <v>652</v>
      </c>
      <c r="BK93" s="228">
        <v>368</v>
      </c>
      <c r="BL93" s="229">
        <v>0.56420000000000003</v>
      </c>
      <c r="BM93" s="228">
        <v>295</v>
      </c>
      <c r="BN93" s="228">
        <v>120</v>
      </c>
      <c r="BO93" s="228">
        <v>175</v>
      </c>
      <c r="BP93" s="229">
        <v>1.4567000000000001</v>
      </c>
      <c r="BQ93" s="230">
        <v>1541</v>
      </c>
      <c r="BR93" s="228">
        <v>929</v>
      </c>
      <c r="BS93" s="228">
        <v>612</v>
      </c>
      <c r="BT93" s="229">
        <v>0.6593</v>
      </c>
      <c r="BU93" s="230">
        <v>1635446</v>
      </c>
      <c r="BV93" s="230">
        <v>1147891</v>
      </c>
      <c r="BW93" s="230">
        <v>487555</v>
      </c>
      <c r="BX93" s="229">
        <v>0.42470000000000002</v>
      </c>
      <c r="BY93" s="230">
        <v>2064</v>
      </c>
      <c r="BZ93" s="230">
        <v>2055</v>
      </c>
      <c r="CA93" s="228">
        <v>9</v>
      </c>
      <c r="CB93" s="229">
        <v>4.4000000000000003E-3</v>
      </c>
      <c r="CC93" s="230">
        <v>1972</v>
      </c>
      <c r="CD93" s="230">
        <v>1973</v>
      </c>
      <c r="CE93" s="228">
        <v>-1</v>
      </c>
      <c r="CF93" s="229">
        <v>-2.9999999999999997E-4</v>
      </c>
      <c r="CG93" s="228">
        <v>86</v>
      </c>
      <c r="CH93" s="228">
        <v>77</v>
      </c>
      <c r="CI93" s="228">
        <v>9</v>
      </c>
      <c r="CJ93" s="229">
        <v>0.1222</v>
      </c>
      <c r="CK93" s="228">
        <v>6</v>
      </c>
      <c r="CL93" s="228">
        <v>5</v>
      </c>
      <c r="CM93" s="228">
        <v>0</v>
      </c>
      <c r="CN93" s="229">
        <v>5.6300000000000003E-2</v>
      </c>
      <c r="CO93" s="228">
        <v>959</v>
      </c>
      <c r="CP93" s="228">
        <v>971</v>
      </c>
      <c r="CQ93" s="228">
        <v>-12</v>
      </c>
      <c r="CR93" s="229">
        <v>-1.2200000000000001E-2</v>
      </c>
      <c r="CS93" s="228">
        <v>502</v>
      </c>
      <c r="CT93" s="228">
        <v>521</v>
      </c>
      <c r="CU93" s="228">
        <v>-19</v>
      </c>
      <c r="CV93" s="229">
        <v>-3.6900000000000002E-2</v>
      </c>
      <c r="CW93" s="230">
        <v>3525</v>
      </c>
      <c r="CX93" s="230">
        <v>3547</v>
      </c>
      <c r="CY93" s="228">
        <v>-22</v>
      </c>
      <c r="CZ93" s="229">
        <v>-6.1999999999999998E-3</v>
      </c>
      <c r="DA93" s="228">
        <v>23.39</v>
      </c>
      <c r="DB93" s="228">
        <v>24.73</v>
      </c>
      <c r="DC93" s="228">
        <v>-1.34</v>
      </c>
      <c r="DD93" s="228">
        <v>-1.34</v>
      </c>
      <c r="DE93" s="228">
        <v>35.770000000000003</v>
      </c>
      <c r="DF93" s="228">
        <v>35.85</v>
      </c>
      <c r="DG93" s="228">
        <v>-12.38</v>
      </c>
      <c r="DH93" s="228">
        <v>-0.08</v>
      </c>
      <c r="DI93" s="228">
        <v>23.52</v>
      </c>
      <c r="DJ93" s="228">
        <v>24.87</v>
      </c>
      <c r="DK93" s="228">
        <v>-1.35</v>
      </c>
      <c r="DL93" s="228">
        <v>-1.35</v>
      </c>
      <c r="DM93" s="228">
        <v>22.96</v>
      </c>
      <c r="DN93" s="228">
        <v>23.95</v>
      </c>
      <c r="DO93" s="228">
        <v>-0.99</v>
      </c>
      <c r="DP93" s="228">
        <v>-0.99</v>
      </c>
      <c r="DQ93" s="228">
        <v>0.52</v>
      </c>
      <c r="DR93" s="228">
        <v>0.54</v>
      </c>
      <c r="DS93" s="228">
        <v>-0.02</v>
      </c>
      <c r="DT93" s="229">
        <v>-3.6999999999999998E-2</v>
      </c>
      <c r="DU93" s="228">
        <v>800</v>
      </c>
      <c r="DV93" s="228">
        <v>720</v>
      </c>
      <c r="DW93" s="228">
        <v>0.28999999999999998</v>
      </c>
      <c r="DX93" s="228">
        <v>0.18</v>
      </c>
      <c r="DY93" s="228">
        <v>0.11</v>
      </c>
      <c r="DZ93" s="229">
        <v>0.61109999999999998</v>
      </c>
      <c r="EA93" s="229">
        <v>4.4400000000000002E-2</v>
      </c>
      <c r="EB93" s="230">
        <v>1110000</v>
      </c>
      <c r="EC93" s="229">
        <v>5.4999999999999997E-3</v>
      </c>
      <c r="ED93" s="229">
        <v>4.4400000000000002E-2</v>
      </c>
      <c r="EE93" s="228">
        <v>4.09</v>
      </c>
      <c r="EF93" s="229">
        <v>5.4999999999999997E-3</v>
      </c>
      <c r="EG93" s="230">
        <v>1036145</v>
      </c>
      <c r="EH93" s="230">
        <v>712073</v>
      </c>
      <c r="EI93" s="229">
        <v>0.4551</v>
      </c>
      <c r="EJ93" s="229">
        <v>0.63360000000000005</v>
      </c>
      <c r="EK93" s="231">
        <v>1059.68</v>
      </c>
      <c r="EL93" s="228">
        <v>294.56</v>
      </c>
      <c r="EM93" s="228">
        <v>226.25</v>
      </c>
      <c r="EN93" s="228">
        <v>26.45</v>
      </c>
      <c r="EO93" s="231">
        <v>1580.49</v>
      </c>
      <c r="EP93" s="228">
        <v>949.57</v>
      </c>
      <c r="EQ93" s="228">
        <v>630.91999999999996</v>
      </c>
      <c r="ER93" s="229">
        <v>0.66439999999999999</v>
      </c>
      <c r="ES93" s="231">
        <v>1001.69</v>
      </c>
      <c r="ET93" s="228">
        <v>497.88</v>
      </c>
      <c r="EU93" s="231">
        <v>2064.09</v>
      </c>
      <c r="EV93" s="231">
        <v>111956321</v>
      </c>
      <c r="EW93" s="231">
        <v>3563.66</v>
      </c>
      <c r="EX93" s="231">
        <v>3573.67</v>
      </c>
      <c r="EY93" s="228">
        <v>-10.01</v>
      </c>
      <c r="EZ93" s="229">
        <v>-2.8E-3</v>
      </c>
      <c r="FA93" s="229">
        <v>0.42620000000000002</v>
      </c>
      <c r="FB93" s="227" t="s">
        <v>555</v>
      </c>
      <c r="FC93">
        <f t="shared" si="1"/>
        <v>92</v>
      </c>
    </row>
    <row r="94" spans="1:159" ht="17.25" thickBot="1" x14ac:dyDescent="0.3">
      <c r="A94" s="226">
        <v>45940</v>
      </c>
      <c r="B94" s="227" t="s">
        <v>172</v>
      </c>
      <c r="C94" s="227" t="s">
        <v>579</v>
      </c>
      <c r="D94" s="228">
        <v>1000</v>
      </c>
      <c r="E94" s="228">
        <v>18</v>
      </c>
      <c r="F94" s="228">
        <v>776.1</v>
      </c>
      <c r="G94" s="228">
        <v>769.4</v>
      </c>
      <c r="H94" s="228">
        <v>6.7</v>
      </c>
      <c r="I94" s="229">
        <v>8.6999999999999994E-3</v>
      </c>
      <c r="J94" s="228">
        <v>776.25</v>
      </c>
      <c r="K94" s="228">
        <v>766.2</v>
      </c>
      <c r="L94" s="228">
        <v>10.050000000000001</v>
      </c>
      <c r="M94" s="229">
        <v>1.3100000000000001E-2</v>
      </c>
      <c r="N94" s="228">
        <v>776.1</v>
      </c>
      <c r="O94" s="228">
        <v>769.4</v>
      </c>
      <c r="P94" s="228">
        <v>6.7</v>
      </c>
      <c r="Q94" s="229">
        <v>8.6999999999999994E-3</v>
      </c>
      <c r="R94" s="228">
        <v>774.4</v>
      </c>
      <c r="S94" s="228">
        <v>767.5</v>
      </c>
      <c r="T94" s="228">
        <v>6.9</v>
      </c>
      <c r="U94" s="229">
        <v>8.9999999999999993E-3</v>
      </c>
      <c r="V94" s="228">
        <v>773.2</v>
      </c>
      <c r="W94" s="228">
        <v>762.5</v>
      </c>
      <c r="X94" s="228">
        <v>10.7</v>
      </c>
      <c r="Y94" s="229">
        <v>1.4E-2</v>
      </c>
      <c r="Z94" s="228">
        <v>-0.15</v>
      </c>
      <c r="AA94" s="228">
        <v>3.2</v>
      </c>
      <c r="AB94" s="228">
        <v>-3.35</v>
      </c>
      <c r="AC94" s="229">
        <v>-2.0000000000000001E-4</v>
      </c>
      <c r="AD94" s="228">
        <v>-0.15</v>
      </c>
      <c r="AE94" s="228">
        <v>3.2</v>
      </c>
      <c r="AF94" s="228">
        <v>-3.35</v>
      </c>
      <c r="AG94" s="229">
        <v>-2.0000000000000001E-4</v>
      </c>
      <c r="AH94" s="228">
        <v>-1.85</v>
      </c>
      <c r="AI94" s="228">
        <v>1.3</v>
      </c>
      <c r="AJ94" s="228">
        <v>-3.15</v>
      </c>
      <c r="AK94" s="229">
        <v>-2.3999999999999998E-3</v>
      </c>
      <c r="AL94" s="228">
        <v>-3.05</v>
      </c>
      <c r="AM94" s="228">
        <v>-3.7</v>
      </c>
      <c r="AN94" s="228">
        <v>0.65</v>
      </c>
      <c r="AO94" s="229">
        <v>-3.8999999999999998E-3</v>
      </c>
      <c r="AP94" s="228">
        <v>776.3</v>
      </c>
      <c r="AQ94" s="228">
        <v>774.2</v>
      </c>
      <c r="AR94" s="228">
        <v>0</v>
      </c>
      <c r="AS94" s="228">
        <v>185</v>
      </c>
      <c r="AT94" s="228">
        <v>113</v>
      </c>
      <c r="AU94" s="228">
        <v>72</v>
      </c>
      <c r="AV94" s="229">
        <v>0.64090000000000003</v>
      </c>
      <c r="AW94" s="228">
        <v>174</v>
      </c>
      <c r="AX94" s="228">
        <v>104</v>
      </c>
      <c r="AY94" s="228">
        <v>70</v>
      </c>
      <c r="AZ94" s="229">
        <v>0.67889999999999995</v>
      </c>
      <c r="BA94" s="228">
        <v>10</v>
      </c>
      <c r="BB94" s="228">
        <v>9</v>
      </c>
      <c r="BC94" s="228">
        <v>2</v>
      </c>
      <c r="BD94" s="229">
        <v>0.1802</v>
      </c>
      <c r="BE94" s="228">
        <v>1</v>
      </c>
      <c r="BF94" s="228">
        <v>0</v>
      </c>
      <c r="BG94" s="228">
        <v>0</v>
      </c>
      <c r="BH94" s="229">
        <v>0.75</v>
      </c>
      <c r="BI94" s="228">
        <v>374</v>
      </c>
      <c r="BJ94" s="228">
        <v>136</v>
      </c>
      <c r="BK94" s="228">
        <v>238</v>
      </c>
      <c r="BL94" s="229">
        <v>1.7464</v>
      </c>
      <c r="BM94" s="228">
        <v>200</v>
      </c>
      <c r="BN94" s="228">
        <v>107</v>
      </c>
      <c r="BO94" s="228">
        <v>93</v>
      </c>
      <c r="BP94" s="229">
        <v>0.86990000000000001</v>
      </c>
      <c r="BQ94" s="228">
        <v>759</v>
      </c>
      <c r="BR94" s="228">
        <v>356</v>
      </c>
      <c r="BS94" s="228">
        <v>403</v>
      </c>
      <c r="BT94" s="229">
        <v>1.1331</v>
      </c>
      <c r="BU94" s="230">
        <v>1682566</v>
      </c>
      <c r="BV94" s="230">
        <v>1002992</v>
      </c>
      <c r="BW94" s="230">
        <v>679574</v>
      </c>
      <c r="BX94" s="229">
        <v>0.67749999999999999</v>
      </c>
      <c r="BY94" s="228">
        <v>600</v>
      </c>
      <c r="BZ94" s="228">
        <v>578</v>
      </c>
      <c r="CA94" s="228">
        <v>22</v>
      </c>
      <c r="CB94" s="229">
        <v>3.7900000000000003E-2</v>
      </c>
      <c r="CC94" s="228">
        <v>584</v>
      </c>
      <c r="CD94" s="228">
        <v>564</v>
      </c>
      <c r="CE94" s="228">
        <v>20</v>
      </c>
      <c r="CF94" s="229">
        <v>3.5499999999999997E-2</v>
      </c>
      <c r="CG94" s="228">
        <v>15</v>
      </c>
      <c r="CH94" s="228">
        <v>14</v>
      </c>
      <c r="CI94" s="228">
        <v>2</v>
      </c>
      <c r="CJ94" s="229">
        <v>0.13139999999999999</v>
      </c>
      <c r="CK94" s="228">
        <v>1</v>
      </c>
      <c r="CL94" s="228">
        <v>1</v>
      </c>
      <c r="CM94" s="228">
        <v>0</v>
      </c>
      <c r="CN94" s="229">
        <v>0.1111</v>
      </c>
      <c r="CO94" s="228">
        <v>216</v>
      </c>
      <c r="CP94" s="228">
        <v>216</v>
      </c>
      <c r="CQ94" s="228">
        <v>0</v>
      </c>
      <c r="CR94" s="229">
        <v>4.0000000000000002E-4</v>
      </c>
      <c r="CS94" s="228">
        <v>209</v>
      </c>
      <c r="CT94" s="228">
        <v>205</v>
      </c>
      <c r="CU94" s="228">
        <v>4</v>
      </c>
      <c r="CV94" s="229">
        <v>2.1600000000000001E-2</v>
      </c>
      <c r="CW94" s="230">
        <v>1025</v>
      </c>
      <c r="CX94" s="228">
        <v>999</v>
      </c>
      <c r="CY94" s="228">
        <v>26</v>
      </c>
      <c r="CZ94" s="229">
        <v>2.64E-2</v>
      </c>
      <c r="DA94" s="228">
        <v>27.3</v>
      </c>
      <c r="DB94" s="228">
        <v>27.55</v>
      </c>
      <c r="DC94" s="228">
        <v>-0.25</v>
      </c>
      <c r="DD94" s="228">
        <v>-0.25</v>
      </c>
      <c r="DE94" s="228">
        <v>38.47</v>
      </c>
      <c r="DF94" s="228">
        <v>38.520000000000003</v>
      </c>
      <c r="DG94" s="228">
        <v>-11.17</v>
      </c>
      <c r="DH94" s="228">
        <v>-0.05</v>
      </c>
      <c r="DI94" s="228">
        <v>26.31</v>
      </c>
      <c r="DJ94" s="228">
        <v>26.27</v>
      </c>
      <c r="DK94" s="228">
        <v>0.04</v>
      </c>
      <c r="DL94" s="228">
        <v>0.04</v>
      </c>
      <c r="DM94" s="228">
        <v>29.15</v>
      </c>
      <c r="DN94" s="228">
        <v>29.18</v>
      </c>
      <c r="DO94" s="228">
        <v>-0.03</v>
      </c>
      <c r="DP94" s="228">
        <v>-0.03</v>
      </c>
      <c r="DQ94" s="228">
        <v>0.97</v>
      </c>
      <c r="DR94" s="228">
        <v>0.95</v>
      </c>
      <c r="DS94" s="228">
        <v>0.02</v>
      </c>
      <c r="DT94" s="229">
        <v>2.1100000000000001E-2</v>
      </c>
      <c r="DU94" s="228">
        <v>800</v>
      </c>
      <c r="DV94" s="228">
        <v>700</v>
      </c>
      <c r="DW94" s="228">
        <v>0.53</v>
      </c>
      <c r="DX94" s="228">
        <v>0.78</v>
      </c>
      <c r="DY94" s="228">
        <v>-0.25</v>
      </c>
      <c r="DZ94" s="229">
        <v>-0.32050000000000001</v>
      </c>
      <c r="EA94" s="229">
        <v>2.69E-2</v>
      </c>
      <c r="EB94" s="230">
        <v>184000</v>
      </c>
      <c r="EC94" s="229">
        <v>-2.2000000000000001E-3</v>
      </c>
      <c r="ED94" s="229">
        <v>2.69E-2</v>
      </c>
      <c r="EE94" s="228">
        <v>-2.1</v>
      </c>
      <c r="EF94" s="229">
        <v>-2.7000000000000001E-3</v>
      </c>
      <c r="EG94" s="230">
        <v>747725</v>
      </c>
      <c r="EH94" s="230">
        <v>473194</v>
      </c>
      <c r="EI94" s="229">
        <v>0.58020000000000005</v>
      </c>
      <c r="EJ94" s="229">
        <v>0.44440000000000002</v>
      </c>
      <c r="EK94" s="228">
        <v>386.77</v>
      </c>
      <c r="EL94" s="228">
        <v>191.34</v>
      </c>
      <c r="EM94" s="228">
        <v>184.81</v>
      </c>
      <c r="EN94" s="228">
        <v>22.64</v>
      </c>
      <c r="EO94" s="228">
        <v>762.91</v>
      </c>
      <c r="EP94" s="228">
        <v>351.41</v>
      </c>
      <c r="EQ94" s="228">
        <v>411.5</v>
      </c>
      <c r="ER94" s="229">
        <v>1.171</v>
      </c>
      <c r="ES94" s="228">
        <v>215.2</v>
      </c>
      <c r="ET94" s="228">
        <v>192.91</v>
      </c>
      <c r="EU94" s="228">
        <v>600.04</v>
      </c>
      <c r="EV94" s="231">
        <v>52862157</v>
      </c>
      <c r="EW94" s="231">
        <v>1008.15</v>
      </c>
      <c r="EX94" s="228">
        <v>974.98</v>
      </c>
      <c r="EY94" s="228">
        <v>33.17</v>
      </c>
      <c r="EZ94" s="229">
        <v>3.4000000000000002E-2</v>
      </c>
      <c r="FA94" s="229">
        <v>0.24990000000000001</v>
      </c>
      <c r="FB94" s="227" t="s">
        <v>555</v>
      </c>
      <c r="FC94">
        <f t="shared" si="1"/>
        <v>16</v>
      </c>
    </row>
    <row r="95" spans="1:159" ht="17.25" thickBot="1" x14ac:dyDescent="0.3">
      <c r="A95" s="226">
        <v>45940</v>
      </c>
      <c r="B95" s="227" t="s">
        <v>181</v>
      </c>
      <c r="C95" s="227" t="s">
        <v>570</v>
      </c>
      <c r="D95" s="228">
        <v>1</v>
      </c>
      <c r="E95" s="228">
        <v>18</v>
      </c>
      <c r="F95" s="228">
        <v>10.1</v>
      </c>
      <c r="G95" s="228">
        <v>10.119999999999999</v>
      </c>
      <c r="H95" s="228">
        <v>-0.02</v>
      </c>
      <c r="I95" s="229">
        <v>-1.6999999999999999E-3</v>
      </c>
      <c r="J95" s="228">
        <v>10.1</v>
      </c>
      <c r="K95" s="228">
        <v>10.119999999999999</v>
      </c>
      <c r="L95" s="228">
        <v>-0.02</v>
      </c>
      <c r="M95" s="229">
        <v>-1.6999999999999999E-3</v>
      </c>
      <c r="N95" s="228">
        <v>0</v>
      </c>
      <c r="O95" s="228">
        <v>0</v>
      </c>
      <c r="P95" s="228">
        <v>0</v>
      </c>
      <c r="Q95" s="229">
        <v>0</v>
      </c>
      <c r="R95" s="228">
        <v>0</v>
      </c>
      <c r="S95" s="228">
        <v>0</v>
      </c>
      <c r="T95" s="228">
        <v>0</v>
      </c>
      <c r="U95" s="229">
        <v>0</v>
      </c>
      <c r="V95" s="228">
        <v>0</v>
      </c>
      <c r="W95" s="228">
        <v>0</v>
      </c>
      <c r="X95" s="228">
        <v>0</v>
      </c>
      <c r="Y95" s="229">
        <v>0</v>
      </c>
      <c r="Z95" s="228">
        <v>0</v>
      </c>
      <c r="AA95" s="228">
        <v>0</v>
      </c>
      <c r="AB95" s="228">
        <v>0</v>
      </c>
      <c r="AC95" s="229">
        <v>0</v>
      </c>
      <c r="AD95" s="228">
        <v>0</v>
      </c>
      <c r="AE95" s="228">
        <v>0</v>
      </c>
      <c r="AF95" s="228">
        <v>0</v>
      </c>
      <c r="AG95" s="229">
        <v>0</v>
      </c>
      <c r="AH95" s="228">
        <v>0</v>
      </c>
      <c r="AI95" s="228">
        <v>0</v>
      </c>
      <c r="AJ95" s="228">
        <v>0</v>
      </c>
      <c r="AK95" s="229">
        <v>0</v>
      </c>
      <c r="AL95" s="228">
        <v>0</v>
      </c>
      <c r="AM95" s="228">
        <v>0</v>
      </c>
      <c r="AN95" s="228">
        <v>0</v>
      </c>
      <c r="AO95" s="229">
        <v>0</v>
      </c>
      <c r="AP95" s="228">
        <v>0</v>
      </c>
      <c r="AQ95" s="228">
        <v>0</v>
      </c>
      <c r="AR95" s="228">
        <v>0</v>
      </c>
      <c r="AS95" s="228">
        <v>0</v>
      </c>
      <c r="AT95" s="228">
        <v>0</v>
      </c>
      <c r="AU95" s="228">
        <v>0</v>
      </c>
      <c r="AV95" s="229">
        <v>0</v>
      </c>
      <c r="AW95" s="228">
        <v>0</v>
      </c>
      <c r="AX95" s="228">
        <v>0</v>
      </c>
      <c r="AY95" s="228">
        <v>0</v>
      </c>
      <c r="AZ95" s="229">
        <v>0</v>
      </c>
      <c r="BA95" s="228">
        <v>0</v>
      </c>
      <c r="BB95" s="228">
        <v>0</v>
      </c>
      <c r="BC95" s="228">
        <v>0</v>
      </c>
      <c r="BD95" s="229">
        <v>0</v>
      </c>
      <c r="BE95" s="228">
        <v>0</v>
      </c>
      <c r="BF95" s="228">
        <v>0</v>
      </c>
      <c r="BG95" s="228">
        <v>0</v>
      </c>
      <c r="BH95" s="229">
        <v>0</v>
      </c>
      <c r="BI95" s="228">
        <v>0</v>
      </c>
      <c r="BJ95" s="228">
        <v>0</v>
      </c>
      <c r="BK95" s="228">
        <v>0</v>
      </c>
      <c r="BL95" s="229">
        <v>0</v>
      </c>
      <c r="BM95" s="228">
        <v>0</v>
      </c>
      <c r="BN95" s="228">
        <v>0</v>
      </c>
      <c r="BO95" s="228">
        <v>0</v>
      </c>
      <c r="BP95" s="229">
        <v>0</v>
      </c>
      <c r="BQ95" s="228">
        <v>0</v>
      </c>
      <c r="BR95" s="228">
        <v>0</v>
      </c>
      <c r="BS95" s="228">
        <v>0</v>
      </c>
      <c r="BT95" s="229">
        <v>0</v>
      </c>
      <c r="BU95" s="228">
        <v>0</v>
      </c>
      <c r="BV95" s="228">
        <v>0</v>
      </c>
      <c r="BW95" s="228">
        <v>0</v>
      </c>
      <c r="BX95" s="229">
        <v>0</v>
      </c>
      <c r="BY95" s="228">
        <v>0</v>
      </c>
      <c r="BZ95" s="228">
        <v>0</v>
      </c>
      <c r="CA95" s="228">
        <v>0</v>
      </c>
      <c r="CB95" s="229">
        <v>0</v>
      </c>
      <c r="CC95" s="228">
        <v>0</v>
      </c>
      <c r="CD95" s="228">
        <v>0</v>
      </c>
      <c r="CE95" s="228">
        <v>0</v>
      </c>
      <c r="CF95" s="229">
        <v>0</v>
      </c>
      <c r="CG95" s="228">
        <v>0</v>
      </c>
      <c r="CH95" s="228">
        <v>0</v>
      </c>
      <c r="CI95" s="228">
        <v>0</v>
      </c>
      <c r="CJ95" s="229">
        <v>0</v>
      </c>
      <c r="CK95" s="228">
        <v>0</v>
      </c>
      <c r="CL95" s="228">
        <v>0</v>
      </c>
      <c r="CM95" s="228">
        <v>0</v>
      </c>
      <c r="CN95" s="229">
        <v>0</v>
      </c>
      <c r="CO95" s="228">
        <v>0</v>
      </c>
      <c r="CP95" s="228">
        <v>0</v>
      </c>
      <c r="CQ95" s="228">
        <v>0</v>
      </c>
      <c r="CR95" s="229">
        <v>0</v>
      </c>
      <c r="CS95" s="228">
        <v>0</v>
      </c>
      <c r="CT95" s="228">
        <v>0</v>
      </c>
      <c r="CU95" s="228">
        <v>0</v>
      </c>
      <c r="CV95" s="229">
        <v>0</v>
      </c>
      <c r="CW95" s="228">
        <v>0</v>
      </c>
      <c r="CX95" s="228">
        <v>0</v>
      </c>
      <c r="CY95" s="228">
        <v>0</v>
      </c>
      <c r="CZ95" s="229">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8">
        <v>0</v>
      </c>
      <c r="DT95" s="229">
        <v>0</v>
      </c>
      <c r="DU95" s="228">
        <v>0</v>
      </c>
      <c r="DV95" s="228">
        <v>0</v>
      </c>
      <c r="DW95" s="228">
        <v>0</v>
      </c>
      <c r="DX95" s="228">
        <v>0</v>
      </c>
      <c r="DY95" s="228">
        <v>0</v>
      </c>
      <c r="DZ95" s="229">
        <v>0</v>
      </c>
      <c r="EA95" s="229">
        <v>0</v>
      </c>
      <c r="EB95" s="228">
        <v>0</v>
      </c>
      <c r="EC95" s="229">
        <v>0</v>
      </c>
      <c r="ED95" s="229">
        <v>0</v>
      </c>
      <c r="EE95" s="228">
        <v>0</v>
      </c>
      <c r="EF95" s="229">
        <v>0</v>
      </c>
      <c r="EG95" s="228">
        <v>0</v>
      </c>
      <c r="EH95" s="228">
        <v>0</v>
      </c>
      <c r="EI95" s="229">
        <v>0</v>
      </c>
      <c r="EJ95" s="229">
        <v>0</v>
      </c>
      <c r="EK95" s="228">
        <v>0</v>
      </c>
      <c r="EL95" s="228">
        <v>0</v>
      </c>
      <c r="EM95" s="228">
        <v>0</v>
      </c>
      <c r="EN95" s="228">
        <v>0</v>
      </c>
      <c r="EO95" s="228">
        <v>0</v>
      </c>
      <c r="EP95" s="228">
        <v>0</v>
      </c>
      <c r="EQ95" s="228">
        <v>0</v>
      </c>
      <c r="ER95" s="229">
        <v>0</v>
      </c>
      <c r="ES95" s="228">
        <v>0</v>
      </c>
      <c r="ET95" s="228">
        <v>0</v>
      </c>
      <c r="EU95" s="228">
        <v>0</v>
      </c>
      <c r="EV95" s="228">
        <v>0</v>
      </c>
      <c r="EW95" s="228">
        <v>0</v>
      </c>
      <c r="EX95" s="228">
        <v>0</v>
      </c>
      <c r="EY95" s="228">
        <v>0</v>
      </c>
      <c r="EZ95" s="229">
        <v>0</v>
      </c>
      <c r="FA95" s="229">
        <v>0</v>
      </c>
      <c r="FB95" s="227" t="s">
        <v>237</v>
      </c>
      <c r="FC95">
        <f t="shared" si="1"/>
        <v>0</v>
      </c>
    </row>
    <row r="96" spans="1:159" ht="17.25" thickBot="1" x14ac:dyDescent="0.3">
      <c r="A96" s="226">
        <v>45940</v>
      </c>
      <c r="B96" s="227" t="s">
        <v>215</v>
      </c>
      <c r="C96" s="227" t="s">
        <v>238</v>
      </c>
      <c r="D96" s="228">
        <v>150</v>
      </c>
      <c r="E96" s="228">
        <v>18</v>
      </c>
      <c r="F96" s="231">
        <v>5764</v>
      </c>
      <c r="G96" s="231">
        <v>5752.5</v>
      </c>
      <c r="H96" s="228">
        <v>11.5</v>
      </c>
      <c r="I96" s="229">
        <v>2E-3</v>
      </c>
      <c r="J96" s="231">
        <v>5735</v>
      </c>
      <c r="K96" s="231">
        <v>5724.5</v>
      </c>
      <c r="L96" s="228">
        <v>10.5</v>
      </c>
      <c r="M96" s="229">
        <v>1.8E-3</v>
      </c>
      <c r="N96" s="231">
        <v>5764</v>
      </c>
      <c r="O96" s="231">
        <v>5752.5</v>
      </c>
      <c r="P96" s="228">
        <v>11.5</v>
      </c>
      <c r="Q96" s="229">
        <v>2E-3</v>
      </c>
      <c r="R96" s="231">
        <v>5793.5</v>
      </c>
      <c r="S96" s="231">
        <v>5779</v>
      </c>
      <c r="T96" s="228">
        <v>14.5</v>
      </c>
      <c r="U96" s="229">
        <v>2.5000000000000001E-3</v>
      </c>
      <c r="V96" s="231">
        <v>5825.5</v>
      </c>
      <c r="W96" s="231">
        <v>5808.5</v>
      </c>
      <c r="X96" s="228">
        <v>17</v>
      </c>
      <c r="Y96" s="229">
        <v>2.8999999999999998E-3</v>
      </c>
      <c r="Z96" s="228">
        <v>29</v>
      </c>
      <c r="AA96" s="228">
        <v>28</v>
      </c>
      <c r="AB96" s="228">
        <v>1</v>
      </c>
      <c r="AC96" s="229">
        <v>5.1000000000000004E-3</v>
      </c>
      <c r="AD96" s="228">
        <v>29</v>
      </c>
      <c r="AE96" s="228">
        <v>28</v>
      </c>
      <c r="AF96" s="228">
        <v>1</v>
      </c>
      <c r="AG96" s="229">
        <v>5.1000000000000004E-3</v>
      </c>
      <c r="AH96" s="228">
        <v>58.5</v>
      </c>
      <c r="AI96" s="228">
        <v>54.5</v>
      </c>
      <c r="AJ96" s="228">
        <v>4</v>
      </c>
      <c r="AK96" s="229">
        <v>1.0200000000000001E-2</v>
      </c>
      <c r="AL96" s="228">
        <v>90.5</v>
      </c>
      <c r="AM96" s="228">
        <v>84</v>
      </c>
      <c r="AN96" s="228">
        <v>6.5</v>
      </c>
      <c r="AO96" s="229">
        <v>1.5800000000000002E-2</v>
      </c>
      <c r="AP96" s="231">
        <v>5771.75</v>
      </c>
      <c r="AQ96" s="231">
        <v>5798.03</v>
      </c>
      <c r="AR96" s="228">
        <v>0</v>
      </c>
      <c r="AS96" s="228">
        <v>438</v>
      </c>
      <c r="AT96" s="228">
        <v>672</v>
      </c>
      <c r="AU96" s="228">
        <v>-234</v>
      </c>
      <c r="AV96" s="229">
        <v>-0.34810000000000002</v>
      </c>
      <c r="AW96" s="228">
        <v>409</v>
      </c>
      <c r="AX96" s="228">
        <v>615</v>
      </c>
      <c r="AY96" s="228">
        <v>-205</v>
      </c>
      <c r="AZ96" s="229">
        <v>-0.33400000000000002</v>
      </c>
      <c r="BA96" s="228">
        <v>22</v>
      </c>
      <c r="BB96" s="228">
        <v>52</v>
      </c>
      <c r="BC96" s="228">
        <v>-30</v>
      </c>
      <c r="BD96" s="229">
        <v>-0.58099999999999996</v>
      </c>
      <c r="BE96" s="228">
        <v>7</v>
      </c>
      <c r="BF96" s="228">
        <v>5</v>
      </c>
      <c r="BG96" s="228">
        <v>1</v>
      </c>
      <c r="BH96" s="229">
        <v>0.26979999999999998</v>
      </c>
      <c r="BI96" s="230">
        <v>1515</v>
      </c>
      <c r="BJ96" s="230">
        <v>1995</v>
      </c>
      <c r="BK96" s="228">
        <v>-480</v>
      </c>
      <c r="BL96" s="229">
        <v>-0.2404</v>
      </c>
      <c r="BM96" s="228">
        <v>585</v>
      </c>
      <c r="BN96" s="228">
        <v>868</v>
      </c>
      <c r="BO96" s="228">
        <v>-284</v>
      </c>
      <c r="BP96" s="229">
        <v>-0.32650000000000001</v>
      </c>
      <c r="BQ96" s="230">
        <v>2538</v>
      </c>
      <c r="BR96" s="230">
        <v>3535</v>
      </c>
      <c r="BS96" s="228">
        <v>-997</v>
      </c>
      <c r="BT96" s="229">
        <v>-0.28199999999999997</v>
      </c>
      <c r="BU96" s="230">
        <v>430408</v>
      </c>
      <c r="BV96" s="230">
        <v>677302</v>
      </c>
      <c r="BW96" s="230">
        <v>-246894</v>
      </c>
      <c r="BX96" s="229">
        <v>-0.36449999999999999</v>
      </c>
      <c r="BY96" s="230">
        <v>4663</v>
      </c>
      <c r="BZ96" s="230">
        <v>4736</v>
      </c>
      <c r="CA96" s="228">
        <v>-73</v>
      </c>
      <c r="CB96" s="229">
        <v>-1.54E-2</v>
      </c>
      <c r="CC96" s="230">
        <v>4522</v>
      </c>
      <c r="CD96" s="230">
        <v>4602</v>
      </c>
      <c r="CE96" s="228">
        <v>-81</v>
      </c>
      <c r="CF96" s="229">
        <v>-1.7600000000000001E-2</v>
      </c>
      <c r="CG96" s="228">
        <v>125</v>
      </c>
      <c r="CH96" s="228">
        <v>122</v>
      </c>
      <c r="CI96" s="228">
        <v>3</v>
      </c>
      <c r="CJ96" s="229">
        <v>2.6200000000000001E-2</v>
      </c>
      <c r="CK96" s="228">
        <v>16</v>
      </c>
      <c r="CL96" s="228">
        <v>12</v>
      </c>
      <c r="CM96" s="228">
        <v>5</v>
      </c>
      <c r="CN96" s="229">
        <v>0.41789999999999999</v>
      </c>
      <c r="CO96" s="230">
        <v>1071</v>
      </c>
      <c r="CP96" s="230">
        <v>1034</v>
      </c>
      <c r="CQ96" s="228">
        <v>37</v>
      </c>
      <c r="CR96" s="229">
        <v>3.5400000000000001E-2</v>
      </c>
      <c r="CS96" s="228">
        <v>773</v>
      </c>
      <c r="CT96" s="228">
        <v>746</v>
      </c>
      <c r="CU96" s="228">
        <v>26</v>
      </c>
      <c r="CV96" s="229">
        <v>3.5400000000000001E-2</v>
      </c>
      <c r="CW96" s="230">
        <v>6507</v>
      </c>
      <c r="CX96" s="230">
        <v>6517</v>
      </c>
      <c r="CY96" s="228">
        <v>-10</v>
      </c>
      <c r="CZ96" s="229">
        <v>-1.5E-3</v>
      </c>
      <c r="DA96" s="228">
        <v>19.38</v>
      </c>
      <c r="DB96" s="228">
        <v>20.190000000000001</v>
      </c>
      <c r="DC96" s="228">
        <v>-0.81</v>
      </c>
      <c r="DD96" s="228">
        <v>-0.81</v>
      </c>
      <c r="DE96" s="228">
        <v>32.909999999999997</v>
      </c>
      <c r="DF96" s="228">
        <v>32.99</v>
      </c>
      <c r="DG96" s="228">
        <v>-13.53</v>
      </c>
      <c r="DH96" s="228">
        <v>-0.08</v>
      </c>
      <c r="DI96" s="228">
        <v>18.98</v>
      </c>
      <c r="DJ96" s="228">
        <v>19.850000000000001</v>
      </c>
      <c r="DK96" s="228">
        <v>-0.87</v>
      </c>
      <c r="DL96" s="228">
        <v>-0.87</v>
      </c>
      <c r="DM96" s="228">
        <v>20.420000000000002</v>
      </c>
      <c r="DN96" s="228">
        <v>20.95</v>
      </c>
      <c r="DO96" s="228">
        <v>-0.53</v>
      </c>
      <c r="DP96" s="228">
        <v>-0.53</v>
      </c>
      <c r="DQ96" s="228">
        <v>0.72</v>
      </c>
      <c r="DR96" s="228">
        <v>0.72</v>
      </c>
      <c r="DS96" s="228">
        <v>0</v>
      </c>
      <c r="DT96" s="229">
        <v>0</v>
      </c>
      <c r="DU96" s="231">
        <v>6000</v>
      </c>
      <c r="DV96" s="231">
        <v>5500</v>
      </c>
      <c r="DW96" s="228">
        <v>0.39</v>
      </c>
      <c r="DX96" s="228">
        <v>0.44</v>
      </c>
      <c r="DY96" s="228">
        <v>-0.05</v>
      </c>
      <c r="DZ96" s="229">
        <v>-0.11360000000000001</v>
      </c>
      <c r="EA96" s="229">
        <v>3.04E-2</v>
      </c>
      <c r="EB96" s="230">
        <v>231900</v>
      </c>
      <c r="EC96" s="229">
        <v>5.1000000000000004E-3</v>
      </c>
      <c r="ED96" s="229">
        <v>3.04E-2</v>
      </c>
      <c r="EE96" s="228">
        <v>26.28</v>
      </c>
      <c r="EF96" s="229">
        <v>4.5999999999999999E-3</v>
      </c>
      <c r="EG96" s="230">
        <v>253817</v>
      </c>
      <c r="EH96" s="230">
        <v>438694</v>
      </c>
      <c r="EI96" s="229">
        <v>-0.4214</v>
      </c>
      <c r="EJ96" s="229">
        <v>0.5897</v>
      </c>
      <c r="EK96" s="231">
        <v>1555.86</v>
      </c>
      <c r="EL96" s="228">
        <v>575.45000000000005</v>
      </c>
      <c r="EM96" s="228">
        <v>438.85</v>
      </c>
      <c r="EN96" s="228">
        <v>54.45</v>
      </c>
      <c r="EO96" s="231">
        <v>2570.16</v>
      </c>
      <c r="EP96" s="231">
        <v>3559.34</v>
      </c>
      <c r="EQ96" s="228">
        <v>-989.18</v>
      </c>
      <c r="ER96" s="229">
        <v>-0.27789999999999998</v>
      </c>
      <c r="ES96" s="231">
        <v>1090.5</v>
      </c>
      <c r="ET96" s="228">
        <v>753.24</v>
      </c>
      <c r="EU96" s="231">
        <v>4664.04</v>
      </c>
      <c r="EV96" s="231">
        <v>32732860</v>
      </c>
      <c r="EW96" s="231">
        <v>6507.78</v>
      </c>
      <c r="EX96" s="231">
        <v>6507.31</v>
      </c>
      <c r="EY96" s="228">
        <v>0.47</v>
      </c>
      <c r="EZ96" s="229">
        <v>1E-4</v>
      </c>
      <c r="FA96" s="229">
        <v>0.34489999999999998</v>
      </c>
      <c r="FB96" s="227" t="s">
        <v>556</v>
      </c>
      <c r="FC96">
        <f t="shared" si="1"/>
        <v>141</v>
      </c>
    </row>
    <row r="97" spans="1:159" ht="17.25" thickBot="1" x14ac:dyDescent="0.3">
      <c r="A97" s="226">
        <v>45940</v>
      </c>
      <c r="B97" s="227" t="s">
        <v>172</v>
      </c>
      <c r="C97" s="227" t="s">
        <v>239</v>
      </c>
      <c r="D97" s="228">
        <v>700</v>
      </c>
      <c r="E97" s="228">
        <v>18</v>
      </c>
      <c r="F97" s="228">
        <v>767.65</v>
      </c>
      <c r="G97" s="228">
        <v>753.5</v>
      </c>
      <c r="H97" s="228">
        <v>14.15</v>
      </c>
      <c r="I97" s="229">
        <v>1.8800000000000001E-2</v>
      </c>
      <c r="J97" s="228">
        <v>763.35</v>
      </c>
      <c r="K97" s="228">
        <v>749.15</v>
      </c>
      <c r="L97" s="228">
        <v>14.2</v>
      </c>
      <c r="M97" s="229">
        <v>1.9E-2</v>
      </c>
      <c r="N97" s="228">
        <v>767.65</v>
      </c>
      <c r="O97" s="228">
        <v>753.5</v>
      </c>
      <c r="P97" s="228">
        <v>14.15</v>
      </c>
      <c r="Q97" s="229">
        <v>1.8800000000000001E-2</v>
      </c>
      <c r="R97" s="228">
        <v>771.95</v>
      </c>
      <c r="S97" s="228">
        <v>757.4</v>
      </c>
      <c r="T97" s="228">
        <v>14.55</v>
      </c>
      <c r="U97" s="229">
        <v>1.9199999999999998E-2</v>
      </c>
      <c r="V97" s="228">
        <v>775.7</v>
      </c>
      <c r="W97" s="228">
        <v>763.15</v>
      </c>
      <c r="X97" s="228">
        <v>12.55</v>
      </c>
      <c r="Y97" s="229">
        <v>1.6400000000000001E-2</v>
      </c>
      <c r="Z97" s="228">
        <v>4.3</v>
      </c>
      <c r="AA97" s="228">
        <v>4.3499999999999996</v>
      </c>
      <c r="AB97" s="228">
        <v>-0.05</v>
      </c>
      <c r="AC97" s="229">
        <v>5.5999999999999999E-3</v>
      </c>
      <c r="AD97" s="228">
        <v>4.3</v>
      </c>
      <c r="AE97" s="228">
        <v>4.3499999999999996</v>
      </c>
      <c r="AF97" s="228">
        <v>-0.05</v>
      </c>
      <c r="AG97" s="229">
        <v>5.5999999999999999E-3</v>
      </c>
      <c r="AH97" s="228">
        <v>8.6</v>
      </c>
      <c r="AI97" s="228">
        <v>8.25</v>
      </c>
      <c r="AJ97" s="228">
        <v>0.35</v>
      </c>
      <c r="AK97" s="229">
        <v>1.1299999999999999E-2</v>
      </c>
      <c r="AL97" s="228">
        <v>12.35</v>
      </c>
      <c r="AM97" s="228">
        <v>14</v>
      </c>
      <c r="AN97" s="228">
        <v>-1.65</v>
      </c>
      <c r="AO97" s="229">
        <v>1.6199999999999999E-2</v>
      </c>
      <c r="AP97" s="228">
        <v>764.27</v>
      </c>
      <c r="AQ97" s="228">
        <v>767.31</v>
      </c>
      <c r="AR97" s="228">
        <v>0</v>
      </c>
      <c r="AS97" s="228">
        <v>770</v>
      </c>
      <c r="AT97" s="228">
        <v>518</v>
      </c>
      <c r="AU97" s="228">
        <v>252</v>
      </c>
      <c r="AV97" s="229">
        <v>0.48699999999999999</v>
      </c>
      <c r="AW97" s="228">
        <v>718</v>
      </c>
      <c r="AX97" s="228">
        <v>481</v>
      </c>
      <c r="AY97" s="228">
        <v>237</v>
      </c>
      <c r="AZ97" s="229">
        <v>0.49220000000000003</v>
      </c>
      <c r="BA97" s="228">
        <v>45</v>
      </c>
      <c r="BB97" s="228">
        <v>28</v>
      </c>
      <c r="BC97" s="228">
        <v>17</v>
      </c>
      <c r="BD97" s="229">
        <v>0.60809999999999997</v>
      </c>
      <c r="BE97" s="228">
        <v>7</v>
      </c>
      <c r="BF97" s="228">
        <v>8</v>
      </c>
      <c r="BG97" s="228">
        <v>-2</v>
      </c>
      <c r="BH97" s="229">
        <v>-0.21940000000000001</v>
      </c>
      <c r="BI97" s="230">
        <v>1883</v>
      </c>
      <c r="BJ97" s="228">
        <v>864</v>
      </c>
      <c r="BK97" s="230">
        <v>1019</v>
      </c>
      <c r="BL97" s="229">
        <v>1.179</v>
      </c>
      <c r="BM97" s="228">
        <v>817</v>
      </c>
      <c r="BN97" s="228">
        <v>504</v>
      </c>
      <c r="BO97" s="228">
        <v>312</v>
      </c>
      <c r="BP97" s="229">
        <v>0.61880000000000002</v>
      </c>
      <c r="BQ97" s="230">
        <v>3469</v>
      </c>
      <c r="BR97" s="230">
        <v>1886</v>
      </c>
      <c r="BS97" s="230">
        <v>1583</v>
      </c>
      <c r="BT97" s="229">
        <v>0.83930000000000005</v>
      </c>
      <c r="BU97" s="230">
        <v>5473184</v>
      </c>
      <c r="BV97" s="230">
        <v>3618210</v>
      </c>
      <c r="BW97" s="230">
        <v>1854974</v>
      </c>
      <c r="BX97" s="229">
        <v>0.51270000000000004</v>
      </c>
      <c r="BY97" s="230">
        <v>4125</v>
      </c>
      <c r="BZ97" s="230">
        <v>4142</v>
      </c>
      <c r="CA97" s="228">
        <v>-17</v>
      </c>
      <c r="CB97" s="229">
        <v>-4.1000000000000003E-3</v>
      </c>
      <c r="CC97" s="230">
        <v>3975</v>
      </c>
      <c r="CD97" s="230">
        <v>3998</v>
      </c>
      <c r="CE97" s="228">
        <v>-23</v>
      </c>
      <c r="CF97" s="229">
        <v>-5.5999999999999999E-3</v>
      </c>
      <c r="CG97" s="228">
        <v>141</v>
      </c>
      <c r="CH97" s="228">
        <v>137</v>
      </c>
      <c r="CI97" s="228">
        <v>4</v>
      </c>
      <c r="CJ97" s="229">
        <v>2.7799999999999998E-2</v>
      </c>
      <c r="CK97" s="228">
        <v>9</v>
      </c>
      <c r="CL97" s="228">
        <v>7</v>
      </c>
      <c r="CM97" s="228">
        <v>2</v>
      </c>
      <c r="CN97" s="229">
        <v>0.25950000000000001</v>
      </c>
      <c r="CO97" s="228">
        <v>871</v>
      </c>
      <c r="CP97" s="228">
        <v>852</v>
      </c>
      <c r="CQ97" s="228">
        <v>19</v>
      </c>
      <c r="CR97" s="229">
        <v>2.23E-2</v>
      </c>
      <c r="CS97" s="228">
        <v>887</v>
      </c>
      <c r="CT97" s="228">
        <v>876</v>
      </c>
      <c r="CU97" s="228">
        <v>10</v>
      </c>
      <c r="CV97" s="229">
        <v>1.18E-2</v>
      </c>
      <c r="CW97" s="230">
        <v>5883</v>
      </c>
      <c r="CX97" s="230">
        <v>5870</v>
      </c>
      <c r="CY97" s="228">
        <v>12</v>
      </c>
      <c r="CZ97" s="229">
        <v>2.0999999999999999E-3</v>
      </c>
      <c r="DA97" s="228">
        <v>30.07</v>
      </c>
      <c r="DB97" s="228">
        <v>29.69</v>
      </c>
      <c r="DC97" s="228">
        <v>0.38</v>
      </c>
      <c r="DD97" s="228">
        <v>0.38</v>
      </c>
      <c r="DE97" s="228">
        <v>47.6</v>
      </c>
      <c r="DF97" s="228">
        <v>47.65</v>
      </c>
      <c r="DG97" s="228">
        <v>-17.53</v>
      </c>
      <c r="DH97" s="228">
        <v>-0.05</v>
      </c>
      <c r="DI97" s="228">
        <v>29.82</v>
      </c>
      <c r="DJ97" s="228">
        <v>29.57</v>
      </c>
      <c r="DK97" s="228">
        <v>0.25</v>
      </c>
      <c r="DL97" s="228">
        <v>0.25</v>
      </c>
      <c r="DM97" s="228">
        <v>30.63</v>
      </c>
      <c r="DN97" s="228">
        <v>29.91</v>
      </c>
      <c r="DO97" s="228">
        <v>0.72</v>
      </c>
      <c r="DP97" s="228">
        <v>0.72</v>
      </c>
      <c r="DQ97" s="228">
        <v>1.02</v>
      </c>
      <c r="DR97" s="228">
        <v>1.03</v>
      </c>
      <c r="DS97" s="228">
        <v>-0.01</v>
      </c>
      <c r="DT97" s="229">
        <v>-9.7000000000000003E-3</v>
      </c>
      <c r="DU97" s="228">
        <v>800</v>
      </c>
      <c r="DV97" s="228">
        <v>700</v>
      </c>
      <c r="DW97" s="228">
        <v>0.43</v>
      </c>
      <c r="DX97" s="228">
        <v>0.57999999999999996</v>
      </c>
      <c r="DY97" s="228">
        <v>-0.15</v>
      </c>
      <c r="DZ97" s="229">
        <v>-0.2586</v>
      </c>
      <c r="EA97" s="229">
        <v>3.6400000000000002E-2</v>
      </c>
      <c r="EB97" s="230">
        <v>1881600</v>
      </c>
      <c r="EC97" s="229">
        <v>5.5999999999999999E-3</v>
      </c>
      <c r="ED97" s="229">
        <v>3.6400000000000002E-2</v>
      </c>
      <c r="EE97" s="228">
        <v>3.04</v>
      </c>
      <c r="EF97" s="229">
        <v>4.0000000000000001E-3</v>
      </c>
      <c r="EG97" s="230">
        <v>3237366</v>
      </c>
      <c r="EH97" s="230">
        <v>2192490</v>
      </c>
      <c r="EI97" s="229">
        <v>0.47660000000000002</v>
      </c>
      <c r="EJ97" s="229">
        <v>0.59150000000000003</v>
      </c>
      <c r="EK97" s="231">
        <v>1949.01</v>
      </c>
      <c r="EL97" s="228">
        <v>810.17</v>
      </c>
      <c r="EM97" s="228">
        <v>766.5</v>
      </c>
      <c r="EN97" s="228">
        <v>105.14</v>
      </c>
      <c r="EO97" s="231">
        <v>3525.68</v>
      </c>
      <c r="EP97" s="231">
        <v>1887.6</v>
      </c>
      <c r="EQ97" s="231">
        <v>1638.09</v>
      </c>
      <c r="ER97" s="229">
        <v>0.86780000000000002</v>
      </c>
      <c r="ES97" s="228">
        <v>883.53</v>
      </c>
      <c r="ET97" s="228">
        <v>852.23</v>
      </c>
      <c r="EU97" s="231">
        <v>4126.37</v>
      </c>
      <c r="EV97" s="231">
        <v>93805784</v>
      </c>
      <c r="EW97" s="231">
        <v>5862.13</v>
      </c>
      <c r="EX97" s="231">
        <v>5770.56</v>
      </c>
      <c r="EY97" s="228">
        <v>91.57</v>
      </c>
      <c r="EZ97" s="229">
        <v>1.5900000000000001E-2</v>
      </c>
      <c r="FA97" s="229">
        <v>0.81689999999999996</v>
      </c>
      <c r="FB97" s="227" t="s">
        <v>556</v>
      </c>
      <c r="FC97">
        <f t="shared" si="1"/>
        <v>150</v>
      </c>
    </row>
    <row r="98" spans="1:159" ht="17.25" thickBot="1" x14ac:dyDescent="0.3">
      <c r="A98" s="226">
        <v>45940</v>
      </c>
      <c r="B98" s="227" t="s">
        <v>188</v>
      </c>
      <c r="C98" s="227" t="s">
        <v>473</v>
      </c>
      <c r="D98" s="228">
        <v>1700</v>
      </c>
      <c r="E98" s="228">
        <v>18</v>
      </c>
      <c r="F98" s="228">
        <v>355.65</v>
      </c>
      <c r="G98" s="228">
        <v>357.2</v>
      </c>
      <c r="H98" s="228">
        <v>-1.55</v>
      </c>
      <c r="I98" s="229">
        <v>-4.3E-3</v>
      </c>
      <c r="J98" s="228">
        <v>353.7</v>
      </c>
      <c r="K98" s="228">
        <v>354.85</v>
      </c>
      <c r="L98" s="228">
        <v>-1.1499999999999999</v>
      </c>
      <c r="M98" s="229">
        <v>-3.2000000000000002E-3</v>
      </c>
      <c r="N98" s="228">
        <v>355.65</v>
      </c>
      <c r="O98" s="228">
        <v>357.2</v>
      </c>
      <c r="P98" s="228">
        <v>-1.55</v>
      </c>
      <c r="Q98" s="229">
        <v>-4.3E-3</v>
      </c>
      <c r="R98" s="228">
        <v>357.5</v>
      </c>
      <c r="S98" s="228">
        <v>358.8</v>
      </c>
      <c r="T98" s="228">
        <v>-1.3</v>
      </c>
      <c r="U98" s="229">
        <v>-3.5999999999999999E-3</v>
      </c>
      <c r="V98" s="228">
        <v>359.95</v>
      </c>
      <c r="W98" s="228">
        <v>361.05</v>
      </c>
      <c r="X98" s="228">
        <v>-1.1000000000000001</v>
      </c>
      <c r="Y98" s="229">
        <v>-3.0000000000000001E-3</v>
      </c>
      <c r="Z98" s="228">
        <v>1.95</v>
      </c>
      <c r="AA98" s="228">
        <v>2.35</v>
      </c>
      <c r="AB98" s="228">
        <v>-0.4</v>
      </c>
      <c r="AC98" s="229">
        <v>5.4999999999999997E-3</v>
      </c>
      <c r="AD98" s="228">
        <v>1.95</v>
      </c>
      <c r="AE98" s="228">
        <v>2.35</v>
      </c>
      <c r="AF98" s="228">
        <v>-0.4</v>
      </c>
      <c r="AG98" s="229">
        <v>5.4999999999999997E-3</v>
      </c>
      <c r="AH98" s="228">
        <v>3.8</v>
      </c>
      <c r="AI98" s="228">
        <v>3.95</v>
      </c>
      <c r="AJ98" s="228">
        <v>-0.15</v>
      </c>
      <c r="AK98" s="229">
        <v>1.0699999999999999E-2</v>
      </c>
      <c r="AL98" s="228">
        <v>6.25</v>
      </c>
      <c r="AM98" s="228">
        <v>6.2</v>
      </c>
      <c r="AN98" s="228">
        <v>0.05</v>
      </c>
      <c r="AO98" s="229">
        <v>1.77E-2</v>
      </c>
      <c r="AP98" s="228">
        <v>357.14</v>
      </c>
      <c r="AQ98" s="228">
        <v>359.13</v>
      </c>
      <c r="AR98" s="228">
        <v>0</v>
      </c>
      <c r="AS98" s="228">
        <v>316</v>
      </c>
      <c r="AT98" s="228">
        <v>280</v>
      </c>
      <c r="AU98" s="228">
        <v>36</v>
      </c>
      <c r="AV98" s="229">
        <v>0.128</v>
      </c>
      <c r="AW98" s="228">
        <v>305</v>
      </c>
      <c r="AX98" s="228">
        <v>257</v>
      </c>
      <c r="AY98" s="228">
        <v>47</v>
      </c>
      <c r="AZ98" s="229">
        <v>0.184</v>
      </c>
      <c r="BA98" s="228">
        <v>11</v>
      </c>
      <c r="BB98" s="228">
        <v>22</v>
      </c>
      <c r="BC98" s="228">
        <v>-11</v>
      </c>
      <c r="BD98" s="229">
        <v>-0.5</v>
      </c>
      <c r="BE98" s="228">
        <v>1</v>
      </c>
      <c r="BF98" s="228">
        <v>1</v>
      </c>
      <c r="BG98" s="228">
        <v>0</v>
      </c>
      <c r="BH98" s="229">
        <v>-0.3125</v>
      </c>
      <c r="BI98" s="228">
        <v>783</v>
      </c>
      <c r="BJ98" s="228">
        <v>447</v>
      </c>
      <c r="BK98" s="228">
        <v>337</v>
      </c>
      <c r="BL98" s="229">
        <v>0.75409999999999999</v>
      </c>
      <c r="BM98" s="228">
        <v>289</v>
      </c>
      <c r="BN98" s="228">
        <v>279</v>
      </c>
      <c r="BO98" s="228">
        <v>9</v>
      </c>
      <c r="BP98" s="229">
        <v>3.3300000000000003E-2</v>
      </c>
      <c r="BQ98" s="230">
        <v>1388</v>
      </c>
      <c r="BR98" s="230">
        <v>1006</v>
      </c>
      <c r="BS98" s="228">
        <v>382</v>
      </c>
      <c r="BT98" s="229">
        <v>0.37959999999999999</v>
      </c>
      <c r="BU98" s="230">
        <v>5107578</v>
      </c>
      <c r="BV98" s="230">
        <v>4514550</v>
      </c>
      <c r="BW98" s="230">
        <v>593028</v>
      </c>
      <c r="BX98" s="229">
        <v>0.13139999999999999</v>
      </c>
      <c r="BY98" s="230">
        <v>3157</v>
      </c>
      <c r="BZ98" s="230">
        <v>3139</v>
      </c>
      <c r="CA98" s="228">
        <v>19</v>
      </c>
      <c r="CB98" s="229">
        <v>6.0000000000000001E-3</v>
      </c>
      <c r="CC98" s="230">
        <v>3089</v>
      </c>
      <c r="CD98" s="230">
        <v>3074</v>
      </c>
      <c r="CE98" s="228">
        <v>15</v>
      </c>
      <c r="CF98" s="229">
        <v>5.0000000000000001E-3</v>
      </c>
      <c r="CG98" s="228">
        <v>66</v>
      </c>
      <c r="CH98" s="228">
        <v>63</v>
      </c>
      <c r="CI98" s="228">
        <v>3</v>
      </c>
      <c r="CJ98" s="229">
        <v>5.0900000000000001E-2</v>
      </c>
      <c r="CK98" s="228">
        <v>2</v>
      </c>
      <c r="CL98" s="228">
        <v>2</v>
      </c>
      <c r="CM98" s="228">
        <v>0</v>
      </c>
      <c r="CN98" s="229">
        <v>0.1212</v>
      </c>
      <c r="CO98" s="228">
        <v>823</v>
      </c>
      <c r="CP98" s="228">
        <v>657</v>
      </c>
      <c r="CQ98" s="228">
        <v>166</v>
      </c>
      <c r="CR98" s="229">
        <v>0.25219999999999998</v>
      </c>
      <c r="CS98" s="228">
        <v>475</v>
      </c>
      <c r="CT98" s="228">
        <v>453</v>
      </c>
      <c r="CU98" s="228">
        <v>22</v>
      </c>
      <c r="CV98" s="229">
        <v>4.8399999999999999E-2</v>
      </c>
      <c r="CW98" s="230">
        <v>4455</v>
      </c>
      <c r="CX98" s="230">
        <v>4249</v>
      </c>
      <c r="CY98" s="228">
        <v>206</v>
      </c>
      <c r="CZ98" s="229">
        <v>4.8599999999999997E-2</v>
      </c>
      <c r="DA98" s="228">
        <v>32.94</v>
      </c>
      <c r="DB98" s="228">
        <v>31.36</v>
      </c>
      <c r="DC98" s="228">
        <v>1.58</v>
      </c>
      <c r="DD98" s="228">
        <v>1.58</v>
      </c>
      <c r="DE98" s="228">
        <v>39.86</v>
      </c>
      <c r="DF98" s="228">
        <v>39.950000000000003</v>
      </c>
      <c r="DG98" s="228">
        <v>-6.92</v>
      </c>
      <c r="DH98" s="228">
        <v>-0.09</v>
      </c>
      <c r="DI98" s="228">
        <v>33.01</v>
      </c>
      <c r="DJ98" s="228">
        <v>31.22</v>
      </c>
      <c r="DK98" s="228">
        <v>1.79</v>
      </c>
      <c r="DL98" s="228">
        <v>1.79</v>
      </c>
      <c r="DM98" s="228">
        <v>32.75</v>
      </c>
      <c r="DN98" s="228">
        <v>31.59</v>
      </c>
      <c r="DO98" s="228">
        <v>1.1599999999999999</v>
      </c>
      <c r="DP98" s="228">
        <v>1.1599999999999999</v>
      </c>
      <c r="DQ98" s="228">
        <v>0.57999999999999996</v>
      </c>
      <c r="DR98" s="228">
        <v>0.69</v>
      </c>
      <c r="DS98" s="228">
        <v>-0.11</v>
      </c>
      <c r="DT98" s="229">
        <v>-0.15939999999999999</v>
      </c>
      <c r="DU98" s="228">
        <v>360</v>
      </c>
      <c r="DV98" s="228">
        <v>350</v>
      </c>
      <c r="DW98" s="228">
        <v>0.37</v>
      </c>
      <c r="DX98" s="228">
        <v>0.63</v>
      </c>
      <c r="DY98" s="228">
        <v>-0.26</v>
      </c>
      <c r="DZ98" s="229">
        <v>-0.41270000000000001</v>
      </c>
      <c r="EA98" s="229">
        <v>2.1700000000000001E-2</v>
      </c>
      <c r="EB98" s="230">
        <v>1825800</v>
      </c>
      <c r="EC98" s="229">
        <v>5.1999999999999998E-3</v>
      </c>
      <c r="ED98" s="229">
        <v>2.1700000000000001E-2</v>
      </c>
      <c r="EE98" s="228">
        <v>1.99</v>
      </c>
      <c r="EF98" s="229">
        <v>5.5999999999999999E-3</v>
      </c>
      <c r="EG98" s="230">
        <v>3346332</v>
      </c>
      <c r="EH98" s="230">
        <v>2802439</v>
      </c>
      <c r="EI98" s="229">
        <v>0.19409999999999999</v>
      </c>
      <c r="EJ98" s="229">
        <v>0.6552</v>
      </c>
      <c r="EK98" s="228">
        <v>823.64</v>
      </c>
      <c r="EL98" s="228">
        <v>289.57</v>
      </c>
      <c r="EM98" s="228">
        <v>317.79000000000002</v>
      </c>
      <c r="EN98" s="228">
        <v>52.08</v>
      </c>
      <c r="EO98" s="231">
        <v>1431</v>
      </c>
      <c r="EP98" s="231">
        <v>1027.3599999999999</v>
      </c>
      <c r="EQ98" s="228">
        <v>403.64</v>
      </c>
      <c r="ER98" s="229">
        <v>0.39290000000000003</v>
      </c>
      <c r="ES98" s="228">
        <v>857.28</v>
      </c>
      <c r="ET98" s="228">
        <v>461.84</v>
      </c>
      <c r="EU98" s="231">
        <v>3157.62</v>
      </c>
      <c r="EV98" s="231">
        <v>197705578</v>
      </c>
      <c r="EW98" s="231">
        <v>4476.74</v>
      </c>
      <c r="EX98" s="231">
        <v>4279.95</v>
      </c>
      <c r="EY98" s="228">
        <v>196.79</v>
      </c>
      <c r="EZ98" s="229">
        <v>4.5999999999999999E-2</v>
      </c>
      <c r="FA98" s="229">
        <v>0.63360000000000005</v>
      </c>
      <c r="FB98" s="227" t="s">
        <v>567</v>
      </c>
      <c r="FC98">
        <f t="shared" si="1"/>
        <v>68</v>
      </c>
    </row>
    <row r="99" spans="1:159" ht="17.25" thickBot="1" x14ac:dyDescent="0.3">
      <c r="A99" s="226">
        <v>45940</v>
      </c>
      <c r="B99" s="227" t="s">
        <v>221</v>
      </c>
      <c r="C99" s="227" t="s">
        <v>240</v>
      </c>
      <c r="D99" s="228">
        <v>400</v>
      </c>
      <c r="E99" s="228">
        <v>18</v>
      </c>
      <c r="F99" s="231">
        <v>1508.2</v>
      </c>
      <c r="G99" s="231">
        <v>1506.6</v>
      </c>
      <c r="H99" s="228">
        <v>1.6</v>
      </c>
      <c r="I99" s="229">
        <v>1.1000000000000001E-3</v>
      </c>
      <c r="J99" s="231">
        <v>1514.9</v>
      </c>
      <c r="K99" s="231">
        <v>1509.3</v>
      </c>
      <c r="L99" s="228">
        <v>5.6</v>
      </c>
      <c r="M99" s="229">
        <v>3.7000000000000002E-3</v>
      </c>
      <c r="N99" s="231">
        <v>1508.2</v>
      </c>
      <c r="O99" s="231">
        <v>1506.6</v>
      </c>
      <c r="P99" s="228">
        <v>1.6</v>
      </c>
      <c r="Q99" s="229">
        <v>1.1000000000000001E-3</v>
      </c>
      <c r="R99" s="231">
        <v>1500.5</v>
      </c>
      <c r="S99" s="231">
        <v>1496.4</v>
      </c>
      <c r="T99" s="228">
        <v>4.0999999999999996</v>
      </c>
      <c r="U99" s="229">
        <v>2.7000000000000001E-3</v>
      </c>
      <c r="V99" s="231">
        <v>1505.9</v>
      </c>
      <c r="W99" s="231">
        <v>1501.9</v>
      </c>
      <c r="X99" s="228">
        <v>4</v>
      </c>
      <c r="Y99" s="229">
        <v>2.7000000000000001E-3</v>
      </c>
      <c r="Z99" s="228">
        <v>-6.7</v>
      </c>
      <c r="AA99" s="228">
        <v>-2.7</v>
      </c>
      <c r="AB99" s="228">
        <v>-4</v>
      </c>
      <c r="AC99" s="229">
        <v>-4.4000000000000003E-3</v>
      </c>
      <c r="AD99" s="228">
        <v>-6.7</v>
      </c>
      <c r="AE99" s="228">
        <v>-2.7</v>
      </c>
      <c r="AF99" s="228">
        <v>-4</v>
      </c>
      <c r="AG99" s="229">
        <v>-4.4000000000000003E-3</v>
      </c>
      <c r="AH99" s="228">
        <v>-14.4</v>
      </c>
      <c r="AI99" s="228">
        <v>-12.9</v>
      </c>
      <c r="AJ99" s="228">
        <v>-1.5</v>
      </c>
      <c r="AK99" s="229">
        <v>-9.4999999999999998E-3</v>
      </c>
      <c r="AL99" s="228">
        <v>-9</v>
      </c>
      <c r="AM99" s="228">
        <v>-7.4</v>
      </c>
      <c r="AN99" s="228">
        <v>-1.6</v>
      </c>
      <c r="AO99" s="229">
        <v>-5.8999999999999999E-3</v>
      </c>
      <c r="AP99" s="231">
        <v>1507.21</v>
      </c>
      <c r="AQ99" s="231">
        <v>1499.43</v>
      </c>
      <c r="AR99" s="228">
        <v>0</v>
      </c>
      <c r="AS99" s="230">
        <v>1614</v>
      </c>
      <c r="AT99" s="230">
        <v>1985</v>
      </c>
      <c r="AU99" s="228">
        <v>-371</v>
      </c>
      <c r="AV99" s="229">
        <v>-0.1867</v>
      </c>
      <c r="AW99" s="230">
        <v>1468</v>
      </c>
      <c r="AX99" s="230">
        <v>1841</v>
      </c>
      <c r="AY99" s="228">
        <v>-373</v>
      </c>
      <c r="AZ99" s="229">
        <v>-0.2024</v>
      </c>
      <c r="BA99" s="228">
        <v>122</v>
      </c>
      <c r="BB99" s="228">
        <v>133</v>
      </c>
      <c r="BC99" s="228">
        <v>-11</v>
      </c>
      <c r="BD99" s="229">
        <v>-8.5999999999999993E-2</v>
      </c>
      <c r="BE99" s="228">
        <v>24</v>
      </c>
      <c r="BF99" s="228">
        <v>11</v>
      </c>
      <c r="BG99" s="228">
        <v>13</v>
      </c>
      <c r="BH99" s="229">
        <v>1.2333000000000001</v>
      </c>
      <c r="BI99" s="230">
        <v>4073</v>
      </c>
      <c r="BJ99" s="230">
        <v>6108</v>
      </c>
      <c r="BK99" s="230">
        <v>-2036</v>
      </c>
      <c r="BL99" s="229">
        <v>-0.33329999999999999</v>
      </c>
      <c r="BM99" s="230">
        <v>2669</v>
      </c>
      <c r="BN99" s="230">
        <v>3667</v>
      </c>
      <c r="BO99" s="228">
        <v>-998</v>
      </c>
      <c r="BP99" s="229">
        <v>-0.27210000000000001</v>
      </c>
      <c r="BQ99" s="230">
        <v>8356</v>
      </c>
      <c r="BR99" s="230">
        <v>11760</v>
      </c>
      <c r="BS99" s="230">
        <v>-3404</v>
      </c>
      <c r="BT99" s="229">
        <v>-0.28949999999999998</v>
      </c>
      <c r="BU99" s="230">
        <v>3941834</v>
      </c>
      <c r="BV99" s="230">
        <v>7610404</v>
      </c>
      <c r="BW99" s="230">
        <v>-3668570</v>
      </c>
      <c r="BX99" s="229">
        <v>-0.48199999999999998</v>
      </c>
      <c r="BY99" s="230">
        <v>8967</v>
      </c>
      <c r="BZ99" s="230">
        <v>9219</v>
      </c>
      <c r="CA99" s="228">
        <v>-252</v>
      </c>
      <c r="CB99" s="229">
        <v>-2.7300000000000001E-2</v>
      </c>
      <c r="CC99" s="230">
        <v>5943</v>
      </c>
      <c r="CD99" s="230">
        <v>6182</v>
      </c>
      <c r="CE99" s="228">
        <v>-239</v>
      </c>
      <c r="CF99" s="229">
        <v>-3.8600000000000002E-2</v>
      </c>
      <c r="CG99" s="230">
        <v>2988</v>
      </c>
      <c r="CH99" s="230">
        <v>3016</v>
      </c>
      <c r="CI99" s="228">
        <v>-29</v>
      </c>
      <c r="CJ99" s="229">
        <v>-9.4999999999999998E-3</v>
      </c>
      <c r="CK99" s="228">
        <v>36</v>
      </c>
      <c r="CL99" s="228">
        <v>20</v>
      </c>
      <c r="CM99" s="228">
        <v>16</v>
      </c>
      <c r="CN99" s="229">
        <v>0.77290000000000003</v>
      </c>
      <c r="CO99" s="230">
        <v>2868</v>
      </c>
      <c r="CP99" s="230">
        <v>2844</v>
      </c>
      <c r="CQ99" s="228">
        <v>24</v>
      </c>
      <c r="CR99" s="229">
        <v>8.3999999999999995E-3</v>
      </c>
      <c r="CS99" s="230">
        <v>2425</v>
      </c>
      <c r="CT99" s="230">
        <v>2479</v>
      </c>
      <c r="CU99" s="228">
        <v>-54</v>
      </c>
      <c r="CV99" s="229">
        <v>-2.1700000000000001E-2</v>
      </c>
      <c r="CW99" s="230">
        <v>14260</v>
      </c>
      <c r="CX99" s="230">
        <v>14542</v>
      </c>
      <c r="CY99" s="228">
        <v>-281</v>
      </c>
      <c r="CZ99" s="229">
        <v>-1.9300000000000001E-2</v>
      </c>
      <c r="DA99" s="228">
        <v>27.15</v>
      </c>
      <c r="DB99" s="228">
        <v>28.85</v>
      </c>
      <c r="DC99" s="228">
        <v>-1.7</v>
      </c>
      <c r="DD99" s="228">
        <v>-1.7</v>
      </c>
      <c r="DE99" s="228">
        <v>29.48</v>
      </c>
      <c r="DF99" s="228">
        <v>29.55</v>
      </c>
      <c r="DG99" s="228">
        <v>-2.33</v>
      </c>
      <c r="DH99" s="228">
        <v>-7.0000000000000007E-2</v>
      </c>
      <c r="DI99" s="228">
        <v>26.59</v>
      </c>
      <c r="DJ99" s="228">
        <v>28.27</v>
      </c>
      <c r="DK99" s="228">
        <v>-1.68</v>
      </c>
      <c r="DL99" s="228">
        <v>-1.68</v>
      </c>
      <c r="DM99" s="228">
        <v>28</v>
      </c>
      <c r="DN99" s="228">
        <v>29.81</v>
      </c>
      <c r="DO99" s="228">
        <v>-1.81</v>
      </c>
      <c r="DP99" s="228">
        <v>-1.81</v>
      </c>
      <c r="DQ99" s="228">
        <v>0.85</v>
      </c>
      <c r="DR99" s="228">
        <v>0.87</v>
      </c>
      <c r="DS99" s="228">
        <v>-0.02</v>
      </c>
      <c r="DT99" s="229">
        <v>-2.3E-2</v>
      </c>
      <c r="DU99" s="231">
        <v>1500</v>
      </c>
      <c r="DV99" s="231">
        <v>1500</v>
      </c>
      <c r="DW99" s="228">
        <v>0.66</v>
      </c>
      <c r="DX99" s="228">
        <v>0.6</v>
      </c>
      <c r="DY99" s="228">
        <v>0.06</v>
      </c>
      <c r="DZ99" s="229">
        <v>0.1</v>
      </c>
      <c r="EA99" s="229">
        <v>0.3372</v>
      </c>
      <c r="EB99" s="230">
        <v>20136000</v>
      </c>
      <c r="EC99" s="229">
        <v>-5.1000000000000004E-3</v>
      </c>
      <c r="ED99" s="229">
        <v>0.3372</v>
      </c>
      <c r="EE99" s="228">
        <v>-7.78</v>
      </c>
      <c r="EF99" s="229">
        <v>-5.1999999999999998E-3</v>
      </c>
      <c r="EG99" s="230">
        <v>1819651</v>
      </c>
      <c r="EH99" s="230">
        <v>3339752</v>
      </c>
      <c r="EI99" s="229">
        <v>-0.45519999999999999</v>
      </c>
      <c r="EJ99" s="229">
        <v>0.46160000000000001</v>
      </c>
      <c r="EK99" s="231">
        <v>4246.2299999999996</v>
      </c>
      <c r="EL99" s="231">
        <v>2627.55</v>
      </c>
      <c r="EM99" s="231">
        <v>1612.54</v>
      </c>
      <c r="EN99" s="228">
        <v>289.87</v>
      </c>
      <c r="EO99" s="231">
        <v>8486.32</v>
      </c>
      <c r="EP99" s="231">
        <v>11895.4</v>
      </c>
      <c r="EQ99" s="231">
        <v>-3409.09</v>
      </c>
      <c r="ER99" s="229">
        <v>-0.28660000000000002</v>
      </c>
      <c r="ES99" s="231">
        <v>2930.2</v>
      </c>
      <c r="ET99" s="231">
        <v>2309.7199999999998</v>
      </c>
      <c r="EU99" s="231">
        <v>8952.0300000000007</v>
      </c>
      <c r="EV99" s="231">
        <v>341789333</v>
      </c>
      <c r="EW99" s="231">
        <v>14191.95</v>
      </c>
      <c r="EX99" s="231">
        <v>14448.52</v>
      </c>
      <c r="EY99" s="228">
        <v>-256.57</v>
      </c>
      <c r="EZ99" s="229">
        <v>-1.78E-2</v>
      </c>
      <c r="FA99" s="229">
        <v>0.27660000000000001</v>
      </c>
      <c r="FB99" s="227" t="s">
        <v>556</v>
      </c>
      <c r="FC99">
        <f t="shared" si="1"/>
        <v>3024</v>
      </c>
    </row>
    <row r="100" spans="1:159" ht="17.25" thickBot="1" x14ac:dyDescent="0.3">
      <c r="A100" s="226">
        <v>45940</v>
      </c>
      <c r="B100" s="227" t="s">
        <v>161</v>
      </c>
      <c r="C100" s="227" t="s">
        <v>671</v>
      </c>
      <c r="D100" s="228">
        <v>3272</v>
      </c>
      <c r="E100" s="228">
        <v>18</v>
      </c>
      <c r="F100" s="228">
        <v>150.93</v>
      </c>
      <c r="G100" s="228">
        <v>147.86000000000001</v>
      </c>
      <c r="H100" s="228">
        <v>3.07</v>
      </c>
      <c r="I100" s="229">
        <v>2.0799999999999999E-2</v>
      </c>
      <c r="J100" s="228">
        <v>150.08000000000001</v>
      </c>
      <c r="K100" s="228">
        <v>146.99</v>
      </c>
      <c r="L100" s="228">
        <v>3.09</v>
      </c>
      <c r="M100" s="229">
        <v>2.1000000000000001E-2</v>
      </c>
      <c r="N100" s="228">
        <v>150.93</v>
      </c>
      <c r="O100" s="228">
        <v>147.86000000000001</v>
      </c>
      <c r="P100" s="228">
        <v>3.07</v>
      </c>
      <c r="Q100" s="229">
        <v>2.0799999999999999E-2</v>
      </c>
      <c r="R100" s="228">
        <v>151.88</v>
      </c>
      <c r="S100" s="228">
        <v>148.66999999999999</v>
      </c>
      <c r="T100" s="228">
        <v>3.21</v>
      </c>
      <c r="U100" s="229">
        <v>2.1600000000000001E-2</v>
      </c>
      <c r="V100" s="228">
        <v>152.84</v>
      </c>
      <c r="W100" s="228">
        <v>149.18</v>
      </c>
      <c r="X100" s="228">
        <v>3.66</v>
      </c>
      <c r="Y100" s="229">
        <v>2.4500000000000001E-2</v>
      </c>
      <c r="Z100" s="228">
        <v>0.85</v>
      </c>
      <c r="AA100" s="228">
        <v>0.87</v>
      </c>
      <c r="AB100" s="228">
        <v>-0.02</v>
      </c>
      <c r="AC100" s="229">
        <v>5.7000000000000002E-3</v>
      </c>
      <c r="AD100" s="228">
        <v>0.85</v>
      </c>
      <c r="AE100" s="228">
        <v>0.87</v>
      </c>
      <c r="AF100" s="228">
        <v>-0.02</v>
      </c>
      <c r="AG100" s="229">
        <v>5.7000000000000002E-3</v>
      </c>
      <c r="AH100" s="228">
        <v>1.8</v>
      </c>
      <c r="AI100" s="228">
        <v>1.68</v>
      </c>
      <c r="AJ100" s="228">
        <v>0.12</v>
      </c>
      <c r="AK100" s="229">
        <v>1.2E-2</v>
      </c>
      <c r="AL100" s="228">
        <v>2.76</v>
      </c>
      <c r="AM100" s="228">
        <v>2.19</v>
      </c>
      <c r="AN100" s="228">
        <v>0.56999999999999995</v>
      </c>
      <c r="AO100" s="229">
        <v>1.84E-2</v>
      </c>
      <c r="AP100" s="228">
        <v>151.21</v>
      </c>
      <c r="AQ100" s="228">
        <v>152</v>
      </c>
      <c r="AR100" s="228">
        <v>0</v>
      </c>
      <c r="AS100" s="228">
        <v>203</v>
      </c>
      <c r="AT100" s="228">
        <v>233</v>
      </c>
      <c r="AU100" s="228">
        <v>-30</v>
      </c>
      <c r="AV100" s="229">
        <v>-0.12759999999999999</v>
      </c>
      <c r="AW100" s="228">
        <v>186</v>
      </c>
      <c r="AX100" s="228">
        <v>213</v>
      </c>
      <c r="AY100" s="228">
        <v>-27</v>
      </c>
      <c r="AZ100" s="229">
        <v>-0.125</v>
      </c>
      <c r="BA100" s="228">
        <v>15</v>
      </c>
      <c r="BB100" s="228">
        <v>18</v>
      </c>
      <c r="BC100" s="228">
        <v>-2</v>
      </c>
      <c r="BD100" s="229">
        <v>-0.13769999999999999</v>
      </c>
      <c r="BE100" s="228">
        <v>1</v>
      </c>
      <c r="BF100" s="228">
        <v>2</v>
      </c>
      <c r="BG100" s="228">
        <v>-1</v>
      </c>
      <c r="BH100" s="229">
        <v>-0.33329999999999999</v>
      </c>
      <c r="BI100" s="228">
        <v>773</v>
      </c>
      <c r="BJ100" s="228">
        <v>546</v>
      </c>
      <c r="BK100" s="228">
        <v>227</v>
      </c>
      <c r="BL100" s="229">
        <v>0.41689999999999999</v>
      </c>
      <c r="BM100" s="228">
        <v>247</v>
      </c>
      <c r="BN100" s="228">
        <v>193</v>
      </c>
      <c r="BO100" s="228">
        <v>54</v>
      </c>
      <c r="BP100" s="229">
        <v>0.27700000000000002</v>
      </c>
      <c r="BQ100" s="230">
        <v>1223</v>
      </c>
      <c r="BR100" s="228">
        <v>971</v>
      </c>
      <c r="BS100" s="228">
        <v>251</v>
      </c>
      <c r="BT100" s="229">
        <v>0.25869999999999999</v>
      </c>
      <c r="BU100" s="230">
        <v>10923362</v>
      </c>
      <c r="BV100" s="230">
        <v>12788851</v>
      </c>
      <c r="BW100" s="230">
        <v>-1865489</v>
      </c>
      <c r="BX100" s="229">
        <v>-0.1459</v>
      </c>
      <c r="BY100" s="228">
        <v>678</v>
      </c>
      <c r="BZ100" s="228">
        <v>708</v>
      </c>
      <c r="CA100" s="228">
        <v>-30</v>
      </c>
      <c r="CB100" s="229">
        <v>-4.2299999999999997E-2</v>
      </c>
      <c r="CC100" s="228">
        <v>651</v>
      </c>
      <c r="CD100" s="228">
        <v>683</v>
      </c>
      <c r="CE100" s="228">
        <v>-32</v>
      </c>
      <c r="CF100" s="229">
        <v>-4.6100000000000002E-2</v>
      </c>
      <c r="CG100" s="228">
        <v>24</v>
      </c>
      <c r="CH100" s="228">
        <v>23</v>
      </c>
      <c r="CI100" s="228">
        <v>1</v>
      </c>
      <c r="CJ100" s="229">
        <v>4.5600000000000002E-2</v>
      </c>
      <c r="CK100" s="228">
        <v>2</v>
      </c>
      <c r="CL100" s="228">
        <v>2</v>
      </c>
      <c r="CM100" s="228">
        <v>1</v>
      </c>
      <c r="CN100" s="229">
        <v>0.28949999999999998</v>
      </c>
      <c r="CO100" s="228">
        <v>244</v>
      </c>
      <c r="CP100" s="228">
        <v>219</v>
      </c>
      <c r="CQ100" s="228">
        <v>25</v>
      </c>
      <c r="CR100" s="229">
        <v>0.1142</v>
      </c>
      <c r="CS100" s="228">
        <v>144</v>
      </c>
      <c r="CT100" s="228">
        <v>129</v>
      </c>
      <c r="CU100" s="228">
        <v>14</v>
      </c>
      <c r="CV100" s="229">
        <v>0.11169999999999999</v>
      </c>
      <c r="CW100" s="230">
        <v>1065</v>
      </c>
      <c r="CX100" s="230">
        <v>1056</v>
      </c>
      <c r="CY100" s="228">
        <v>10</v>
      </c>
      <c r="CZ100" s="229">
        <v>8.9999999999999993E-3</v>
      </c>
      <c r="DA100" s="228">
        <v>33.69</v>
      </c>
      <c r="DB100" s="228">
        <v>34.4</v>
      </c>
      <c r="DC100" s="228">
        <v>-0.71</v>
      </c>
      <c r="DD100" s="228">
        <v>-0.71</v>
      </c>
      <c r="DE100" s="228">
        <v>57.26</v>
      </c>
      <c r="DF100" s="228">
        <v>57.34</v>
      </c>
      <c r="DG100" s="228">
        <v>-23.57</v>
      </c>
      <c r="DH100" s="228">
        <v>-0.08</v>
      </c>
      <c r="DI100" s="228">
        <v>33.83</v>
      </c>
      <c r="DJ100" s="228">
        <v>34.1</v>
      </c>
      <c r="DK100" s="228">
        <v>-0.27</v>
      </c>
      <c r="DL100" s="228">
        <v>-0.27</v>
      </c>
      <c r="DM100" s="228">
        <v>33.24</v>
      </c>
      <c r="DN100" s="228">
        <v>35.24</v>
      </c>
      <c r="DO100" s="228">
        <v>-2</v>
      </c>
      <c r="DP100" s="228">
        <v>-2</v>
      </c>
      <c r="DQ100" s="228">
        <v>0.59</v>
      </c>
      <c r="DR100" s="228">
        <v>0.59</v>
      </c>
      <c r="DS100" s="228">
        <v>0</v>
      </c>
      <c r="DT100" s="229">
        <v>0</v>
      </c>
      <c r="DU100" s="228">
        <v>150</v>
      </c>
      <c r="DV100" s="228">
        <v>140</v>
      </c>
      <c r="DW100" s="228">
        <v>0.32</v>
      </c>
      <c r="DX100" s="228">
        <v>0.35</v>
      </c>
      <c r="DY100" s="228">
        <v>-0.03</v>
      </c>
      <c r="DZ100" s="229">
        <v>-8.5699999999999998E-2</v>
      </c>
      <c r="EA100" s="229">
        <v>3.8699999999999998E-2</v>
      </c>
      <c r="EB100" s="230">
        <v>1632728</v>
      </c>
      <c r="EC100" s="229">
        <v>6.3E-3</v>
      </c>
      <c r="ED100" s="229">
        <v>3.8699999999999998E-2</v>
      </c>
      <c r="EE100" s="228">
        <v>0.79</v>
      </c>
      <c r="EF100" s="229">
        <v>5.1999999999999998E-3</v>
      </c>
      <c r="EG100" s="230">
        <v>3473206</v>
      </c>
      <c r="EH100" s="230">
        <v>4031751</v>
      </c>
      <c r="EI100" s="229">
        <v>-0.13850000000000001</v>
      </c>
      <c r="EJ100" s="229">
        <v>0.318</v>
      </c>
      <c r="EK100" s="228">
        <v>818.44</v>
      </c>
      <c r="EL100" s="228">
        <v>240.93</v>
      </c>
      <c r="EM100" s="228">
        <v>203.44</v>
      </c>
      <c r="EN100" s="228">
        <v>24.08</v>
      </c>
      <c r="EO100" s="231">
        <v>1262.81</v>
      </c>
      <c r="EP100" s="228">
        <v>964.61</v>
      </c>
      <c r="EQ100" s="228">
        <v>298.2</v>
      </c>
      <c r="ER100" s="229">
        <v>0.30909999999999999</v>
      </c>
      <c r="ES100" s="228">
        <v>251.85</v>
      </c>
      <c r="ET100" s="228">
        <v>135.13999999999999</v>
      </c>
      <c r="EU100" s="228">
        <v>677.83</v>
      </c>
      <c r="EV100" s="231">
        <v>144708707</v>
      </c>
      <c r="EW100" s="231">
        <v>1064.82</v>
      </c>
      <c r="EX100" s="231">
        <v>1036.4100000000001</v>
      </c>
      <c r="EY100" s="228">
        <v>28.41</v>
      </c>
      <c r="EZ100" s="229">
        <v>2.7400000000000001E-2</v>
      </c>
      <c r="FA100" s="229">
        <v>0.48780000000000001</v>
      </c>
      <c r="FB100" s="227" t="s">
        <v>556</v>
      </c>
      <c r="FC100">
        <f t="shared" si="1"/>
        <v>27</v>
      </c>
    </row>
    <row r="101" spans="1:159" ht="17.25" thickBot="1" x14ac:dyDescent="0.3">
      <c r="A101" s="226">
        <v>45940</v>
      </c>
      <c r="B101" s="227" t="s">
        <v>193</v>
      </c>
      <c r="C101" s="227" t="s">
        <v>241</v>
      </c>
      <c r="D101" s="228">
        <v>4875</v>
      </c>
      <c r="E101" s="228">
        <v>18</v>
      </c>
      <c r="F101" s="228">
        <v>154.69999999999999</v>
      </c>
      <c r="G101" s="228">
        <v>156.09</v>
      </c>
      <c r="H101" s="228">
        <v>-1.39</v>
      </c>
      <c r="I101" s="229">
        <v>-8.8999999999999999E-3</v>
      </c>
      <c r="J101" s="228">
        <v>154.11000000000001</v>
      </c>
      <c r="K101" s="228">
        <v>155.25</v>
      </c>
      <c r="L101" s="228">
        <v>-1.1399999999999999</v>
      </c>
      <c r="M101" s="229">
        <v>-7.3000000000000001E-3</v>
      </c>
      <c r="N101" s="228">
        <v>154.69999999999999</v>
      </c>
      <c r="O101" s="228">
        <v>156.09</v>
      </c>
      <c r="P101" s="228">
        <v>-1.39</v>
      </c>
      <c r="Q101" s="229">
        <v>-8.8999999999999999E-3</v>
      </c>
      <c r="R101" s="228">
        <v>155.36000000000001</v>
      </c>
      <c r="S101" s="228">
        <v>156.72999999999999</v>
      </c>
      <c r="T101" s="228">
        <v>-1.37</v>
      </c>
      <c r="U101" s="229">
        <v>-8.6999999999999994E-3</v>
      </c>
      <c r="V101" s="228">
        <v>156.32</v>
      </c>
      <c r="W101" s="228">
        <v>157.66999999999999</v>
      </c>
      <c r="X101" s="228">
        <v>-1.35</v>
      </c>
      <c r="Y101" s="229">
        <v>-8.6E-3</v>
      </c>
      <c r="Z101" s="228">
        <v>0.59</v>
      </c>
      <c r="AA101" s="228">
        <v>0.84</v>
      </c>
      <c r="AB101" s="228">
        <v>-0.25</v>
      </c>
      <c r="AC101" s="229">
        <v>3.8E-3</v>
      </c>
      <c r="AD101" s="228">
        <v>0.59</v>
      </c>
      <c r="AE101" s="228">
        <v>0.84</v>
      </c>
      <c r="AF101" s="228">
        <v>-0.25</v>
      </c>
      <c r="AG101" s="229">
        <v>3.8E-3</v>
      </c>
      <c r="AH101" s="228">
        <v>1.25</v>
      </c>
      <c r="AI101" s="228">
        <v>1.48</v>
      </c>
      <c r="AJ101" s="228">
        <v>-0.23</v>
      </c>
      <c r="AK101" s="229">
        <v>8.0999999999999996E-3</v>
      </c>
      <c r="AL101" s="228">
        <v>2.21</v>
      </c>
      <c r="AM101" s="228">
        <v>2.42</v>
      </c>
      <c r="AN101" s="228">
        <v>-0.21</v>
      </c>
      <c r="AO101" s="229">
        <v>1.43E-2</v>
      </c>
      <c r="AP101" s="228">
        <v>156.11000000000001</v>
      </c>
      <c r="AQ101" s="228">
        <v>156.6</v>
      </c>
      <c r="AR101" s="228">
        <v>0</v>
      </c>
      <c r="AS101" s="228">
        <v>260</v>
      </c>
      <c r="AT101" s="228">
        <v>377</v>
      </c>
      <c r="AU101" s="228">
        <v>-117</v>
      </c>
      <c r="AV101" s="229">
        <v>-0.31059999999999999</v>
      </c>
      <c r="AW101" s="228">
        <v>229</v>
      </c>
      <c r="AX101" s="228">
        <v>343</v>
      </c>
      <c r="AY101" s="228">
        <v>-114</v>
      </c>
      <c r="AZ101" s="229">
        <v>-0.33150000000000002</v>
      </c>
      <c r="BA101" s="228">
        <v>25</v>
      </c>
      <c r="BB101" s="228">
        <v>26</v>
      </c>
      <c r="BC101" s="228">
        <v>-1</v>
      </c>
      <c r="BD101" s="229">
        <v>-5.1999999999999998E-2</v>
      </c>
      <c r="BE101" s="228">
        <v>6</v>
      </c>
      <c r="BF101" s="228">
        <v>8</v>
      </c>
      <c r="BG101" s="228">
        <v>-2</v>
      </c>
      <c r="BH101" s="229">
        <v>-0.2571</v>
      </c>
      <c r="BI101" s="228">
        <v>856</v>
      </c>
      <c r="BJ101" s="230">
        <v>1350</v>
      </c>
      <c r="BK101" s="228">
        <v>-494</v>
      </c>
      <c r="BL101" s="229">
        <v>-0.36609999999999998</v>
      </c>
      <c r="BM101" s="228">
        <v>489</v>
      </c>
      <c r="BN101" s="228">
        <v>750</v>
      </c>
      <c r="BO101" s="228">
        <v>-261</v>
      </c>
      <c r="BP101" s="229">
        <v>-0.34799999999999998</v>
      </c>
      <c r="BQ101" s="230">
        <v>1605</v>
      </c>
      <c r="BR101" s="230">
        <v>2477</v>
      </c>
      <c r="BS101" s="228">
        <v>-872</v>
      </c>
      <c r="BT101" s="229">
        <v>-0.35220000000000001</v>
      </c>
      <c r="BU101" s="230">
        <v>9890683</v>
      </c>
      <c r="BV101" s="230">
        <v>14882187</v>
      </c>
      <c r="BW101" s="230">
        <v>-4991504</v>
      </c>
      <c r="BX101" s="229">
        <v>-0.33539999999999998</v>
      </c>
      <c r="BY101" s="230">
        <v>1480</v>
      </c>
      <c r="BZ101" s="230">
        <v>1465</v>
      </c>
      <c r="CA101" s="228">
        <v>15</v>
      </c>
      <c r="CB101" s="229">
        <v>1.01E-2</v>
      </c>
      <c r="CC101" s="230">
        <v>1417</v>
      </c>
      <c r="CD101" s="230">
        <v>1410</v>
      </c>
      <c r="CE101" s="228">
        <v>8</v>
      </c>
      <c r="CF101" s="229">
        <v>5.4000000000000003E-3</v>
      </c>
      <c r="CG101" s="228">
        <v>55</v>
      </c>
      <c r="CH101" s="228">
        <v>50</v>
      </c>
      <c r="CI101" s="228">
        <v>5</v>
      </c>
      <c r="CJ101" s="229">
        <v>0.1012</v>
      </c>
      <c r="CK101" s="228">
        <v>8</v>
      </c>
      <c r="CL101" s="228">
        <v>5</v>
      </c>
      <c r="CM101" s="228">
        <v>2</v>
      </c>
      <c r="CN101" s="229">
        <v>0.40849999999999997</v>
      </c>
      <c r="CO101" s="228">
        <v>650</v>
      </c>
      <c r="CP101" s="228">
        <v>610</v>
      </c>
      <c r="CQ101" s="228">
        <v>40</v>
      </c>
      <c r="CR101" s="229">
        <v>6.6100000000000006E-2</v>
      </c>
      <c r="CS101" s="228">
        <v>460</v>
      </c>
      <c r="CT101" s="228">
        <v>453</v>
      </c>
      <c r="CU101" s="228">
        <v>6</v>
      </c>
      <c r="CV101" s="229">
        <v>1.41E-2</v>
      </c>
      <c r="CW101" s="230">
        <v>2590</v>
      </c>
      <c r="CX101" s="230">
        <v>2528</v>
      </c>
      <c r="CY101" s="228">
        <v>62</v>
      </c>
      <c r="CZ101" s="229">
        <v>2.4400000000000002E-2</v>
      </c>
      <c r="DA101" s="228">
        <v>22.85</v>
      </c>
      <c r="DB101" s="228">
        <v>22.94</v>
      </c>
      <c r="DC101" s="228">
        <v>-0.09</v>
      </c>
      <c r="DD101" s="228">
        <v>-0.09</v>
      </c>
      <c r="DE101" s="228">
        <v>32.17</v>
      </c>
      <c r="DF101" s="228">
        <v>32.229999999999997</v>
      </c>
      <c r="DG101" s="228">
        <v>-9.32</v>
      </c>
      <c r="DH101" s="228">
        <v>-0.06</v>
      </c>
      <c r="DI101" s="228">
        <v>23.27</v>
      </c>
      <c r="DJ101" s="228">
        <v>23.11</v>
      </c>
      <c r="DK101" s="228">
        <v>0.16</v>
      </c>
      <c r="DL101" s="228">
        <v>0.16</v>
      </c>
      <c r="DM101" s="228">
        <v>22.12</v>
      </c>
      <c r="DN101" s="228">
        <v>22.63</v>
      </c>
      <c r="DO101" s="228">
        <v>-0.51</v>
      </c>
      <c r="DP101" s="228">
        <v>-0.51</v>
      </c>
      <c r="DQ101" s="228">
        <v>0.71</v>
      </c>
      <c r="DR101" s="228">
        <v>0.74</v>
      </c>
      <c r="DS101" s="228">
        <v>-0.03</v>
      </c>
      <c r="DT101" s="229">
        <v>-4.0500000000000001E-2</v>
      </c>
      <c r="DU101" s="228">
        <v>160</v>
      </c>
      <c r="DV101" s="228">
        <v>150</v>
      </c>
      <c r="DW101" s="228">
        <v>0.56999999999999995</v>
      </c>
      <c r="DX101" s="228">
        <v>0.56000000000000005</v>
      </c>
      <c r="DY101" s="228">
        <v>0.01</v>
      </c>
      <c r="DZ101" s="229">
        <v>1.7899999999999999E-2</v>
      </c>
      <c r="EA101" s="229">
        <v>4.2299999999999997E-2</v>
      </c>
      <c r="EB101" s="230">
        <v>3573375</v>
      </c>
      <c r="EC101" s="229">
        <v>4.3E-3</v>
      </c>
      <c r="ED101" s="229">
        <v>4.2299999999999997E-2</v>
      </c>
      <c r="EE101" s="228">
        <v>0.49</v>
      </c>
      <c r="EF101" s="229">
        <v>3.0999999999999999E-3</v>
      </c>
      <c r="EG101" s="230">
        <v>5920323</v>
      </c>
      <c r="EH101" s="230">
        <v>7536479</v>
      </c>
      <c r="EI101" s="229">
        <v>-0.21440000000000001</v>
      </c>
      <c r="EJ101" s="229">
        <v>0.59860000000000002</v>
      </c>
      <c r="EK101" s="228">
        <v>892.84</v>
      </c>
      <c r="EL101" s="228">
        <v>493.13</v>
      </c>
      <c r="EM101" s="228">
        <v>262.31</v>
      </c>
      <c r="EN101" s="228">
        <v>41.33</v>
      </c>
      <c r="EO101" s="231">
        <v>1648.29</v>
      </c>
      <c r="EP101" s="231">
        <v>2543.7600000000002</v>
      </c>
      <c r="EQ101" s="228">
        <v>-895.47</v>
      </c>
      <c r="ER101" s="229">
        <v>-0.35199999999999998</v>
      </c>
      <c r="ES101" s="228">
        <v>664.23</v>
      </c>
      <c r="ET101" s="228">
        <v>442.06</v>
      </c>
      <c r="EU101" s="231">
        <v>1480.06</v>
      </c>
      <c r="EV101" s="231">
        <v>684903861</v>
      </c>
      <c r="EW101" s="231">
        <v>2586.35</v>
      </c>
      <c r="EX101" s="231">
        <v>2535.39</v>
      </c>
      <c r="EY101" s="228">
        <v>50.96</v>
      </c>
      <c r="EZ101" s="229">
        <v>2.01E-2</v>
      </c>
      <c r="FA101" s="229">
        <v>0.24440000000000001</v>
      </c>
      <c r="FB101" s="227" t="s">
        <v>567</v>
      </c>
      <c r="FC101">
        <f t="shared" si="1"/>
        <v>63</v>
      </c>
    </row>
    <row r="102" spans="1:159" ht="17.25" thickBot="1" x14ac:dyDescent="0.3">
      <c r="A102" s="226">
        <v>45940</v>
      </c>
      <c r="B102" s="227" t="s">
        <v>215</v>
      </c>
      <c r="C102" s="227" t="s">
        <v>490</v>
      </c>
      <c r="D102" s="228">
        <v>875</v>
      </c>
      <c r="E102" s="228">
        <v>18</v>
      </c>
      <c r="F102" s="228">
        <v>717.15</v>
      </c>
      <c r="G102" s="228">
        <v>713.7</v>
      </c>
      <c r="H102" s="228">
        <v>3.45</v>
      </c>
      <c r="I102" s="229">
        <v>4.7999999999999996E-3</v>
      </c>
      <c r="J102" s="228">
        <v>715.7</v>
      </c>
      <c r="K102" s="228">
        <v>709.8</v>
      </c>
      <c r="L102" s="228">
        <v>5.9</v>
      </c>
      <c r="M102" s="229">
        <v>8.3000000000000001E-3</v>
      </c>
      <c r="N102" s="228">
        <v>717.15</v>
      </c>
      <c r="O102" s="228">
        <v>713.7</v>
      </c>
      <c r="P102" s="228">
        <v>3.45</v>
      </c>
      <c r="Q102" s="229">
        <v>4.7999999999999996E-3</v>
      </c>
      <c r="R102" s="228">
        <v>718.2</v>
      </c>
      <c r="S102" s="228">
        <v>713.9</v>
      </c>
      <c r="T102" s="228">
        <v>4.3</v>
      </c>
      <c r="U102" s="229">
        <v>6.0000000000000001E-3</v>
      </c>
      <c r="V102" s="228">
        <v>722.2</v>
      </c>
      <c r="W102" s="228">
        <v>718.25</v>
      </c>
      <c r="X102" s="228">
        <v>3.95</v>
      </c>
      <c r="Y102" s="229">
        <v>5.4999999999999997E-3</v>
      </c>
      <c r="Z102" s="228">
        <v>1.45</v>
      </c>
      <c r="AA102" s="228">
        <v>3.9</v>
      </c>
      <c r="AB102" s="228">
        <v>-2.4500000000000002</v>
      </c>
      <c r="AC102" s="229">
        <v>2E-3</v>
      </c>
      <c r="AD102" s="228">
        <v>1.45</v>
      </c>
      <c r="AE102" s="228">
        <v>3.9</v>
      </c>
      <c r="AF102" s="228">
        <v>-2.4500000000000002</v>
      </c>
      <c r="AG102" s="229">
        <v>2E-3</v>
      </c>
      <c r="AH102" s="228">
        <v>2.5</v>
      </c>
      <c r="AI102" s="228">
        <v>4.0999999999999996</v>
      </c>
      <c r="AJ102" s="228">
        <v>-1.6</v>
      </c>
      <c r="AK102" s="229">
        <v>3.5000000000000001E-3</v>
      </c>
      <c r="AL102" s="228">
        <v>6.5</v>
      </c>
      <c r="AM102" s="228">
        <v>8.4499999999999993</v>
      </c>
      <c r="AN102" s="228">
        <v>-1.95</v>
      </c>
      <c r="AO102" s="229">
        <v>9.1000000000000004E-3</v>
      </c>
      <c r="AP102" s="228">
        <v>717.82</v>
      </c>
      <c r="AQ102" s="228">
        <v>718.83</v>
      </c>
      <c r="AR102" s="228">
        <v>0</v>
      </c>
      <c r="AS102" s="228">
        <v>115</v>
      </c>
      <c r="AT102" s="228">
        <v>137</v>
      </c>
      <c r="AU102" s="228">
        <v>-21</v>
      </c>
      <c r="AV102" s="229">
        <v>-0.15659999999999999</v>
      </c>
      <c r="AW102" s="228">
        <v>97</v>
      </c>
      <c r="AX102" s="228">
        <v>104</v>
      </c>
      <c r="AY102" s="228">
        <v>-7</v>
      </c>
      <c r="AZ102" s="229">
        <v>-6.5100000000000005E-2</v>
      </c>
      <c r="BA102" s="228">
        <v>15</v>
      </c>
      <c r="BB102" s="228">
        <v>30</v>
      </c>
      <c r="BC102" s="228">
        <v>-15</v>
      </c>
      <c r="BD102" s="229">
        <v>-0.4884</v>
      </c>
      <c r="BE102" s="228">
        <v>3</v>
      </c>
      <c r="BF102" s="228">
        <v>3</v>
      </c>
      <c r="BG102" s="228">
        <v>0</v>
      </c>
      <c r="BH102" s="229">
        <v>-2.2700000000000001E-2</v>
      </c>
      <c r="BI102" s="228">
        <v>331</v>
      </c>
      <c r="BJ102" s="228">
        <v>340</v>
      </c>
      <c r="BK102" s="228">
        <v>-9</v>
      </c>
      <c r="BL102" s="229">
        <v>-2.64E-2</v>
      </c>
      <c r="BM102" s="228">
        <v>122</v>
      </c>
      <c r="BN102" s="228">
        <v>105</v>
      </c>
      <c r="BO102" s="228">
        <v>17</v>
      </c>
      <c r="BP102" s="229">
        <v>0.15740000000000001</v>
      </c>
      <c r="BQ102" s="228">
        <v>568</v>
      </c>
      <c r="BR102" s="228">
        <v>582</v>
      </c>
      <c r="BS102" s="228">
        <v>-14</v>
      </c>
      <c r="BT102" s="229">
        <v>-2.3699999999999999E-2</v>
      </c>
      <c r="BU102" s="230">
        <v>741590</v>
      </c>
      <c r="BV102" s="230">
        <v>740997</v>
      </c>
      <c r="BW102" s="228">
        <v>593</v>
      </c>
      <c r="BX102" s="229">
        <v>8.0000000000000004E-4</v>
      </c>
      <c r="BY102" s="230">
        <v>1122</v>
      </c>
      <c r="BZ102" s="230">
        <v>1146</v>
      </c>
      <c r="CA102" s="228">
        <v>-23</v>
      </c>
      <c r="CB102" s="229">
        <v>-2.0400000000000001E-2</v>
      </c>
      <c r="CC102" s="228">
        <v>991</v>
      </c>
      <c r="CD102" s="230">
        <v>1016</v>
      </c>
      <c r="CE102" s="228">
        <v>-25</v>
      </c>
      <c r="CF102" s="229">
        <v>-2.4199999999999999E-2</v>
      </c>
      <c r="CG102" s="228">
        <v>124</v>
      </c>
      <c r="CH102" s="228">
        <v>122</v>
      </c>
      <c r="CI102" s="228">
        <v>2</v>
      </c>
      <c r="CJ102" s="229">
        <v>1.23E-2</v>
      </c>
      <c r="CK102" s="228">
        <v>7</v>
      </c>
      <c r="CL102" s="228">
        <v>7</v>
      </c>
      <c r="CM102" s="228">
        <v>0</v>
      </c>
      <c r="CN102" s="229">
        <v>-4.2000000000000003E-2</v>
      </c>
      <c r="CO102" s="228">
        <v>589</v>
      </c>
      <c r="CP102" s="228">
        <v>588</v>
      </c>
      <c r="CQ102" s="228">
        <v>1</v>
      </c>
      <c r="CR102" s="229">
        <v>2E-3</v>
      </c>
      <c r="CS102" s="228">
        <v>333</v>
      </c>
      <c r="CT102" s="228">
        <v>331</v>
      </c>
      <c r="CU102" s="228">
        <v>3</v>
      </c>
      <c r="CV102" s="229">
        <v>8.2000000000000007E-3</v>
      </c>
      <c r="CW102" s="230">
        <v>2045</v>
      </c>
      <c r="CX102" s="230">
        <v>2064</v>
      </c>
      <c r="CY102" s="228">
        <v>-20</v>
      </c>
      <c r="CZ102" s="229">
        <v>-9.4999999999999998E-3</v>
      </c>
      <c r="DA102" s="228">
        <v>19.86</v>
      </c>
      <c r="DB102" s="228">
        <v>20.88</v>
      </c>
      <c r="DC102" s="228">
        <v>-1.02</v>
      </c>
      <c r="DD102" s="228">
        <v>-1.02</v>
      </c>
      <c r="DE102" s="228">
        <v>31.33</v>
      </c>
      <c r="DF102" s="228">
        <v>31.41</v>
      </c>
      <c r="DG102" s="228">
        <v>-11.47</v>
      </c>
      <c r="DH102" s="228">
        <v>-0.08</v>
      </c>
      <c r="DI102" s="228">
        <v>20.03</v>
      </c>
      <c r="DJ102" s="228">
        <v>21.1</v>
      </c>
      <c r="DK102" s="228">
        <v>-1.07</v>
      </c>
      <c r="DL102" s="228">
        <v>-1.07</v>
      </c>
      <c r="DM102" s="228">
        <v>19.38</v>
      </c>
      <c r="DN102" s="228">
        <v>20.149999999999999</v>
      </c>
      <c r="DO102" s="228">
        <v>-0.77</v>
      </c>
      <c r="DP102" s="228">
        <v>-0.77</v>
      </c>
      <c r="DQ102" s="228">
        <v>0.56999999999999995</v>
      </c>
      <c r="DR102" s="228">
        <v>0.56000000000000005</v>
      </c>
      <c r="DS102" s="228">
        <v>0.01</v>
      </c>
      <c r="DT102" s="229">
        <v>1.7899999999999999E-2</v>
      </c>
      <c r="DU102" s="228">
        <v>750</v>
      </c>
      <c r="DV102" s="228">
        <v>700</v>
      </c>
      <c r="DW102" s="228">
        <v>0.37</v>
      </c>
      <c r="DX102" s="228">
        <v>0.31</v>
      </c>
      <c r="DY102" s="228">
        <v>0.06</v>
      </c>
      <c r="DZ102" s="229">
        <v>0.19350000000000001</v>
      </c>
      <c r="EA102" s="229">
        <v>0.1168</v>
      </c>
      <c r="EB102" s="230">
        <v>1812125</v>
      </c>
      <c r="EC102" s="229">
        <v>1.5E-3</v>
      </c>
      <c r="ED102" s="229">
        <v>0.1168</v>
      </c>
      <c r="EE102" s="228">
        <v>1.01</v>
      </c>
      <c r="EF102" s="229">
        <v>1.4E-3</v>
      </c>
      <c r="EG102" s="230">
        <v>460753</v>
      </c>
      <c r="EH102" s="230">
        <v>376597</v>
      </c>
      <c r="EI102" s="229">
        <v>0.2235</v>
      </c>
      <c r="EJ102" s="229">
        <v>0.62129999999999996</v>
      </c>
      <c r="EK102" s="228">
        <v>342.03</v>
      </c>
      <c r="EL102" s="228">
        <v>120.61</v>
      </c>
      <c r="EM102" s="228">
        <v>115.42</v>
      </c>
      <c r="EN102" s="228">
        <v>20.45</v>
      </c>
      <c r="EO102" s="228">
        <v>578.05999999999995</v>
      </c>
      <c r="EP102" s="228">
        <v>589.47</v>
      </c>
      <c r="EQ102" s="228">
        <v>-11.42</v>
      </c>
      <c r="ER102" s="229">
        <v>-1.9400000000000001E-2</v>
      </c>
      <c r="ES102" s="228">
        <v>616.99</v>
      </c>
      <c r="ET102" s="228">
        <v>331.62</v>
      </c>
      <c r="EU102" s="231">
        <v>1122.6500000000001</v>
      </c>
      <c r="EV102" s="231">
        <v>30082783</v>
      </c>
      <c r="EW102" s="231">
        <v>2071.2600000000002</v>
      </c>
      <c r="EX102" s="231">
        <v>2084.84</v>
      </c>
      <c r="EY102" s="228">
        <v>-13.58</v>
      </c>
      <c r="EZ102" s="229">
        <v>-6.4999999999999997E-3</v>
      </c>
      <c r="FA102" s="229">
        <v>0.94769999999999999</v>
      </c>
      <c r="FB102" s="227" t="s">
        <v>556</v>
      </c>
      <c r="FC102">
        <f t="shared" si="1"/>
        <v>131</v>
      </c>
    </row>
    <row r="103" spans="1:159" ht="17.25" thickBot="1" x14ac:dyDescent="0.3">
      <c r="A103" s="226">
        <v>45940</v>
      </c>
      <c r="B103" s="227" t="s">
        <v>175</v>
      </c>
      <c r="C103" s="227" t="s">
        <v>666</v>
      </c>
      <c r="D103" s="228">
        <v>3450</v>
      </c>
      <c r="E103" s="228">
        <v>18</v>
      </c>
      <c r="F103" s="228">
        <v>151.61000000000001</v>
      </c>
      <c r="G103" s="228">
        <v>149.58000000000001</v>
      </c>
      <c r="H103" s="228">
        <v>2.0299999999999998</v>
      </c>
      <c r="I103" s="229">
        <v>1.3599999999999999E-2</v>
      </c>
      <c r="J103" s="228">
        <v>150.96</v>
      </c>
      <c r="K103" s="228">
        <v>148.85</v>
      </c>
      <c r="L103" s="228">
        <v>2.11</v>
      </c>
      <c r="M103" s="229">
        <v>1.4200000000000001E-2</v>
      </c>
      <c r="N103" s="228">
        <v>151.61000000000001</v>
      </c>
      <c r="O103" s="228">
        <v>149.58000000000001</v>
      </c>
      <c r="P103" s="228">
        <v>2.0299999999999998</v>
      </c>
      <c r="Q103" s="229">
        <v>1.3599999999999999E-2</v>
      </c>
      <c r="R103" s="228">
        <v>151.08000000000001</v>
      </c>
      <c r="S103" s="228">
        <v>148.93</v>
      </c>
      <c r="T103" s="228">
        <v>2.15</v>
      </c>
      <c r="U103" s="229">
        <v>1.44E-2</v>
      </c>
      <c r="V103" s="228">
        <v>150.93</v>
      </c>
      <c r="W103" s="228">
        <v>148.97999999999999</v>
      </c>
      <c r="X103" s="228">
        <v>1.95</v>
      </c>
      <c r="Y103" s="229">
        <v>1.3100000000000001E-2</v>
      </c>
      <c r="Z103" s="228">
        <v>0.65</v>
      </c>
      <c r="AA103" s="228">
        <v>0.73</v>
      </c>
      <c r="AB103" s="228">
        <v>-0.08</v>
      </c>
      <c r="AC103" s="229">
        <v>4.3E-3</v>
      </c>
      <c r="AD103" s="228">
        <v>0.65</v>
      </c>
      <c r="AE103" s="228">
        <v>0.73</v>
      </c>
      <c r="AF103" s="228">
        <v>-0.08</v>
      </c>
      <c r="AG103" s="229">
        <v>4.3E-3</v>
      </c>
      <c r="AH103" s="228">
        <v>0.12</v>
      </c>
      <c r="AI103" s="228">
        <v>0.08</v>
      </c>
      <c r="AJ103" s="228">
        <v>0.04</v>
      </c>
      <c r="AK103" s="229">
        <v>8.0000000000000004E-4</v>
      </c>
      <c r="AL103" s="228">
        <v>-0.03</v>
      </c>
      <c r="AM103" s="228">
        <v>0.13</v>
      </c>
      <c r="AN103" s="228">
        <v>-0.16</v>
      </c>
      <c r="AO103" s="229">
        <v>-2.0000000000000001E-4</v>
      </c>
      <c r="AP103" s="228">
        <v>151.63</v>
      </c>
      <c r="AQ103" s="228">
        <v>150.94</v>
      </c>
      <c r="AR103" s="228">
        <v>0</v>
      </c>
      <c r="AS103" s="228">
        <v>114</v>
      </c>
      <c r="AT103" s="228">
        <v>137</v>
      </c>
      <c r="AU103" s="228">
        <v>-23</v>
      </c>
      <c r="AV103" s="229">
        <v>-0.1701</v>
      </c>
      <c r="AW103" s="228">
        <v>89</v>
      </c>
      <c r="AX103" s="228">
        <v>113</v>
      </c>
      <c r="AY103" s="228">
        <v>-24</v>
      </c>
      <c r="AZ103" s="229">
        <v>-0.21129999999999999</v>
      </c>
      <c r="BA103" s="228">
        <v>20</v>
      </c>
      <c r="BB103" s="228">
        <v>20</v>
      </c>
      <c r="BC103" s="228">
        <v>0</v>
      </c>
      <c r="BD103" s="229">
        <v>-2.5999999999999999E-3</v>
      </c>
      <c r="BE103" s="228">
        <v>4</v>
      </c>
      <c r="BF103" s="228">
        <v>3</v>
      </c>
      <c r="BG103" s="228">
        <v>1</v>
      </c>
      <c r="BH103" s="229">
        <v>0.22220000000000001</v>
      </c>
      <c r="BI103" s="228">
        <v>300</v>
      </c>
      <c r="BJ103" s="228">
        <v>313</v>
      </c>
      <c r="BK103" s="228">
        <v>-13</v>
      </c>
      <c r="BL103" s="229">
        <v>-4.0599999999999997E-2</v>
      </c>
      <c r="BM103" s="228">
        <v>143</v>
      </c>
      <c r="BN103" s="228">
        <v>123</v>
      </c>
      <c r="BO103" s="228">
        <v>20</v>
      </c>
      <c r="BP103" s="229">
        <v>0.16350000000000001</v>
      </c>
      <c r="BQ103" s="228">
        <v>557</v>
      </c>
      <c r="BR103" s="228">
        <v>572</v>
      </c>
      <c r="BS103" s="228">
        <v>-16</v>
      </c>
      <c r="BT103" s="229">
        <v>-2.7900000000000001E-2</v>
      </c>
      <c r="BU103" s="230">
        <v>5775776</v>
      </c>
      <c r="BV103" s="230">
        <v>8224309</v>
      </c>
      <c r="BW103" s="230">
        <v>-2448533</v>
      </c>
      <c r="BX103" s="229">
        <v>-0.29770000000000002</v>
      </c>
      <c r="BY103" s="228">
        <v>650</v>
      </c>
      <c r="BZ103" s="228">
        <v>657</v>
      </c>
      <c r="CA103" s="228">
        <v>-6</v>
      </c>
      <c r="CB103" s="229">
        <v>-9.4000000000000004E-3</v>
      </c>
      <c r="CC103" s="228">
        <v>545</v>
      </c>
      <c r="CD103" s="228">
        <v>556</v>
      </c>
      <c r="CE103" s="228">
        <v>-11</v>
      </c>
      <c r="CF103" s="229">
        <v>-1.9900000000000001E-2</v>
      </c>
      <c r="CG103" s="228">
        <v>91</v>
      </c>
      <c r="CH103" s="228">
        <v>87</v>
      </c>
      <c r="CI103" s="228">
        <v>4</v>
      </c>
      <c r="CJ103" s="229">
        <v>4.2099999999999999E-2</v>
      </c>
      <c r="CK103" s="228">
        <v>15</v>
      </c>
      <c r="CL103" s="228">
        <v>13</v>
      </c>
      <c r="CM103" s="228">
        <v>1</v>
      </c>
      <c r="CN103" s="229">
        <v>9.4500000000000001E-2</v>
      </c>
      <c r="CO103" s="228">
        <v>459</v>
      </c>
      <c r="CP103" s="228">
        <v>473</v>
      </c>
      <c r="CQ103" s="228">
        <v>-14</v>
      </c>
      <c r="CR103" s="229">
        <v>-3.0499999999999999E-2</v>
      </c>
      <c r="CS103" s="228">
        <v>210</v>
      </c>
      <c r="CT103" s="228">
        <v>211</v>
      </c>
      <c r="CU103" s="228">
        <v>-1</v>
      </c>
      <c r="CV103" s="229">
        <v>-4.4999999999999997E-3</v>
      </c>
      <c r="CW103" s="230">
        <v>1319</v>
      </c>
      <c r="CX103" s="230">
        <v>1341</v>
      </c>
      <c r="CY103" s="228">
        <v>-22</v>
      </c>
      <c r="CZ103" s="229">
        <v>-1.61E-2</v>
      </c>
      <c r="DA103" s="228">
        <v>39.81</v>
      </c>
      <c r="DB103" s="228">
        <v>41.34</v>
      </c>
      <c r="DC103" s="228">
        <v>-1.53</v>
      </c>
      <c r="DD103" s="228">
        <v>-1.53</v>
      </c>
      <c r="DE103" s="228">
        <v>52.74</v>
      </c>
      <c r="DF103" s="228">
        <v>52.84</v>
      </c>
      <c r="DG103" s="228">
        <v>-12.93</v>
      </c>
      <c r="DH103" s="228">
        <v>-0.1</v>
      </c>
      <c r="DI103" s="228">
        <v>40.51</v>
      </c>
      <c r="DJ103" s="228">
        <v>41.95</v>
      </c>
      <c r="DK103" s="228">
        <v>-1.44</v>
      </c>
      <c r="DL103" s="228">
        <v>-1.44</v>
      </c>
      <c r="DM103" s="228">
        <v>38.33</v>
      </c>
      <c r="DN103" s="228">
        <v>39.79</v>
      </c>
      <c r="DO103" s="228">
        <v>-1.46</v>
      </c>
      <c r="DP103" s="228">
        <v>-1.46</v>
      </c>
      <c r="DQ103" s="228">
        <v>0.46</v>
      </c>
      <c r="DR103" s="228">
        <v>0.45</v>
      </c>
      <c r="DS103" s="228">
        <v>0.01</v>
      </c>
      <c r="DT103" s="229">
        <v>2.2200000000000001E-2</v>
      </c>
      <c r="DU103" s="228">
        <v>160</v>
      </c>
      <c r="DV103" s="228">
        <v>150</v>
      </c>
      <c r="DW103" s="228">
        <v>0.47</v>
      </c>
      <c r="DX103" s="228">
        <v>0.39</v>
      </c>
      <c r="DY103" s="228">
        <v>0.08</v>
      </c>
      <c r="DZ103" s="229">
        <v>0.2051</v>
      </c>
      <c r="EA103" s="229">
        <v>0.16170000000000001</v>
      </c>
      <c r="EB103" s="230">
        <v>6613650</v>
      </c>
      <c r="EC103" s="229">
        <v>-3.5000000000000001E-3</v>
      </c>
      <c r="ED103" s="229">
        <v>0.16170000000000001</v>
      </c>
      <c r="EE103" s="228">
        <v>-0.69</v>
      </c>
      <c r="EF103" s="229">
        <v>-4.5999999999999999E-3</v>
      </c>
      <c r="EG103" s="230">
        <v>2182124</v>
      </c>
      <c r="EH103" s="230">
        <v>3434956</v>
      </c>
      <c r="EI103" s="229">
        <v>-0.36470000000000002</v>
      </c>
      <c r="EJ103" s="229">
        <v>0.37780000000000002</v>
      </c>
      <c r="EK103" s="228">
        <v>319.24</v>
      </c>
      <c r="EL103" s="228">
        <v>141.62</v>
      </c>
      <c r="EM103" s="228">
        <v>113.45</v>
      </c>
      <c r="EN103" s="228">
        <v>30.71</v>
      </c>
      <c r="EO103" s="228">
        <v>574.30999999999995</v>
      </c>
      <c r="EP103" s="228">
        <v>587.4</v>
      </c>
      <c r="EQ103" s="228">
        <v>-13.09</v>
      </c>
      <c r="ER103" s="229">
        <v>-2.23E-2</v>
      </c>
      <c r="ES103" s="228">
        <v>486.44</v>
      </c>
      <c r="ET103" s="228">
        <v>206.77</v>
      </c>
      <c r="EU103" s="228">
        <v>649.98</v>
      </c>
      <c r="EV103" s="231">
        <v>119011160</v>
      </c>
      <c r="EW103" s="231">
        <v>1343.19</v>
      </c>
      <c r="EX103" s="231">
        <v>1357.21</v>
      </c>
      <c r="EY103" s="228">
        <v>-14.02</v>
      </c>
      <c r="EZ103" s="229">
        <v>-1.03E-2</v>
      </c>
      <c r="FA103" s="229">
        <v>0.73109999999999997</v>
      </c>
      <c r="FB103" s="227" t="s">
        <v>556</v>
      </c>
      <c r="FC103">
        <f t="shared" si="1"/>
        <v>105</v>
      </c>
    </row>
    <row r="104" spans="1:159" ht="17.25" thickBot="1" x14ac:dyDescent="0.3">
      <c r="A104" s="226">
        <v>45940</v>
      </c>
      <c r="B104" s="227" t="s">
        <v>215</v>
      </c>
      <c r="C104" s="227" t="s">
        <v>593</v>
      </c>
      <c r="D104" s="228">
        <v>4250</v>
      </c>
      <c r="E104" s="228">
        <v>18</v>
      </c>
      <c r="F104" s="228">
        <v>126.39</v>
      </c>
      <c r="G104" s="228">
        <v>124.98</v>
      </c>
      <c r="H104" s="228">
        <v>1.41</v>
      </c>
      <c r="I104" s="229">
        <v>1.1299999999999999E-2</v>
      </c>
      <c r="J104" s="228">
        <v>126.5</v>
      </c>
      <c r="K104" s="228">
        <v>125.07</v>
      </c>
      <c r="L104" s="228">
        <v>1.43</v>
      </c>
      <c r="M104" s="229">
        <v>1.14E-2</v>
      </c>
      <c r="N104" s="228">
        <v>126.39</v>
      </c>
      <c r="O104" s="228">
        <v>124.98</v>
      </c>
      <c r="P104" s="228">
        <v>1.41</v>
      </c>
      <c r="Q104" s="229">
        <v>1.1299999999999999E-2</v>
      </c>
      <c r="R104" s="228">
        <v>126.94</v>
      </c>
      <c r="S104" s="228">
        <v>125.54</v>
      </c>
      <c r="T104" s="228">
        <v>1.4</v>
      </c>
      <c r="U104" s="229">
        <v>1.12E-2</v>
      </c>
      <c r="V104" s="228">
        <v>127.48</v>
      </c>
      <c r="W104" s="228">
        <v>126.07</v>
      </c>
      <c r="X104" s="228">
        <v>1.41</v>
      </c>
      <c r="Y104" s="229">
        <v>1.12E-2</v>
      </c>
      <c r="Z104" s="228">
        <v>-0.11</v>
      </c>
      <c r="AA104" s="228">
        <v>-0.09</v>
      </c>
      <c r="AB104" s="228">
        <v>-0.02</v>
      </c>
      <c r="AC104" s="229">
        <v>-8.9999999999999998E-4</v>
      </c>
      <c r="AD104" s="228">
        <v>-0.11</v>
      </c>
      <c r="AE104" s="228">
        <v>-0.09</v>
      </c>
      <c r="AF104" s="228">
        <v>-0.02</v>
      </c>
      <c r="AG104" s="229">
        <v>-8.9999999999999998E-4</v>
      </c>
      <c r="AH104" s="228">
        <v>0.44</v>
      </c>
      <c r="AI104" s="228">
        <v>0.47</v>
      </c>
      <c r="AJ104" s="228">
        <v>-0.03</v>
      </c>
      <c r="AK104" s="229">
        <v>3.5000000000000001E-3</v>
      </c>
      <c r="AL104" s="228">
        <v>0.98</v>
      </c>
      <c r="AM104" s="228">
        <v>1</v>
      </c>
      <c r="AN104" s="228">
        <v>-0.02</v>
      </c>
      <c r="AO104" s="229">
        <v>7.7000000000000002E-3</v>
      </c>
      <c r="AP104" s="228">
        <v>126.39</v>
      </c>
      <c r="AQ104" s="228">
        <v>126.87</v>
      </c>
      <c r="AR104" s="228">
        <v>0</v>
      </c>
      <c r="AS104" s="228">
        <v>113</v>
      </c>
      <c r="AT104" s="228">
        <v>68</v>
      </c>
      <c r="AU104" s="228">
        <v>45</v>
      </c>
      <c r="AV104" s="229">
        <v>0.65639999999999998</v>
      </c>
      <c r="AW104" s="228">
        <v>100</v>
      </c>
      <c r="AX104" s="228">
        <v>60</v>
      </c>
      <c r="AY104" s="228">
        <v>40</v>
      </c>
      <c r="AZ104" s="229">
        <v>0.66190000000000004</v>
      </c>
      <c r="BA104" s="228">
        <v>11</v>
      </c>
      <c r="BB104" s="228">
        <v>6</v>
      </c>
      <c r="BC104" s="228">
        <v>5</v>
      </c>
      <c r="BD104" s="229">
        <v>0.86360000000000003</v>
      </c>
      <c r="BE104" s="228">
        <v>2</v>
      </c>
      <c r="BF104" s="228">
        <v>2</v>
      </c>
      <c r="BG104" s="228">
        <v>0</v>
      </c>
      <c r="BH104" s="229">
        <v>-0.1053</v>
      </c>
      <c r="BI104" s="228">
        <v>266</v>
      </c>
      <c r="BJ104" s="228">
        <v>128</v>
      </c>
      <c r="BK104" s="228">
        <v>138</v>
      </c>
      <c r="BL104" s="229">
        <v>1.0799000000000001</v>
      </c>
      <c r="BM104" s="228">
        <v>103</v>
      </c>
      <c r="BN104" s="228">
        <v>52</v>
      </c>
      <c r="BO104" s="228">
        <v>51</v>
      </c>
      <c r="BP104" s="229">
        <v>0.97019999999999995</v>
      </c>
      <c r="BQ104" s="228">
        <v>481</v>
      </c>
      <c r="BR104" s="228">
        <v>248</v>
      </c>
      <c r="BS104" s="228">
        <v>233</v>
      </c>
      <c r="BT104" s="229">
        <v>0.94069999999999998</v>
      </c>
      <c r="BU104" s="230">
        <v>8105794</v>
      </c>
      <c r="BV104" s="230">
        <v>6216119</v>
      </c>
      <c r="BW104" s="230">
        <v>1889675</v>
      </c>
      <c r="BX104" s="229">
        <v>0.30399999999999999</v>
      </c>
      <c r="BY104" s="228">
        <v>562</v>
      </c>
      <c r="BZ104" s="228">
        <v>566</v>
      </c>
      <c r="CA104" s="228">
        <v>-4</v>
      </c>
      <c r="CB104" s="229">
        <v>-7.1999999999999998E-3</v>
      </c>
      <c r="CC104" s="228">
        <v>499</v>
      </c>
      <c r="CD104" s="228">
        <v>502</v>
      </c>
      <c r="CE104" s="228">
        <v>-3</v>
      </c>
      <c r="CF104" s="229">
        <v>-5.3E-3</v>
      </c>
      <c r="CG104" s="228">
        <v>57</v>
      </c>
      <c r="CH104" s="228">
        <v>58</v>
      </c>
      <c r="CI104" s="228">
        <v>-1</v>
      </c>
      <c r="CJ104" s="229">
        <v>-1.2999999999999999E-2</v>
      </c>
      <c r="CK104" s="228">
        <v>6</v>
      </c>
      <c r="CL104" s="228">
        <v>6</v>
      </c>
      <c r="CM104" s="228">
        <v>-1</v>
      </c>
      <c r="CN104" s="229">
        <v>-0.1008</v>
      </c>
      <c r="CO104" s="228">
        <v>328</v>
      </c>
      <c r="CP104" s="228">
        <v>333</v>
      </c>
      <c r="CQ104" s="228">
        <v>-5</v>
      </c>
      <c r="CR104" s="229">
        <v>-1.61E-2</v>
      </c>
      <c r="CS104" s="228">
        <v>191</v>
      </c>
      <c r="CT104" s="228">
        <v>172</v>
      </c>
      <c r="CU104" s="228">
        <v>20</v>
      </c>
      <c r="CV104" s="229">
        <v>0.11509999999999999</v>
      </c>
      <c r="CW104" s="230">
        <v>1082</v>
      </c>
      <c r="CX104" s="230">
        <v>1072</v>
      </c>
      <c r="CY104" s="228">
        <v>10</v>
      </c>
      <c r="CZ104" s="229">
        <v>9.5999999999999992E-3</v>
      </c>
      <c r="DA104" s="228">
        <v>31.19</v>
      </c>
      <c r="DB104" s="228">
        <v>32.29</v>
      </c>
      <c r="DC104" s="228">
        <v>-1.1000000000000001</v>
      </c>
      <c r="DD104" s="228">
        <v>-1.1000000000000001</v>
      </c>
      <c r="DE104" s="228">
        <v>48.06</v>
      </c>
      <c r="DF104" s="228">
        <v>48.15</v>
      </c>
      <c r="DG104" s="228">
        <v>-16.87</v>
      </c>
      <c r="DH104" s="228">
        <v>-0.09</v>
      </c>
      <c r="DI104" s="228">
        <v>31.26</v>
      </c>
      <c r="DJ104" s="228">
        <v>32.36</v>
      </c>
      <c r="DK104" s="228">
        <v>-1.1000000000000001</v>
      </c>
      <c r="DL104" s="228">
        <v>-1.1000000000000001</v>
      </c>
      <c r="DM104" s="228">
        <v>31.01</v>
      </c>
      <c r="DN104" s="228">
        <v>32.130000000000003</v>
      </c>
      <c r="DO104" s="228">
        <v>-1.1200000000000001</v>
      </c>
      <c r="DP104" s="228">
        <v>-1.1200000000000001</v>
      </c>
      <c r="DQ104" s="228">
        <v>0.57999999999999996</v>
      </c>
      <c r="DR104" s="228">
        <v>0.51</v>
      </c>
      <c r="DS104" s="228">
        <v>7.0000000000000007E-2</v>
      </c>
      <c r="DT104" s="229">
        <v>0.13730000000000001</v>
      </c>
      <c r="DU104" s="228">
        <v>130</v>
      </c>
      <c r="DV104" s="228">
        <v>125</v>
      </c>
      <c r="DW104" s="228">
        <v>0.39</v>
      </c>
      <c r="DX104" s="228">
        <v>0.41</v>
      </c>
      <c r="DY104" s="228">
        <v>-0.02</v>
      </c>
      <c r="DZ104" s="229">
        <v>-4.8800000000000003E-2</v>
      </c>
      <c r="EA104" s="229">
        <v>0.1119</v>
      </c>
      <c r="EB104" s="230">
        <v>5091500</v>
      </c>
      <c r="EC104" s="229">
        <v>4.4000000000000003E-3</v>
      </c>
      <c r="ED104" s="229">
        <v>0.1119</v>
      </c>
      <c r="EE104" s="228">
        <v>0.48</v>
      </c>
      <c r="EF104" s="229">
        <v>3.8E-3</v>
      </c>
      <c r="EG104" s="230">
        <v>3675668</v>
      </c>
      <c r="EH104" s="230">
        <v>2363792</v>
      </c>
      <c r="EI104" s="229">
        <v>0.55500000000000005</v>
      </c>
      <c r="EJ104" s="229">
        <v>0.45350000000000001</v>
      </c>
      <c r="EK104" s="228">
        <v>277.61</v>
      </c>
      <c r="EL104" s="228">
        <v>101.81</v>
      </c>
      <c r="EM104" s="228">
        <v>112.7</v>
      </c>
      <c r="EN104" s="228">
        <v>18.48</v>
      </c>
      <c r="EO104" s="228">
        <v>492.12</v>
      </c>
      <c r="EP104" s="228">
        <v>251.69</v>
      </c>
      <c r="EQ104" s="228">
        <v>240.43</v>
      </c>
      <c r="ER104" s="229">
        <v>0.95530000000000004</v>
      </c>
      <c r="ES104" s="228">
        <v>344</v>
      </c>
      <c r="ET104" s="228">
        <v>187.88</v>
      </c>
      <c r="EU104" s="228">
        <v>562.70000000000005</v>
      </c>
      <c r="EV104" s="231">
        <v>226853356</v>
      </c>
      <c r="EW104" s="231">
        <v>1094.5899999999999</v>
      </c>
      <c r="EX104" s="231">
        <v>1078.1400000000001</v>
      </c>
      <c r="EY104" s="228">
        <v>16.45</v>
      </c>
      <c r="EZ104" s="229">
        <v>1.5299999999999999E-2</v>
      </c>
      <c r="FA104" s="229">
        <v>0.37740000000000001</v>
      </c>
      <c r="FB104" s="227" t="s">
        <v>556</v>
      </c>
      <c r="FC104">
        <f t="shared" si="1"/>
        <v>63</v>
      </c>
    </row>
    <row r="105" spans="1:159" ht="17.25" thickBot="1" x14ac:dyDescent="0.3">
      <c r="A105" s="226">
        <v>45940</v>
      </c>
      <c r="B105" s="227" t="s">
        <v>168</v>
      </c>
      <c r="C105" s="227" t="s">
        <v>242</v>
      </c>
      <c r="D105" s="228">
        <v>1600</v>
      </c>
      <c r="E105" s="228">
        <v>18</v>
      </c>
      <c r="F105" s="228">
        <v>405</v>
      </c>
      <c r="G105" s="228">
        <v>402.2</v>
      </c>
      <c r="H105" s="228">
        <v>2.8</v>
      </c>
      <c r="I105" s="229">
        <v>7.0000000000000001E-3</v>
      </c>
      <c r="J105" s="228">
        <v>402.8</v>
      </c>
      <c r="K105" s="228">
        <v>399.9</v>
      </c>
      <c r="L105" s="228">
        <v>2.9</v>
      </c>
      <c r="M105" s="229">
        <v>7.3000000000000001E-3</v>
      </c>
      <c r="N105" s="228">
        <v>405</v>
      </c>
      <c r="O105" s="228">
        <v>402.2</v>
      </c>
      <c r="P105" s="228">
        <v>2.8</v>
      </c>
      <c r="Q105" s="229">
        <v>7.0000000000000001E-3</v>
      </c>
      <c r="R105" s="228">
        <v>407.15</v>
      </c>
      <c r="S105" s="228">
        <v>404.25</v>
      </c>
      <c r="T105" s="228">
        <v>2.9</v>
      </c>
      <c r="U105" s="229">
        <v>7.1999999999999998E-3</v>
      </c>
      <c r="V105" s="228">
        <v>409.6</v>
      </c>
      <c r="W105" s="228">
        <v>406.55</v>
      </c>
      <c r="X105" s="228">
        <v>3.05</v>
      </c>
      <c r="Y105" s="229">
        <v>7.4999999999999997E-3</v>
      </c>
      <c r="Z105" s="228">
        <v>2.2000000000000002</v>
      </c>
      <c r="AA105" s="228">
        <v>2.2999999999999998</v>
      </c>
      <c r="AB105" s="228">
        <v>-0.1</v>
      </c>
      <c r="AC105" s="229">
        <v>5.4999999999999997E-3</v>
      </c>
      <c r="AD105" s="228">
        <v>2.2000000000000002</v>
      </c>
      <c r="AE105" s="228">
        <v>2.2999999999999998</v>
      </c>
      <c r="AF105" s="228">
        <v>-0.1</v>
      </c>
      <c r="AG105" s="229">
        <v>5.4999999999999997E-3</v>
      </c>
      <c r="AH105" s="228">
        <v>4.3499999999999996</v>
      </c>
      <c r="AI105" s="228">
        <v>4.3499999999999996</v>
      </c>
      <c r="AJ105" s="228">
        <v>0</v>
      </c>
      <c r="AK105" s="229">
        <v>1.0800000000000001E-2</v>
      </c>
      <c r="AL105" s="228">
        <v>6.8</v>
      </c>
      <c r="AM105" s="228">
        <v>6.65</v>
      </c>
      <c r="AN105" s="228">
        <v>0.15</v>
      </c>
      <c r="AO105" s="229">
        <v>1.6899999999999998E-2</v>
      </c>
      <c r="AP105" s="228">
        <v>404.59</v>
      </c>
      <c r="AQ105" s="228">
        <v>406.78</v>
      </c>
      <c r="AR105" s="228">
        <v>0</v>
      </c>
      <c r="AS105" s="228">
        <v>833</v>
      </c>
      <c r="AT105" s="228">
        <v>529</v>
      </c>
      <c r="AU105" s="228">
        <v>305</v>
      </c>
      <c r="AV105" s="229">
        <v>0.57620000000000005</v>
      </c>
      <c r="AW105" s="228">
        <v>761</v>
      </c>
      <c r="AX105" s="228">
        <v>489</v>
      </c>
      <c r="AY105" s="228">
        <v>273</v>
      </c>
      <c r="AZ105" s="229">
        <v>0.5575</v>
      </c>
      <c r="BA105" s="228">
        <v>49</v>
      </c>
      <c r="BB105" s="228">
        <v>32</v>
      </c>
      <c r="BC105" s="228">
        <v>17</v>
      </c>
      <c r="BD105" s="229">
        <v>0.54830000000000001</v>
      </c>
      <c r="BE105" s="228">
        <v>23</v>
      </c>
      <c r="BF105" s="228">
        <v>8</v>
      </c>
      <c r="BG105" s="228">
        <v>15</v>
      </c>
      <c r="BH105" s="229">
        <v>1.7890999999999999</v>
      </c>
      <c r="BI105" s="230">
        <v>2102</v>
      </c>
      <c r="BJ105" s="230">
        <v>1247</v>
      </c>
      <c r="BK105" s="228">
        <v>856</v>
      </c>
      <c r="BL105" s="229">
        <v>0.68640000000000001</v>
      </c>
      <c r="BM105" s="230">
        <v>1214</v>
      </c>
      <c r="BN105" s="228">
        <v>725</v>
      </c>
      <c r="BO105" s="228">
        <v>488</v>
      </c>
      <c r="BP105" s="229">
        <v>0.67320000000000002</v>
      </c>
      <c r="BQ105" s="230">
        <v>4150</v>
      </c>
      <c r="BR105" s="230">
        <v>2501</v>
      </c>
      <c r="BS105" s="230">
        <v>1649</v>
      </c>
      <c r="BT105" s="229">
        <v>0.6593</v>
      </c>
      <c r="BU105" s="230">
        <v>19173015</v>
      </c>
      <c r="BV105" s="230">
        <v>16722114</v>
      </c>
      <c r="BW105" s="230">
        <v>2450901</v>
      </c>
      <c r="BX105" s="229">
        <v>0.14660000000000001</v>
      </c>
      <c r="BY105" s="230">
        <v>5240</v>
      </c>
      <c r="BZ105" s="230">
        <v>5049</v>
      </c>
      <c r="CA105" s="228">
        <v>192</v>
      </c>
      <c r="CB105" s="229">
        <v>3.7999999999999999E-2</v>
      </c>
      <c r="CC105" s="230">
        <v>4988</v>
      </c>
      <c r="CD105" s="230">
        <v>4817</v>
      </c>
      <c r="CE105" s="228">
        <v>171</v>
      </c>
      <c r="CF105" s="229">
        <v>3.5400000000000001E-2</v>
      </c>
      <c r="CG105" s="228">
        <v>224</v>
      </c>
      <c r="CH105" s="228">
        <v>213</v>
      </c>
      <c r="CI105" s="228">
        <v>12</v>
      </c>
      <c r="CJ105" s="229">
        <v>5.4199999999999998E-2</v>
      </c>
      <c r="CK105" s="228">
        <v>28</v>
      </c>
      <c r="CL105" s="228">
        <v>19</v>
      </c>
      <c r="CM105" s="228">
        <v>10</v>
      </c>
      <c r="CN105" s="229">
        <v>0.50339999999999996</v>
      </c>
      <c r="CO105" s="230">
        <v>1835</v>
      </c>
      <c r="CP105" s="230">
        <v>1918</v>
      </c>
      <c r="CQ105" s="228">
        <v>-83</v>
      </c>
      <c r="CR105" s="229">
        <v>-4.3499999999999997E-2</v>
      </c>
      <c r="CS105" s="230">
        <v>1238</v>
      </c>
      <c r="CT105" s="230">
        <v>1264</v>
      </c>
      <c r="CU105" s="228">
        <v>-26</v>
      </c>
      <c r="CV105" s="229">
        <v>-2.0799999999999999E-2</v>
      </c>
      <c r="CW105" s="230">
        <v>8314</v>
      </c>
      <c r="CX105" s="230">
        <v>8232</v>
      </c>
      <c r="CY105" s="228">
        <v>82</v>
      </c>
      <c r="CZ105" s="229">
        <v>0.01</v>
      </c>
      <c r="DA105" s="228">
        <v>14.16</v>
      </c>
      <c r="DB105" s="228">
        <v>15.46</v>
      </c>
      <c r="DC105" s="228">
        <v>-1.3</v>
      </c>
      <c r="DD105" s="228">
        <v>-1.3</v>
      </c>
      <c r="DE105" s="228">
        <v>19.690000000000001</v>
      </c>
      <c r="DF105" s="228">
        <v>19.71</v>
      </c>
      <c r="DG105" s="228">
        <v>-5.53</v>
      </c>
      <c r="DH105" s="228">
        <v>-0.02</v>
      </c>
      <c r="DI105" s="228">
        <v>13.99</v>
      </c>
      <c r="DJ105" s="228">
        <v>15.51</v>
      </c>
      <c r="DK105" s="228">
        <v>-1.52</v>
      </c>
      <c r="DL105" s="228">
        <v>-1.52</v>
      </c>
      <c r="DM105" s="228">
        <v>14.44</v>
      </c>
      <c r="DN105" s="228">
        <v>15.38</v>
      </c>
      <c r="DO105" s="228">
        <v>-0.94</v>
      </c>
      <c r="DP105" s="228">
        <v>-0.94</v>
      </c>
      <c r="DQ105" s="228">
        <v>0.67</v>
      </c>
      <c r="DR105" s="228">
        <v>0.66</v>
      </c>
      <c r="DS105" s="228">
        <v>0.01</v>
      </c>
      <c r="DT105" s="229">
        <v>1.52E-2</v>
      </c>
      <c r="DU105" s="228">
        <v>410</v>
      </c>
      <c r="DV105" s="228">
        <v>400</v>
      </c>
      <c r="DW105" s="228">
        <v>0.57999999999999996</v>
      </c>
      <c r="DX105" s="228">
        <v>0.57999999999999996</v>
      </c>
      <c r="DY105" s="228">
        <v>0</v>
      </c>
      <c r="DZ105" s="229">
        <v>0</v>
      </c>
      <c r="EA105" s="229">
        <v>4.8300000000000003E-2</v>
      </c>
      <c r="EB105" s="230">
        <v>5723200</v>
      </c>
      <c r="EC105" s="229">
        <v>5.3E-3</v>
      </c>
      <c r="ED105" s="229">
        <v>4.8300000000000003E-2</v>
      </c>
      <c r="EE105" s="228">
        <v>2.19</v>
      </c>
      <c r="EF105" s="229">
        <v>5.4000000000000003E-3</v>
      </c>
      <c r="EG105" s="230">
        <v>14388000</v>
      </c>
      <c r="EH105" s="230">
        <v>11545565</v>
      </c>
      <c r="EI105" s="229">
        <v>0.2462</v>
      </c>
      <c r="EJ105" s="229">
        <v>0.75039999999999996</v>
      </c>
      <c r="EK105" s="231">
        <v>2142.15</v>
      </c>
      <c r="EL105" s="231">
        <v>1207.94</v>
      </c>
      <c r="EM105" s="228">
        <v>833.15</v>
      </c>
      <c r="EN105" s="228">
        <v>81.16</v>
      </c>
      <c r="EO105" s="231">
        <v>4183.24</v>
      </c>
      <c r="EP105" s="231">
        <v>2512.1999999999998</v>
      </c>
      <c r="EQ105" s="231">
        <v>1671.04</v>
      </c>
      <c r="ER105" s="229">
        <v>0.66520000000000001</v>
      </c>
      <c r="ES105" s="231">
        <v>1882.32</v>
      </c>
      <c r="ET105" s="231">
        <v>1225.24</v>
      </c>
      <c r="EU105" s="231">
        <v>5241.8900000000003</v>
      </c>
      <c r="EV105" s="231">
        <v>1251412841</v>
      </c>
      <c r="EW105" s="231">
        <v>8349.4599999999991</v>
      </c>
      <c r="EX105" s="231">
        <v>8230.0300000000007</v>
      </c>
      <c r="EY105" s="228">
        <v>119.43</v>
      </c>
      <c r="EZ105" s="229">
        <v>1.4500000000000001E-2</v>
      </c>
      <c r="FA105" s="229">
        <v>0.16400000000000001</v>
      </c>
      <c r="FB105" s="227" t="s">
        <v>555</v>
      </c>
      <c r="FC105">
        <f t="shared" si="1"/>
        <v>252</v>
      </c>
    </row>
    <row r="106" spans="1:159" ht="17.25" thickBot="1" x14ac:dyDescent="0.3">
      <c r="A106" s="226">
        <v>45940</v>
      </c>
      <c r="B106" s="227" t="s">
        <v>227</v>
      </c>
      <c r="C106" s="227" t="s">
        <v>243</v>
      </c>
      <c r="D106" s="228">
        <v>625</v>
      </c>
      <c r="E106" s="228">
        <v>18</v>
      </c>
      <c r="F106" s="231">
        <v>1020.2</v>
      </c>
      <c r="G106" s="231">
        <v>1042.5</v>
      </c>
      <c r="H106" s="228">
        <v>-22.3</v>
      </c>
      <c r="I106" s="229">
        <v>-2.1399999999999999E-2</v>
      </c>
      <c r="J106" s="231">
        <v>1015.2</v>
      </c>
      <c r="K106" s="231">
        <v>1040.3</v>
      </c>
      <c r="L106" s="228">
        <v>-25.1</v>
      </c>
      <c r="M106" s="229">
        <v>-2.41E-2</v>
      </c>
      <c r="N106" s="231">
        <v>1020.2</v>
      </c>
      <c r="O106" s="231">
        <v>1042.5</v>
      </c>
      <c r="P106" s="228">
        <v>-22.3</v>
      </c>
      <c r="Q106" s="229">
        <v>-2.1399999999999999E-2</v>
      </c>
      <c r="R106" s="231">
        <v>1025.9000000000001</v>
      </c>
      <c r="S106" s="231">
        <v>1048</v>
      </c>
      <c r="T106" s="228">
        <v>-22.1</v>
      </c>
      <c r="U106" s="229">
        <v>-2.1100000000000001E-2</v>
      </c>
      <c r="V106" s="231">
        <v>1031.5999999999999</v>
      </c>
      <c r="W106" s="231">
        <v>1049.3</v>
      </c>
      <c r="X106" s="228">
        <v>-17.7</v>
      </c>
      <c r="Y106" s="229">
        <v>-1.6899999999999998E-2</v>
      </c>
      <c r="Z106" s="228">
        <v>5</v>
      </c>
      <c r="AA106" s="228">
        <v>2.2000000000000002</v>
      </c>
      <c r="AB106" s="228">
        <v>2.8</v>
      </c>
      <c r="AC106" s="229">
        <v>4.8999999999999998E-3</v>
      </c>
      <c r="AD106" s="228">
        <v>5</v>
      </c>
      <c r="AE106" s="228">
        <v>2.2000000000000002</v>
      </c>
      <c r="AF106" s="228">
        <v>2.8</v>
      </c>
      <c r="AG106" s="229">
        <v>4.8999999999999998E-3</v>
      </c>
      <c r="AH106" s="228">
        <v>10.7</v>
      </c>
      <c r="AI106" s="228">
        <v>7.7</v>
      </c>
      <c r="AJ106" s="228">
        <v>3</v>
      </c>
      <c r="AK106" s="229">
        <v>1.0500000000000001E-2</v>
      </c>
      <c r="AL106" s="228">
        <v>16.399999999999999</v>
      </c>
      <c r="AM106" s="228">
        <v>9</v>
      </c>
      <c r="AN106" s="228">
        <v>7.4</v>
      </c>
      <c r="AO106" s="229">
        <v>1.6199999999999999E-2</v>
      </c>
      <c r="AP106" s="231">
        <v>1024.22</v>
      </c>
      <c r="AQ106" s="231">
        <v>1029.98</v>
      </c>
      <c r="AR106" s="228">
        <v>0</v>
      </c>
      <c r="AS106" s="228">
        <v>306</v>
      </c>
      <c r="AT106" s="228">
        <v>329</v>
      </c>
      <c r="AU106" s="228">
        <v>-22</v>
      </c>
      <c r="AV106" s="229">
        <v>-6.83E-2</v>
      </c>
      <c r="AW106" s="228">
        <v>294</v>
      </c>
      <c r="AX106" s="228">
        <v>317</v>
      </c>
      <c r="AY106" s="228">
        <v>-23</v>
      </c>
      <c r="AZ106" s="229">
        <v>-7.3200000000000001E-2</v>
      </c>
      <c r="BA106" s="228">
        <v>11</v>
      </c>
      <c r="BB106" s="228">
        <v>11</v>
      </c>
      <c r="BC106" s="228">
        <v>0</v>
      </c>
      <c r="BD106" s="229">
        <v>-5.7999999999999996E-3</v>
      </c>
      <c r="BE106" s="228">
        <v>1</v>
      </c>
      <c r="BF106" s="228">
        <v>1</v>
      </c>
      <c r="BG106" s="228">
        <v>1</v>
      </c>
      <c r="BH106" s="229">
        <v>1.3</v>
      </c>
      <c r="BI106" s="228">
        <v>936</v>
      </c>
      <c r="BJ106" s="228">
        <v>940</v>
      </c>
      <c r="BK106" s="228">
        <v>-4</v>
      </c>
      <c r="BL106" s="229">
        <v>-4.3E-3</v>
      </c>
      <c r="BM106" s="228">
        <v>329</v>
      </c>
      <c r="BN106" s="228">
        <v>331</v>
      </c>
      <c r="BO106" s="228">
        <v>-2</v>
      </c>
      <c r="BP106" s="229">
        <v>-5.5999999999999999E-3</v>
      </c>
      <c r="BQ106" s="230">
        <v>1571</v>
      </c>
      <c r="BR106" s="230">
        <v>1600</v>
      </c>
      <c r="BS106" s="228">
        <v>-28</v>
      </c>
      <c r="BT106" s="229">
        <v>-1.77E-2</v>
      </c>
      <c r="BU106" s="230">
        <v>2457549</v>
      </c>
      <c r="BV106" s="230">
        <v>2772965</v>
      </c>
      <c r="BW106" s="230">
        <v>-315416</v>
      </c>
      <c r="BX106" s="229">
        <v>-0.1137</v>
      </c>
      <c r="BY106" s="230">
        <v>1449</v>
      </c>
      <c r="BZ106" s="230">
        <v>1442</v>
      </c>
      <c r="CA106" s="228">
        <v>7</v>
      </c>
      <c r="CB106" s="229">
        <v>5.1000000000000004E-3</v>
      </c>
      <c r="CC106" s="230">
        <v>1429</v>
      </c>
      <c r="CD106" s="230">
        <v>1425</v>
      </c>
      <c r="CE106" s="228">
        <v>4</v>
      </c>
      <c r="CF106" s="229">
        <v>2.7000000000000001E-3</v>
      </c>
      <c r="CG106" s="228">
        <v>17</v>
      </c>
      <c r="CH106" s="228">
        <v>14</v>
      </c>
      <c r="CI106" s="228">
        <v>3</v>
      </c>
      <c r="CJ106" s="229">
        <v>0.20549999999999999</v>
      </c>
      <c r="CK106" s="228">
        <v>4</v>
      </c>
      <c r="CL106" s="228">
        <v>3</v>
      </c>
      <c r="CM106" s="228">
        <v>1</v>
      </c>
      <c r="CN106" s="229">
        <v>0.2</v>
      </c>
      <c r="CO106" s="228">
        <v>780</v>
      </c>
      <c r="CP106" s="228">
        <v>644</v>
      </c>
      <c r="CQ106" s="228">
        <v>136</v>
      </c>
      <c r="CR106" s="229">
        <v>0.21160000000000001</v>
      </c>
      <c r="CS106" s="228">
        <v>406</v>
      </c>
      <c r="CT106" s="228">
        <v>383</v>
      </c>
      <c r="CU106" s="228">
        <v>23</v>
      </c>
      <c r="CV106" s="229">
        <v>6.0600000000000001E-2</v>
      </c>
      <c r="CW106" s="230">
        <v>2635</v>
      </c>
      <c r="CX106" s="230">
        <v>2468</v>
      </c>
      <c r="CY106" s="228">
        <v>167</v>
      </c>
      <c r="CZ106" s="229">
        <v>6.7599999999999993E-2</v>
      </c>
      <c r="DA106" s="228">
        <v>27.48</v>
      </c>
      <c r="DB106" s="228">
        <v>27.22</v>
      </c>
      <c r="DC106" s="228">
        <v>0.26</v>
      </c>
      <c r="DD106" s="228">
        <v>0.26</v>
      </c>
      <c r="DE106" s="228">
        <v>36.36</v>
      </c>
      <c r="DF106" s="228">
        <v>36.299999999999997</v>
      </c>
      <c r="DG106" s="228">
        <v>-8.8800000000000008</v>
      </c>
      <c r="DH106" s="228">
        <v>0.06</v>
      </c>
      <c r="DI106" s="228">
        <v>27.69</v>
      </c>
      <c r="DJ106" s="228">
        <v>27.1</v>
      </c>
      <c r="DK106" s="228">
        <v>0.59</v>
      </c>
      <c r="DL106" s="228">
        <v>0.59</v>
      </c>
      <c r="DM106" s="228">
        <v>26.88</v>
      </c>
      <c r="DN106" s="228">
        <v>27.55</v>
      </c>
      <c r="DO106" s="228">
        <v>-0.67</v>
      </c>
      <c r="DP106" s="228">
        <v>-0.67</v>
      </c>
      <c r="DQ106" s="228">
        <v>0.52</v>
      </c>
      <c r="DR106" s="228">
        <v>0.59</v>
      </c>
      <c r="DS106" s="228">
        <v>-7.0000000000000007E-2</v>
      </c>
      <c r="DT106" s="229">
        <v>-0.1186</v>
      </c>
      <c r="DU106" s="231">
        <v>1100</v>
      </c>
      <c r="DV106" s="231">
        <v>1000</v>
      </c>
      <c r="DW106" s="228">
        <v>0.35</v>
      </c>
      <c r="DX106" s="228">
        <v>0.35</v>
      </c>
      <c r="DY106" s="228">
        <v>0</v>
      </c>
      <c r="DZ106" s="229">
        <v>0</v>
      </c>
      <c r="EA106" s="229">
        <v>1.43E-2</v>
      </c>
      <c r="EB106" s="230">
        <v>168125</v>
      </c>
      <c r="EC106" s="229">
        <v>5.5999999999999999E-3</v>
      </c>
      <c r="ED106" s="229">
        <v>1.43E-2</v>
      </c>
      <c r="EE106" s="228">
        <v>5.76</v>
      </c>
      <c r="EF106" s="229">
        <v>5.5999999999999999E-3</v>
      </c>
      <c r="EG106" s="230">
        <v>1104222</v>
      </c>
      <c r="EH106" s="230">
        <v>1695688</v>
      </c>
      <c r="EI106" s="229">
        <v>-0.3488</v>
      </c>
      <c r="EJ106" s="229">
        <v>0.44929999999999998</v>
      </c>
      <c r="EK106" s="228">
        <v>989.45</v>
      </c>
      <c r="EL106" s="228">
        <v>330.14</v>
      </c>
      <c r="EM106" s="228">
        <v>307.60000000000002</v>
      </c>
      <c r="EN106" s="228">
        <v>59.61</v>
      </c>
      <c r="EO106" s="231">
        <v>1627.19</v>
      </c>
      <c r="EP106" s="231">
        <v>1661.68</v>
      </c>
      <c r="EQ106" s="228">
        <v>-34.49</v>
      </c>
      <c r="ER106" s="229">
        <v>-2.0799999999999999E-2</v>
      </c>
      <c r="ES106" s="228">
        <v>827.62</v>
      </c>
      <c r="ET106" s="228">
        <v>402.38</v>
      </c>
      <c r="EU106" s="231">
        <v>1449.46</v>
      </c>
      <c r="EV106" s="231">
        <v>54776702</v>
      </c>
      <c r="EW106" s="231">
        <v>2679.46</v>
      </c>
      <c r="EX106" s="231">
        <v>2540.2199999999998</v>
      </c>
      <c r="EY106" s="228">
        <v>139.24</v>
      </c>
      <c r="EZ106" s="229">
        <v>5.4800000000000001E-2</v>
      </c>
      <c r="FA106" s="229">
        <v>0.47149999999999997</v>
      </c>
      <c r="FB106" s="227" t="s">
        <v>567</v>
      </c>
      <c r="FC106">
        <f t="shared" si="1"/>
        <v>20</v>
      </c>
    </row>
    <row r="107" spans="1:159" ht="17.25" thickBot="1" x14ac:dyDescent="0.3">
      <c r="A107" s="226">
        <v>45940</v>
      </c>
      <c r="B107" s="227" t="s">
        <v>175</v>
      </c>
      <c r="C107" s="227" t="s">
        <v>571</v>
      </c>
      <c r="D107" s="228">
        <v>2350</v>
      </c>
      <c r="E107" s="228">
        <v>18</v>
      </c>
      <c r="F107" s="228">
        <v>309.89999999999998</v>
      </c>
      <c r="G107" s="228">
        <v>308.95</v>
      </c>
      <c r="H107" s="228">
        <v>0.95</v>
      </c>
      <c r="I107" s="229">
        <v>3.0999999999999999E-3</v>
      </c>
      <c r="J107" s="228">
        <v>308.14999999999998</v>
      </c>
      <c r="K107" s="228">
        <v>307.35000000000002</v>
      </c>
      <c r="L107" s="228">
        <v>0.8</v>
      </c>
      <c r="M107" s="229">
        <v>2.5999999999999999E-3</v>
      </c>
      <c r="N107" s="228">
        <v>309.89999999999998</v>
      </c>
      <c r="O107" s="228">
        <v>308.95</v>
      </c>
      <c r="P107" s="228">
        <v>0.95</v>
      </c>
      <c r="Q107" s="229">
        <v>3.0999999999999999E-3</v>
      </c>
      <c r="R107" s="228">
        <v>311.60000000000002</v>
      </c>
      <c r="S107" s="228">
        <v>310.64999999999998</v>
      </c>
      <c r="T107" s="228">
        <v>0.95</v>
      </c>
      <c r="U107" s="229">
        <v>3.0999999999999999E-3</v>
      </c>
      <c r="V107" s="228">
        <v>313.60000000000002</v>
      </c>
      <c r="W107" s="228">
        <v>312.45</v>
      </c>
      <c r="X107" s="228">
        <v>1.1499999999999999</v>
      </c>
      <c r="Y107" s="229">
        <v>3.7000000000000002E-3</v>
      </c>
      <c r="Z107" s="228">
        <v>1.75</v>
      </c>
      <c r="AA107" s="228">
        <v>1.6</v>
      </c>
      <c r="AB107" s="228">
        <v>0.15</v>
      </c>
      <c r="AC107" s="229">
        <v>5.7000000000000002E-3</v>
      </c>
      <c r="AD107" s="228">
        <v>1.75</v>
      </c>
      <c r="AE107" s="228">
        <v>1.6</v>
      </c>
      <c r="AF107" s="228">
        <v>0.15</v>
      </c>
      <c r="AG107" s="229">
        <v>5.7000000000000002E-3</v>
      </c>
      <c r="AH107" s="228">
        <v>3.45</v>
      </c>
      <c r="AI107" s="228">
        <v>3.3</v>
      </c>
      <c r="AJ107" s="228">
        <v>0.15</v>
      </c>
      <c r="AK107" s="229">
        <v>1.12E-2</v>
      </c>
      <c r="AL107" s="228">
        <v>5.45</v>
      </c>
      <c r="AM107" s="228">
        <v>5.0999999999999996</v>
      </c>
      <c r="AN107" s="228">
        <v>0.35</v>
      </c>
      <c r="AO107" s="229">
        <v>1.77E-2</v>
      </c>
      <c r="AP107" s="228">
        <v>310.81</v>
      </c>
      <c r="AQ107" s="228">
        <v>312.37</v>
      </c>
      <c r="AR107" s="228">
        <v>0</v>
      </c>
      <c r="AS107" s="228">
        <v>429</v>
      </c>
      <c r="AT107" s="228">
        <v>364</v>
      </c>
      <c r="AU107" s="228">
        <v>64</v>
      </c>
      <c r="AV107" s="229">
        <v>0.17630000000000001</v>
      </c>
      <c r="AW107" s="228">
        <v>355</v>
      </c>
      <c r="AX107" s="228">
        <v>319</v>
      </c>
      <c r="AY107" s="228">
        <v>36</v>
      </c>
      <c r="AZ107" s="229">
        <v>0.1115</v>
      </c>
      <c r="BA107" s="228">
        <v>52</v>
      </c>
      <c r="BB107" s="228">
        <v>35</v>
      </c>
      <c r="BC107" s="228">
        <v>17</v>
      </c>
      <c r="BD107" s="229">
        <v>0.48859999999999998</v>
      </c>
      <c r="BE107" s="228">
        <v>21</v>
      </c>
      <c r="BF107" s="228">
        <v>10</v>
      </c>
      <c r="BG107" s="228">
        <v>11</v>
      </c>
      <c r="BH107" s="229">
        <v>1.163</v>
      </c>
      <c r="BI107" s="230">
        <v>1077</v>
      </c>
      <c r="BJ107" s="230">
        <v>1253</v>
      </c>
      <c r="BK107" s="228">
        <v>-175</v>
      </c>
      <c r="BL107" s="229">
        <v>-0.1399</v>
      </c>
      <c r="BM107" s="228">
        <v>552</v>
      </c>
      <c r="BN107" s="228">
        <v>639</v>
      </c>
      <c r="BO107" s="228">
        <v>-87</v>
      </c>
      <c r="BP107" s="229">
        <v>-0.1368</v>
      </c>
      <c r="BQ107" s="230">
        <v>2058</v>
      </c>
      <c r="BR107" s="230">
        <v>2256</v>
      </c>
      <c r="BS107" s="228">
        <v>-199</v>
      </c>
      <c r="BT107" s="229">
        <v>-8.7999999999999995E-2</v>
      </c>
      <c r="BU107" s="230">
        <v>7900937</v>
      </c>
      <c r="BV107" s="230">
        <v>7298082</v>
      </c>
      <c r="BW107" s="230">
        <v>602855</v>
      </c>
      <c r="BX107" s="229">
        <v>8.2600000000000007E-2</v>
      </c>
      <c r="BY107" s="230">
        <v>4199</v>
      </c>
      <c r="BZ107" s="230">
        <v>4177</v>
      </c>
      <c r="CA107" s="228">
        <v>22</v>
      </c>
      <c r="CB107" s="229">
        <v>5.4000000000000003E-3</v>
      </c>
      <c r="CC107" s="230">
        <v>3920</v>
      </c>
      <c r="CD107" s="230">
        <v>3910</v>
      </c>
      <c r="CE107" s="228">
        <v>11</v>
      </c>
      <c r="CF107" s="229">
        <v>2.8E-3</v>
      </c>
      <c r="CG107" s="228">
        <v>244</v>
      </c>
      <c r="CH107" s="228">
        <v>237</v>
      </c>
      <c r="CI107" s="228">
        <v>6</v>
      </c>
      <c r="CJ107" s="229">
        <v>2.58E-2</v>
      </c>
      <c r="CK107" s="228">
        <v>35</v>
      </c>
      <c r="CL107" s="228">
        <v>30</v>
      </c>
      <c r="CM107" s="228">
        <v>5</v>
      </c>
      <c r="CN107" s="229">
        <v>0.1847</v>
      </c>
      <c r="CO107" s="230">
        <v>1691</v>
      </c>
      <c r="CP107" s="230">
        <v>1657</v>
      </c>
      <c r="CQ107" s="228">
        <v>34</v>
      </c>
      <c r="CR107" s="229">
        <v>2.0400000000000001E-2</v>
      </c>
      <c r="CS107" s="230">
        <v>1201</v>
      </c>
      <c r="CT107" s="230">
        <v>1164</v>
      </c>
      <c r="CU107" s="228">
        <v>37</v>
      </c>
      <c r="CV107" s="229">
        <v>3.1699999999999999E-2</v>
      </c>
      <c r="CW107" s="230">
        <v>7091</v>
      </c>
      <c r="CX107" s="230">
        <v>6997</v>
      </c>
      <c r="CY107" s="228">
        <v>93</v>
      </c>
      <c r="CZ107" s="229">
        <v>1.3299999999999999E-2</v>
      </c>
      <c r="DA107" s="228">
        <v>26.48</v>
      </c>
      <c r="DB107" s="228">
        <v>27.31</v>
      </c>
      <c r="DC107" s="228">
        <v>-0.83</v>
      </c>
      <c r="DD107" s="228">
        <v>-0.83</v>
      </c>
      <c r="DE107" s="228">
        <v>36.380000000000003</v>
      </c>
      <c r="DF107" s="228">
        <v>36.47</v>
      </c>
      <c r="DG107" s="228">
        <v>-9.9</v>
      </c>
      <c r="DH107" s="228">
        <v>-0.09</v>
      </c>
      <c r="DI107" s="228">
        <v>26.58</v>
      </c>
      <c r="DJ107" s="228">
        <v>27.33</v>
      </c>
      <c r="DK107" s="228">
        <v>-0.75</v>
      </c>
      <c r="DL107" s="228">
        <v>-0.75</v>
      </c>
      <c r="DM107" s="228">
        <v>26.28</v>
      </c>
      <c r="DN107" s="228">
        <v>27.25</v>
      </c>
      <c r="DO107" s="228">
        <v>-0.97</v>
      </c>
      <c r="DP107" s="228">
        <v>-0.97</v>
      </c>
      <c r="DQ107" s="228">
        <v>0.71</v>
      </c>
      <c r="DR107" s="228">
        <v>0.7</v>
      </c>
      <c r="DS107" s="228">
        <v>0.01</v>
      </c>
      <c r="DT107" s="229">
        <v>1.43E-2</v>
      </c>
      <c r="DU107" s="228">
        <v>320</v>
      </c>
      <c r="DV107" s="228">
        <v>300</v>
      </c>
      <c r="DW107" s="228">
        <v>0.51</v>
      </c>
      <c r="DX107" s="228">
        <v>0.51</v>
      </c>
      <c r="DY107" s="228">
        <v>0</v>
      </c>
      <c r="DZ107" s="229">
        <v>0</v>
      </c>
      <c r="EA107" s="229">
        <v>6.6299999999999998E-2</v>
      </c>
      <c r="EB107" s="230">
        <v>8615100</v>
      </c>
      <c r="EC107" s="229">
        <v>5.4999999999999997E-3</v>
      </c>
      <c r="ED107" s="229">
        <v>6.6299999999999998E-2</v>
      </c>
      <c r="EE107" s="228">
        <v>1.56</v>
      </c>
      <c r="EF107" s="229">
        <v>5.0000000000000001E-3</v>
      </c>
      <c r="EG107" s="230">
        <v>3915163</v>
      </c>
      <c r="EH107" s="230">
        <v>3364671</v>
      </c>
      <c r="EI107" s="229">
        <v>0.1636</v>
      </c>
      <c r="EJ107" s="229">
        <v>0.4955</v>
      </c>
      <c r="EK107" s="231">
        <v>1126.08</v>
      </c>
      <c r="EL107" s="228">
        <v>548.63</v>
      </c>
      <c r="EM107" s="228">
        <v>430.36</v>
      </c>
      <c r="EN107" s="228">
        <v>77.27</v>
      </c>
      <c r="EO107" s="231">
        <v>2105.0700000000002</v>
      </c>
      <c r="EP107" s="231">
        <v>2306.84</v>
      </c>
      <c r="EQ107" s="228">
        <v>-201.77</v>
      </c>
      <c r="ER107" s="229">
        <v>-8.7499999999999994E-2</v>
      </c>
      <c r="ES107" s="231">
        <v>1764.79</v>
      </c>
      <c r="ET107" s="231">
        <v>1187.92</v>
      </c>
      <c r="EU107" s="231">
        <v>4200.71</v>
      </c>
      <c r="EV107" s="231">
        <v>446457456</v>
      </c>
      <c r="EW107" s="231">
        <v>7153.43</v>
      </c>
      <c r="EX107" s="231">
        <v>7046.71</v>
      </c>
      <c r="EY107" s="228">
        <v>106.72</v>
      </c>
      <c r="EZ107" s="229">
        <v>1.5100000000000001E-2</v>
      </c>
      <c r="FA107" s="229">
        <v>0.51249999999999996</v>
      </c>
      <c r="FB107" s="227" t="s">
        <v>555</v>
      </c>
      <c r="FC107">
        <f t="shared" si="1"/>
        <v>279</v>
      </c>
    </row>
    <row r="108" spans="1:159" ht="17.25" thickBot="1" x14ac:dyDescent="0.3">
      <c r="A108" s="226">
        <v>45940</v>
      </c>
      <c r="B108" s="227" t="s">
        <v>161</v>
      </c>
      <c r="C108" s="227" t="s">
        <v>581</v>
      </c>
      <c r="D108" s="228">
        <v>1000</v>
      </c>
      <c r="E108" s="228">
        <v>18</v>
      </c>
      <c r="F108" s="228">
        <v>548.75</v>
      </c>
      <c r="G108" s="228">
        <v>545.20000000000005</v>
      </c>
      <c r="H108" s="228">
        <v>3.55</v>
      </c>
      <c r="I108" s="229">
        <v>6.4999999999999997E-3</v>
      </c>
      <c r="J108" s="228">
        <v>546</v>
      </c>
      <c r="K108" s="228">
        <v>542.79999999999995</v>
      </c>
      <c r="L108" s="228">
        <v>3.2</v>
      </c>
      <c r="M108" s="229">
        <v>5.8999999999999999E-3</v>
      </c>
      <c r="N108" s="228">
        <v>548.75</v>
      </c>
      <c r="O108" s="228">
        <v>545.20000000000005</v>
      </c>
      <c r="P108" s="228">
        <v>3.55</v>
      </c>
      <c r="Q108" s="229">
        <v>6.4999999999999997E-3</v>
      </c>
      <c r="R108" s="228">
        <v>551.9</v>
      </c>
      <c r="S108" s="228">
        <v>548.25</v>
      </c>
      <c r="T108" s="228">
        <v>3.65</v>
      </c>
      <c r="U108" s="229">
        <v>6.7000000000000002E-3</v>
      </c>
      <c r="V108" s="228">
        <v>555.4</v>
      </c>
      <c r="W108" s="228">
        <v>551.65</v>
      </c>
      <c r="X108" s="228">
        <v>3.75</v>
      </c>
      <c r="Y108" s="229">
        <v>6.7999999999999996E-3</v>
      </c>
      <c r="Z108" s="228">
        <v>2.75</v>
      </c>
      <c r="AA108" s="228">
        <v>2.4</v>
      </c>
      <c r="AB108" s="228">
        <v>0.35</v>
      </c>
      <c r="AC108" s="229">
        <v>5.0000000000000001E-3</v>
      </c>
      <c r="AD108" s="228">
        <v>2.75</v>
      </c>
      <c r="AE108" s="228">
        <v>2.4</v>
      </c>
      <c r="AF108" s="228">
        <v>0.35</v>
      </c>
      <c r="AG108" s="229">
        <v>5.0000000000000001E-3</v>
      </c>
      <c r="AH108" s="228">
        <v>5.9</v>
      </c>
      <c r="AI108" s="228">
        <v>5.45</v>
      </c>
      <c r="AJ108" s="228">
        <v>0.45</v>
      </c>
      <c r="AK108" s="229">
        <v>1.0800000000000001E-2</v>
      </c>
      <c r="AL108" s="228">
        <v>9.4</v>
      </c>
      <c r="AM108" s="228">
        <v>8.85</v>
      </c>
      <c r="AN108" s="228">
        <v>0.55000000000000004</v>
      </c>
      <c r="AO108" s="229">
        <v>1.72E-2</v>
      </c>
      <c r="AP108" s="228">
        <v>547.51</v>
      </c>
      <c r="AQ108" s="228">
        <v>550.5</v>
      </c>
      <c r="AR108" s="228">
        <v>0</v>
      </c>
      <c r="AS108" s="228">
        <v>109</v>
      </c>
      <c r="AT108" s="228">
        <v>184</v>
      </c>
      <c r="AU108" s="228">
        <v>-76</v>
      </c>
      <c r="AV108" s="229">
        <v>-0.4108</v>
      </c>
      <c r="AW108" s="228">
        <v>102</v>
      </c>
      <c r="AX108" s="228">
        <v>174</v>
      </c>
      <c r="AY108" s="228">
        <v>-73</v>
      </c>
      <c r="AZ108" s="229">
        <v>-0.4168</v>
      </c>
      <c r="BA108" s="228">
        <v>6</v>
      </c>
      <c r="BB108" s="228">
        <v>9</v>
      </c>
      <c r="BC108" s="228">
        <v>-3</v>
      </c>
      <c r="BD108" s="229">
        <v>-0.3216</v>
      </c>
      <c r="BE108" s="228">
        <v>1</v>
      </c>
      <c r="BF108" s="228">
        <v>1</v>
      </c>
      <c r="BG108" s="228">
        <v>0</v>
      </c>
      <c r="BH108" s="229">
        <v>-0.1429</v>
      </c>
      <c r="BI108" s="228">
        <v>335</v>
      </c>
      <c r="BJ108" s="228">
        <v>567</v>
      </c>
      <c r="BK108" s="228">
        <v>-232</v>
      </c>
      <c r="BL108" s="229">
        <v>-0.40849999999999997</v>
      </c>
      <c r="BM108" s="228">
        <v>84</v>
      </c>
      <c r="BN108" s="228">
        <v>170</v>
      </c>
      <c r="BO108" s="228">
        <v>-86</v>
      </c>
      <c r="BP108" s="229">
        <v>-0.504</v>
      </c>
      <c r="BQ108" s="228">
        <v>528</v>
      </c>
      <c r="BR108" s="228">
        <v>921</v>
      </c>
      <c r="BS108" s="228">
        <v>-393</v>
      </c>
      <c r="BT108" s="229">
        <v>-0.42659999999999998</v>
      </c>
      <c r="BU108" s="230">
        <v>1735748</v>
      </c>
      <c r="BV108" s="230">
        <v>1527875</v>
      </c>
      <c r="BW108" s="230">
        <v>207873</v>
      </c>
      <c r="BX108" s="229">
        <v>0.1361</v>
      </c>
      <c r="BY108" s="230">
        <v>2105</v>
      </c>
      <c r="BZ108" s="230">
        <v>2114</v>
      </c>
      <c r="CA108" s="228">
        <v>-9</v>
      </c>
      <c r="CB108" s="229">
        <v>-4.1000000000000003E-3</v>
      </c>
      <c r="CC108" s="230">
        <v>2082</v>
      </c>
      <c r="CD108" s="230">
        <v>2091</v>
      </c>
      <c r="CE108" s="228">
        <v>-9</v>
      </c>
      <c r="CF108" s="229">
        <v>-4.1999999999999997E-3</v>
      </c>
      <c r="CG108" s="228">
        <v>21</v>
      </c>
      <c r="CH108" s="228">
        <v>22</v>
      </c>
      <c r="CI108" s="228">
        <v>0</v>
      </c>
      <c r="CJ108" s="229">
        <v>-5.1000000000000004E-3</v>
      </c>
      <c r="CK108" s="228">
        <v>2</v>
      </c>
      <c r="CL108" s="228">
        <v>1</v>
      </c>
      <c r="CM108" s="228">
        <v>0</v>
      </c>
      <c r="CN108" s="229">
        <v>0.1923</v>
      </c>
      <c r="CO108" s="228">
        <v>429</v>
      </c>
      <c r="CP108" s="228">
        <v>442</v>
      </c>
      <c r="CQ108" s="228">
        <v>-12</v>
      </c>
      <c r="CR108" s="229">
        <v>-2.8199999999999999E-2</v>
      </c>
      <c r="CS108" s="228">
        <v>212</v>
      </c>
      <c r="CT108" s="228">
        <v>222</v>
      </c>
      <c r="CU108" s="228">
        <v>-10</v>
      </c>
      <c r="CV108" s="229">
        <v>-4.4400000000000002E-2</v>
      </c>
      <c r="CW108" s="230">
        <v>2747</v>
      </c>
      <c r="CX108" s="230">
        <v>2778</v>
      </c>
      <c r="CY108" s="228">
        <v>-31</v>
      </c>
      <c r="CZ108" s="229">
        <v>-1.12E-2</v>
      </c>
      <c r="DA108" s="228">
        <v>28.38</v>
      </c>
      <c r="DB108" s="228">
        <v>29.58</v>
      </c>
      <c r="DC108" s="228">
        <v>-1.2</v>
      </c>
      <c r="DD108" s="228">
        <v>-1.2</v>
      </c>
      <c r="DE108" s="228">
        <v>45.69</v>
      </c>
      <c r="DF108" s="228">
        <v>45.79</v>
      </c>
      <c r="DG108" s="228">
        <v>-17.309999999999999</v>
      </c>
      <c r="DH108" s="228">
        <v>-0.1</v>
      </c>
      <c r="DI108" s="228">
        <v>28.42</v>
      </c>
      <c r="DJ108" s="228">
        <v>29.69</v>
      </c>
      <c r="DK108" s="228">
        <v>-1.27</v>
      </c>
      <c r="DL108" s="228">
        <v>-1.27</v>
      </c>
      <c r="DM108" s="228">
        <v>28.22</v>
      </c>
      <c r="DN108" s="228">
        <v>29.21</v>
      </c>
      <c r="DO108" s="228">
        <v>-0.99</v>
      </c>
      <c r="DP108" s="228">
        <v>-0.99</v>
      </c>
      <c r="DQ108" s="228">
        <v>0.49</v>
      </c>
      <c r="DR108" s="228">
        <v>0.5</v>
      </c>
      <c r="DS108" s="228">
        <v>-0.01</v>
      </c>
      <c r="DT108" s="229">
        <v>-0.02</v>
      </c>
      <c r="DU108" s="228">
        <v>550</v>
      </c>
      <c r="DV108" s="228">
        <v>530</v>
      </c>
      <c r="DW108" s="228">
        <v>0.25</v>
      </c>
      <c r="DX108" s="228">
        <v>0.3</v>
      </c>
      <c r="DY108" s="228">
        <v>-0.05</v>
      </c>
      <c r="DZ108" s="229">
        <v>-0.16669999999999999</v>
      </c>
      <c r="EA108" s="229">
        <v>1.0999999999999999E-2</v>
      </c>
      <c r="EB108" s="230">
        <v>418000</v>
      </c>
      <c r="EC108" s="229">
        <v>5.7000000000000002E-3</v>
      </c>
      <c r="ED108" s="229">
        <v>1.0999999999999999E-2</v>
      </c>
      <c r="EE108" s="228">
        <v>2.99</v>
      </c>
      <c r="EF108" s="229">
        <v>5.4999999999999997E-3</v>
      </c>
      <c r="EG108" s="230">
        <v>992553</v>
      </c>
      <c r="EH108" s="230">
        <v>710321</v>
      </c>
      <c r="EI108" s="229">
        <v>0.39729999999999999</v>
      </c>
      <c r="EJ108" s="229">
        <v>0.57179999999999997</v>
      </c>
      <c r="EK108" s="228">
        <v>348.35</v>
      </c>
      <c r="EL108" s="228">
        <v>83.44</v>
      </c>
      <c r="EM108" s="228">
        <v>108.4</v>
      </c>
      <c r="EN108" s="228">
        <v>37.29</v>
      </c>
      <c r="EO108" s="228">
        <v>540.17999999999995</v>
      </c>
      <c r="EP108" s="228">
        <v>934.29</v>
      </c>
      <c r="EQ108" s="228">
        <v>-394.1</v>
      </c>
      <c r="ER108" s="229">
        <v>-0.42180000000000001</v>
      </c>
      <c r="ES108" s="228">
        <v>439.27</v>
      </c>
      <c r="ET108" s="228">
        <v>204.92</v>
      </c>
      <c r="EU108" s="231">
        <v>2105.31</v>
      </c>
      <c r="EV108" s="231">
        <v>80203755</v>
      </c>
      <c r="EW108" s="231">
        <v>2749.51</v>
      </c>
      <c r="EX108" s="231">
        <v>2766.57</v>
      </c>
      <c r="EY108" s="228">
        <v>-17.059999999999999</v>
      </c>
      <c r="EZ108" s="229">
        <v>-6.1999999999999998E-3</v>
      </c>
      <c r="FA108" s="229">
        <v>0.62419999999999998</v>
      </c>
      <c r="FB108" s="227" t="s">
        <v>556</v>
      </c>
      <c r="FC108">
        <f t="shared" si="1"/>
        <v>23</v>
      </c>
    </row>
    <row r="109" spans="1:159" ht="17.25" thickBot="1" x14ac:dyDescent="0.3">
      <c r="A109" s="226">
        <v>45940</v>
      </c>
      <c r="B109" s="227" t="s">
        <v>227</v>
      </c>
      <c r="C109" s="227" t="s">
        <v>244</v>
      </c>
      <c r="D109" s="228">
        <v>675</v>
      </c>
      <c r="E109" s="228">
        <v>18</v>
      </c>
      <c r="F109" s="231">
        <v>1171.4000000000001</v>
      </c>
      <c r="G109" s="231">
        <v>1179.5999999999999</v>
      </c>
      <c r="H109" s="228">
        <v>-8.1999999999999993</v>
      </c>
      <c r="I109" s="229">
        <v>-7.0000000000000001E-3</v>
      </c>
      <c r="J109" s="231">
        <v>1167.8</v>
      </c>
      <c r="K109" s="231">
        <v>1175.2</v>
      </c>
      <c r="L109" s="228">
        <v>-7.4</v>
      </c>
      <c r="M109" s="229">
        <v>-6.3E-3</v>
      </c>
      <c r="N109" s="231">
        <v>1171.4000000000001</v>
      </c>
      <c r="O109" s="231">
        <v>1179.5999999999999</v>
      </c>
      <c r="P109" s="228">
        <v>-8.1999999999999993</v>
      </c>
      <c r="Q109" s="229">
        <v>-7.0000000000000001E-3</v>
      </c>
      <c r="R109" s="231">
        <v>1178.5999999999999</v>
      </c>
      <c r="S109" s="231">
        <v>1185.3</v>
      </c>
      <c r="T109" s="228">
        <v>-6.7</v>
      </c>
      <c r="U109" s="229">
        <v>-5.7000000000000002E-3</v>
      </c>
      <c r="V109" s="231">
        <v>1183.9000000000001</v>
      </c>
      <c r="W109" s="231">
        <v>1192</v>
      </c>
      <c r="X109" s="228">
        <v>-8.1</v>
      </c>
      <c r="Y109" s="229">
        <v>-6.7999999999999996E-3</v>
      </c>
      <c r="Z109" s="228">
        <v>3.6</v>
      </c>
      <c r="AA109" s="228">
        <v>4.4000000000000004</v>
      </c>
      <c r="AB109" s="228">
        <v>-0.8</v>
      </c>
      <c r="AC109" s="229">
        <v>3.0999999999999999E-3</v>
      </c>
      <c r="AD109" s="228">
        <v>3.6</v>
      </c>
      <c r="AE109" s="228">
        <v>4.4000000000000004</v>
      </c>
      <c r="AF109" s="228">
        <v>-0.8</v>
      </c>
      <c r="AG109" s="229">
        <v>3.0999999999999999E-3</v>
      </c>
      <c r="AH109" s="228">
        <v>10.8</v>
      </c>
      <c r="AI109" s="228">
        <v>10.1</v>
      </c>
      <c r="AJ109" s="228">
        <v>0.7</v>
      </c>
      <c r="AK109" s="229">
        <v>9.1999999999999998E-3</v>
      </c>
      <c r="AL109" s="228">
        <v>16.100000000000001</v>
      </c>
      <c r="AM109" s="228">
        <v>16.8</v>
      </c>
      <c r="AN109" s="228">
        <v>-0.7</v>
      </c>
      <c r="AO109" s="229">
        <v>1.38E-2</v>
      </c>
      <c r="AP109" s="231">
        <v>1167.1199999999999</v>
      </c>
      <c r="AQ109" s="231">
        <v>1173.3800000000001</v>
      </c>
      <c r="AR109" s="228">
        <v>0</v>
      </c>
      <c r="AS109" s="228">
        <v>372</v>
      </c>
      <c r="AT109" s="228">
        <v>467</v>
      </c>
      <c r="AU109" s="228">
        <v>-95</v>
      </c>
      <c r="AV109" s="229">
        <v>-0.20330000000000001</v>
      </c>
      <c r="AW109" s="228">
        <v>341</v>
      </c>
      <c r="AX109" s="228">
        <v>443</v>
      </c>
      <c r="AY109" s="228">
        <v>-102</v>
      </c>
      <c r="AZ109" s="229">
        <v>-0.2303</v>
      </c>
      <c r="BA109" s="228">
        <v>26</v>
      </c>
      <c r="BB109" s="228">
        <v>21</v>
      </c>
      <c r="BC109" s="228">
        <v>5</v>
      </c>
      <c r="BD109" s="229">
        <v>0.24340000000000001</v>
      </c>
      <c r="BE109" s="228">
        <v>4</v>
      </c>
      <c r="BF109" s="228">
        <v>2</v>
      </c>
      <c r="BG109" s="228">
        <v>2</v>
      </c>
      <c r="BH109" s="229">
        <v>0.86670000000000003</v>
      </c>
      <c r="BI109" s="228">
        <v>833</v>
      </c>
      <c r="BJ109" s="230">
        <v>1780</v>
      </c>
      <c r="BK109" s="228">
        <v>-947</v>
      </c>
      <c r="BL109" s="229">
        <v>-0.53200000000000003</v>
      </c>
      <c r="BM109" s="228">
        <v>519</v>
      </c>
      <c r="BN109" s="228">
        <v>760</v>
      </c>
      <c r="BO109" s="228">
        <v>-241</v>
      </c>
      <c r="BP109" s="229">
        <v>-0.31740000000000002</v>
      </c>
      <c r="BQ109" s="230">
        <v>1724</v>
      </c>
      <c r="BR109" s="230">
        <v>3007</v>
      </c>
      <c r="BS109" s="230">
        <v>-1283</v>
      </c>
      <c r="BT109" s="229">
        <v>-0.42670000000000002</v>
      </c>
      <c r="BU109" s="230">
        <v>1528060</v>
      </c>
      <c r="BV109" s="230">
        <v>2087598</v>
      </c>
      <c r="BW109" s="230">
        <v>-559538</v>
      </c>
      <c r="BX109" s="229">
        <v>-0.26800000000000002</v>
      </c>
      <c r="BY109" s="230">
        <v>5268</v>
      </c>
      <c r="BZ109" s="230">
        <v>5268</v>
      </c>
      <c r="CA109" s="228">
        <v>0</v>
      </c>
      <c r="CB109" s="229">
        <v>0</v>
      </c>
      <c r="CC109" s="230">
        <v>5225</v>
      </c>
      <c r="CD109" s="230">
        <v>5234</v>
      </c>
      <c r="CE109" s="228">
        <v>-8</v>
      </c>
      <c r="CF109" s="229">
        <v>-1.6000000000000001E-3</v>
      </c>
      <c r="CG109" s="228">
        <v>37</v>
      </c>
      <c r="CH109" s="228">
        <v>31</v>
      </c>
      <c r="CI109" s="228">
        <v>6</v>
      </c>
      <c r="CJ109" s="229">
        <v>0.18110000000000001</v>
      </c>
      <c r="CK109" s="228">
        <v>6</v>
      </c>
      <c r="CL109" s="228">
        <v>3</v>
      </c>
      <c r="CM109" s="228">
        <v>3</v>
      </c>
      <c r="CN109" s="229">
        <v>0.83720000000000006</v>
      </c>
      <c r="CO109" s="228">
        <v>704</v>
      </c>
      <c r="CP109" s="228">
        <v>696</v>
      </c>
      <c r="CQ109" s="228">
        <v>8</v>
      </c>
      <c r="CR109" s="229">
        <v>1.11E-2</v>
      </c>
      <c r="CS109" s="228">
        <v>459</v>
      </c>
      <c r="CT109" s="228">
        <v>492</v>
      </c>
      <c r="CU109" s="228">
        <v>-33</v>
      </c>
      <c r="CV109" s="229">
        <v>-6.7699999999999996E-2</v>
      </c>
      <c r="CW109" s="230">
        <v>6431</v>
      </c>
      <c r="CX109" s="230">
        <v>6456</v>
      </c>
      <c r="CY109" s="228">
        <v>-25</v>
      </c>
      <c r="CZ109" s="229">
        <v>-3.8999999999999998E-3</v>
      </c>
      <c r="DA109" s="228">
        <v>24.05</v>
      </c>
      <c r="DB109" s="228">
        <v>24.88</v>
      </c>
      <c r="DC109" s="228">
        <v>-0.83</v>
      </c>
      <c r="DD109" s="228">
        <v>-0.83</v>
      </c>
      <c r="DE109" s="228">
        <v>29.67</v>
      </c>
      <c r="DF109" s="228">
        <v>29.73</v>
      </c>
      <c r="DG109" s="228">
        <v>-5.62</v>
      </c>
      <c r="DH109" s="228">
        <v>-0.06</v>
      </c>
      <c r="DI109" s="228">
        <v>23.83</v>
      </c>
      <c r="DJ109" s="228">
        <v>24.71</v>
      </c>
      <c r="DK109" s="228">
        <v>-0.88</v>
      </c>
      <c r="DL109" s="228">
        <v>-0.88</v>
      </c>
      <c r="DM109" s="228">
        <v>24.41</v>
      </c>
      <c r="DN109" s="228">
        <v>25.3</v>
      </c>
      <c r="DO109" s="228">
        <v>-0.89</v>
      </c>
      <c r="DP109" s="228">
        <v>-0.89</v>
      </c>
      <c r="DQ109" s="228">
        <v>0.65</v>
      </c>
      <c r="DR109" s="228">
        <v>0.71</v>
      </c>
      <c r="DS109" s="228">
        <v>-0.06</v>
      </c>
      <c r="DT109" s="229">
        <v>-8.4500000000000006E-2</v>
      </c>
      <c r="DU109" s="231">
        <v>1300</v>
      </c>
      <c r="DV109" s="231">
        <v>1100</v>
      </c>
      <c r="DW109" s="228">
        <v>0.62</v>
      </c>
      <c r="DX109" s="228">
        <v>0.43</v>
      </c>
      <c r="DY109" s="228">
        <v>0.19</v>
      </c>
      <c r="DZ109" s="229">
        <v>0.44190000000000002</v>
      </c>
      <c r="EA109" s="229">
        <v>8.0999999999999996E-3</v>
      </c>
      <c r="EB109" s="230">
        <v>293625</v>
      </c>
      <c r="EC109" s="229">
        <v>6.1000000000000004E-3</v>
      </c>
      <c r="ED109" s="229">
        <v>8.0999999999999996E-3</v>
      </c>
      <c r="EE109" s="228">
        <v>6.26</v>
      </c>
      <c r="EF109" s="229">
        <v>5.4000000000000003E-3</v>
      </c>
      <c r="EG109" s="230">
        <v>845151</v>
      </c>
      <c r="EH109" s="230">
        <v>1028813</v>
      </c>
      <c r="EI109" s="229">
        <v>-0.17849999999999999</v>
      </c>
      <c r="EJ109" s="229">
        <v>0.55310000000000004</v>
      </c>
      <c r="EK109" s="228">
        <v>860.07</v>
      </c>
      <c r="EL109" s="228">
        <v>515.04999999999995</v>
      </c>
      <c r="EM109" s="228">
        <v>370.7</v>
      </c>
      <c r="EN109" s="228">
        <v>45.25</v>
      </c>
      <c r="EO109" s="231">
        <v>1745.82</v>
      </c>
      <c r="EP109" s="231">
        <v>3059.92</v>
      </c>
      <c r="EQ109" s="231">
        <v>-1314.09</v>
      </c>
      <c r="ER109" s="229">
        <v>-0.42949999999999999</v>
      </c>
      <c r="ES109" s="228">
        <v>726.87</v>
      </c>
      <c r="ET109" s="228">
        <v>428.84</v>
      </c>
      <c r="EU109" s="231">
        <v>5268.53</v>
      </c>
      <c r="EV109" s="231">
        <v>133166619</v>
      </c>
      <c r="EW109" s="231">
        <v>6424.24</v>
      </c>
      <c r="EX109" s="231">
        <v>6486.19</v>
      </c>
      <c r="EY109" s="228">
        <v>-61.95</v>
      </c>
      <c r="EZ109" s="229">
        <v>-9.5999999999999992E-3</v>
      </c>
      <c r="FA109" s="229">
        <v>0.4123</v>
      </c>
      <c r="FB109" s="227" t="s">
        <v>237</v>
      </c>
      <c r="FC109">
        <f t="shared" si="1"/>
        <v>43</v>
      </c>
    </row>
    <row r="110" spans="1:159" ht="17.25" thickBot="1" x14ac:dyDescent="0.3">
      <c r="A110" s="226">
        <v>45940</v>
      </c>
      <c r="B110" s="227" t="s">
        <v>168</v>
      </c>
      <c r="C110" s="227" t="s">
        <v>245</v>
      </c>
      <c r="D110" s="228">
        <v>1250</v>
      </c>
      <c r="E110" s="228">
        <v>18</v>
      </c>
      <c r="F110" s="228">
        <v>605.70000000000005</v>
      </c>
      <c r="G110" s="228">
        <v>602.6</v>
      </c>
      <c r="H110" s="228">
        <v>3.1</v>
      </c>
      <c r="I110" s="229">
        <v>5.1000000000000004E-3</v>
      </c>
      <c r="J110" s="228">
        <v>602.29999999999995</v>
      </c>
      <c r="K110" s="228">
        <v>599.15</v>
      </c>
      <c r="L110" s="228">
        <v>3.15</v>
      </c>
      <c r="M110" s="229">
        <v>5.3E-3</v>
      </c>
      <c r="N110" s="228">
        <v>605.70000000000005</v>
      </c>
      <c r="O110" s="228">
        <v>602.6</v>
      </c>
      <c r="P110" s="228">
        <v>3.1</v>
      </c>
      <c r="Q110" s="229">
        <v>5.1000000000000004E-3</v>
      </c>
      <c r="R110" s="228">
        <v>609.29999999999995</v>
      </c>
      <c r="S110" s="228">
        <v>605.65</v>
      </c>
      <c r="T110" s="228">
        <v>3.65</v>
      </c>
      <c r="U110" s="229">
        <v>6.0000000000000001E-3</v>
      </c>
      <c r="V110" s="228">
        <v>612.95000000000005</v>
      </c>
      <c r="W110" s="228">
        <v>609.35</v>
      </c>
      <c r="X110" s="228">
        <v>3.6</v>
      </c>
      <c r="Y110" s="229">
        <v>5.8999999999999999E-3</v>
      </c>
      <c r="Z110" s="228">
        <v>3.4</v>
      </c>
      <c r="AA110" s="228">
        <v>3.45</v>
      </c>
      <c r="AB110" s="228">
        <v>-0.05</v>
      </c>
      <c r="AC110" s="229">
        <v>5.5999999999999999E-3</v>
      </c>
      <c r="AD110" s="228">
        <v>3.4</v>
      </c>
      <c r="AE110" s="228">
        <v>3.45</v>
      </c>
      <c r="AF110" s="228">
        <v>-0.05</v>
      </c>
      <c r="AG110" s="229">
        <v>5.5999999999999999E-3</v>
      </c>
      <c r="AH110" s="228">
        <v>7</v>
      </c>
      <c r="AI110" s="228">
        <v>6.5</v>
      </c>
      <c r="AJ110" s="228">
        <v>0.5</v>
      </c>
      <c r="AK110" s="229">
        <v>1.1599999999999999E-2</v>
      </c>
      <c r="AL110" s="228">
        <v>10.65</v>
      </c>
      <c r="AM110" s="228">
        <v>10.199999999999999</v>
      </c>
      <c r="AN110" s="228">
        <v>0.45</v>
      </c>
      <c r="AO110" s="229">
        <v>1.77E-2</v>
      </c>
      <c r="AP110" s="228">
        <v>603.54999999999995</v>
      </c>
      <c r="AQ110" s="228">
        <v>606.72</v>
      </c>
      <c r="AR110" s="228">
        <v>0</v>
      </c>
      <c r="AS110" s="228">
        <v>132</v>
      </c>
      <c r="AT110" s="228">
        <v>181</v>
      </c>
      <c r="AU110" s="228">
        <v>-50</v>
      </c>
      <c r="AV110" s="229">
        <v>-0.27410000000000001</v>
      </c>
      <c r="AW110" s="228">
        <v>119</v>
      </c>
      <c r="AX110" s="228">
        <v>168</v>
      </c>
      <c r="AY110" s="228">
        <v>-49</v>
      </c>
      <c r="AZ110" s="229">
        <v>-0.29049999999999998</v>
      </c>
      <c r="BA110" s="228">
        <v>9</v>
      </c>
      <c r="BB110" s="228">
        <v>11</v>
      </c>
      <c r="BC110" s="228">
        <v>-2</v>
      </c>
      <c r="BD110" s="229">
        <v>-0.1812</v>
      </c>
      <c r="BE110" s="228">
        <v>3</v>
      </c>
      <c r="BF110" s="228">
        <v>2</v>
      </c>
      <c r="BG110" s="228">
        <v>1</v>
      </c>
      <c r="BH110" s="229">
        <v>0.53569999999999995</v>
      </c>
      <c r="BI110" s="228">
        <v>390</v>
      </c>
      <c r="BJ110" s="228">
        <v>450</v>
      </c>
      <c r="BK110" s="228">
        <v>-60</v>
      </c>
      <c r="BL110" s="229">
        <v>-0.13370000000000001</v>
      </c>
      <c r="BM110" s="228">
        <v>104</v>
      </c>
      <c r="BN110" s="228">
        <v>139</v>
      </c>
      <c r="BO110" s="228">
        <v>-35</v>
      </c>
      <c r="BP110" s="229">
        <v>-0.2505</v>
      </c>
      <c r="BQ110" s="228">
        <v>626</v>
      </c>
      <c r="BR110" s="228">
        <v>771</v>
      </c>
      <c r="BS110" s="228">
        <v>-145</v>
      </c>
      <c r="BT110" s="229">
        <v>-0.18779999999999999</v>
      </c>
      <c r="BU110" s="230">
        <v>1382245</v>
      </c>
      <c r="BV110" s="230">
        <v>1778063</v>
      </c>
      <c r="BW110" s="230">
        <v>-395818</v>
      </c>
      <c r="BX110" s="229">
        <v>-0.22259999999999999</v>
      </c>
      <c r="BY110" s="230">
        <v>1322</v>
      </c>
      <c r="BZ110" s="230">
        <v>1316</v>
      </c>
      <c r="CA110" s="228">
        <v>6</v>
      </c>
      <c r="CB110" s="229">
        <v>4.3E-3</v>
      </c>
      <c r="CC110" s="230">
        <v>1282</v>
      </c>
      <c r="CD110" s="230">
        <v>1282</v>
      </c>
      <c r="CE110" s="228">
        <v>1</v>
      </c>
      <c r="CF110" s="229">
        <v>4.0000000000000002E-4</v>
      </c>
      <c r="CG110" s="228">
        <v>33</v>
      </c>
      <c r="CH110" s="228">
        <v>30</v>
      </c>
      <c r="CI110" s="228">
        <v>3</v>
      </c>
      <c r="CJ110" s="229">
        <v>0.11360000000000001</v>
      </c>
      <c r="CK110" s="228">
        <v>6</v>
      </c>
      <c r="CL110" s="228">
        <v>5</v>
      </c>
      <c r="CM110" s="228">
        <v>2</v>
      </c>
      <c r="CN110" s="229">
        <v>0.377</v>
      </c>
      <c r="CO110" s="228">
        <v>505</v>
      </c>
      <c r="CP110" s="228">
        <v>466</v>
      </c>
      <c r="CQ110" s="228">
        <v>39</v>
      </c>
      <c r="CR110" s="229">
        <v>8.3799999999999999E-2</v>
      </c>
      <c r="CS110" s="228">
        <v>277</v>
      </c>
      <c r="CT110" s="228">
        <v>262</v>
      </c>
      <c r="CU110" s="228">
        <v>15</v>
      </c>
      <c r="CV110" s="229">
        <v>5.8799999999999998E-2</v>
      </c>
      <c r="CW110" s="230">
        <v>2104</v>
      </c>
      <c r="CX110" s="230">
        <v>2044</v>
      </c>
      <c r="CY110" s="228">
        <v>60</v>
      </c>
      <c r="CZ110" s="229">
        <v>2.9399999999999999E-2</v>
      </c>
      <c r="DA110" s="228">
        <v>26.32</v>
      </c>
      <c r="DB110" s="228">
        <v>27.45</v>
      </c>
      <c r="DC110" s="228">
        <v>-1.1299999999999999</v>
      </c>
      <c r="DD110" s="228">
        <v>-1.1299999999999999</v>
      </c>
      <c r="DE110" s="228">
        <v>34.1</v>
      </c>
      <c r="DF110" s="228">
        <v>34.18</v>
      </c>
      <c r="DG110" s="228">
        <v>-7.78</v>
      </c>
      <c r="DH110" s="228">
        <v>-0.08</v>
      </c>
      <c r="DI110" s="228">
        <v>26.39</v>
      </c>
      <c r="DJ110" s="228">
        <v>27.67</v>
      </c>
      <c r="DK110" s="228">
        <v>-1.28</v>
      </c>
      <c r="DL110" s="228">
        <v>-1.28</v>
      </c>
      <c r="DM110" s="228">
        <v>26.08</v>
      </c>
      <c r="DN110" s="228">
        <v>26.75</v>
      </c>
      <c r="DO110" s="228">
        <v>-0.67</v>
      </c>
      <c r="DP110" s="228">
        <v>-0.67</v>
      </c>
      <c r="DQ110" s="228">
        <v>0.55000000000000004</v>
      </c>
      <c r="DR110" s="228">
        <v>0.56000000000000005</v>
      </c>
      <c r="DS110" s="228">
        <v>-0.01</v>
      </c>
      <c r="DT110" s="229">
        <v>-1.7899999999999999E-2</v>
      </c>
      <c r="DU110" s="228">
        <v>650</v>
      </c>
      <c r="DV110" s="228">
        <v>620</v>
      </c>
      <c r="DW110" s="228">
        <v>0.27</v>
      </c>
      <c r="DX110" s="228">
        <v>0.31</v>
      </c>
      <c r="DY110" s="228">
        <v>-0.04</v>
      </c>
      <c r="DZ110" s="229">
        <v>-0.129</v>
      </c>
      <c r="EA110" s="229">
        <v>3.0099999999999998E-2</v>
      </c>
      <c r="EB110" s="230">
        <v>571250</v>
      </c>
      <c r="EC110" s="229">
        <v>5.8999999999999999E-3</v>
      </c>
      <c r="ED110" s="229">
        <v>3.0099999999999998E-2</v>
      </c>
      <c r="EE110" s="228">
        <v>3.17</v>
      </c>
      <c r="EF110" s="229">
        <v>5.3E-3</v>
      </c>
      <c r="EG110" s="230">
        <v>909313</v>
      </c>
      <c r="EH110" s="230">
        <v>1150542</v>
      </c>
      <c r="EI110" s="229">
        <v>-0.2097</v>
      </c>
      <c r="EJ110" s="229">
        <v>0.65790000000000004</v>
      </c>
      <c r="EK110" s="228">
        <v>407.96</v>
      </c>
      <c r="EL110" s="228">
        <v>101.82</v>
      </c>
      <c r="EM110" s="228">
        <v>131.36000000000001</v>
      </c>
      <c r="EN110" s="228">
        <v>27.21</v>
      </c>
      <c r="EO110" s="228">
        <v>641.14</v>
      </c>
      <c r="EP110" s="228">
        <v>790.01</v>
      </c>
      <c r="EQ110" s="228">
        <v>-148.87</v>
      </c>
      <c r="ER110" s="229">
        <v>-0.18840000000000001</v>
      </c>
      <c r="ES110" s="228">
        <v>537.28</v>
      </c>
      <c r="ET110" s="228">
        <v>274.02999999999997</v>
      </c>
      <c r="EU110" s="231">
        <v>1322.44</v>
      </c>
      <c r="EV110" s="231">
        <v>48884739</v>
      </c>
      <c r="EW110" s="231">
        <v>2133.75</v>
      </c>
      <c r="EX110" s="231">
        <v>2065.7199999999998</v>
      </c>
      <c r="EY110" s="228">
        <v>68.03</v>
      </c>
      <c r="EZ110" s="229">
        <v>3.2899999999999999E-2</v>
      </c>
      <c r="FA110" s="229">
        <v>0.7107</v>
      </c>
      <c r="FB110" s="227" t="s">
        <v>555</v>
      </c>
      <c r="FC110">
        <f t="shared" si="1"/>
        <v>40</v>
      </c>
    </row>
    <row r="111" spans="1:159" ht="17.25" thickBot="1" x14ac:dyDescent="0.3">
      <c r="A111" s="226">
        <v>45940</v>
      </c>
      <c r="B111" s="227" t="s">
        <v>168</v>
      </c>
      <c r="C111" s="227" t="s">
        <v>583</v>
      </c>
      <c r="D111" s="228">
        <v>1175</v>
      </c>
      <c r="E111" s="228">
        <v>18</v>
      </c>
      <c r="F111" s="228">
        <v>487.65</v>
      </c>
      <c r="G111" s="228">
        <v>484.95</v>
      </c>
      <c r="H111" s="228">
        <v>2.7</v>
      </c>
      <c r="I111" s="229">
        <v>5.5999999999999999E-3</v>
      </c>
      <c r="J111" s="228">
        <v>484.85</v>
      </c>
      <c r="K111" s="228">
        <v>482.95</v>
      </c>
      <c r="L111" s="228">
        <v>1.9</v>
      </c>
      <c r="M111" s="229">
        <v>3.8999999999999998E-3</v>
      </c>
      <c r="N111" s="228">
        <v>487.65</v>
      </c>
      <c r="O111" s="228">
        <v>484.95</v>
      </c>
      <c r="P111" s="228">
        <v>2.7</v>
      </c>
      <c r="Q111" s="229">
        <v>5.5999999999999999E-3</v>
      </c>
      <c r="R111" s="228">
        <v>490.2</v>
      </c>
      <c r="S111" s="228">
        <v>487.95</v>
      </c>
      <c r="T111" s="228">
        <v>2.25</v>
      </c>
      <c r="U111" s="229">
        <v>4.5999999999999999E-3</v>
      </c>
      <c r="V111" s="228">
        <v>493.05</v>
      </c>
      <c r="W111" s="228">
        <v>490.15</v>
      </c>
      <c r="X111" s="228">
        <v>2.9</v>
      </c>
      <c r="Y111" s="229">
        <v>5.8999999999999999E-3</v>
      </c>
      <c r="Z111" s="228">
        <v>2.8</v>
      </c>
      <c r="AA111" s="228">
        <v>2</v>
      </c>
      <c r="AB111" s="228">
        <v>0.8</v>
      </c>
      <c r="AC111" s="229">
        <v>5.7999999999999996E-3</v>
      </c>
      <c r="AD111" s="228">
        <v>2.8</v>
      </c>
      <c r="AE111" s="228">
        <v>2</v>
      </c>
      <c r="AF111" s="228">
        <v>0.8</v>
      </c>
      <c r="AG111" s="229">
        <v>5.7999999999999996E-3</v>
      </c>
      <c r="AH111" s="228">
        <v>5.35</v>
      </c>
      <c r="AI111" s="228">
        <v>5</v>
      </c>
      <c r="AJ111" s="228">
        <v>0.35</v>
      </c>
      <c r="AK111" s="229">
        <v>1.0999999999999999E-2</v>
      </c>
      <c r="AL111" s="228">
        <v>8.1999999999999993</v>
      </c>
      <c r="AM111" s="228">
        <v>7.2</v>
      </c>
      <c r="AN111" s="228">
        <v>1</v>
      </c>
      <c r="AO111" s="229">
        <v>1.6899999999999998E-2</v>
      </c>
      <c r="AP111" s="228">
        <v>488.34</v>
      </c>
      <c r="AQ111" s="228">
        <v>490.88</v>
      </c>
      <c r="AR111" s="228">
        <v>0</v>
      </c>
      <c r="AS111" s="228">
        <v>104</v>
      </c>
      <c r="AT111" s="228">
        <v>115</v>
      </c>
      <c r="AU111" s="228">
        <v>-12</v>
      </c>
      <c r="AV111" s="229">
        <v>-0.1022</v>
      </c>
      <c r="AW111" s="228">
        <v>97</v>
      </c>
      <c r="AX111" s="228">
        <v>108</v>
      </c>
      <c r="AY111" s="228">
        <v>-11</v>
      </c>
      <c r="AZ111" s="229">
        <v>-0.1057</v>
      </c>
      <c r="BA111" s="228">
        <v>6</v>
      </c>
      <c r="BB111" s="228">
        <v>6</v>
      </c>
      <c r="BC111" s="228">
        <v>0</v>
      </c>
      <c r="BD111" s="229">
        <v>0</v>
      </c>
      <c r="BE111" s="228">
        <v>0</v>
      </c>
      <c r="BF111" s="228">
        <v>1</v>
      </c>
      <c r="BG111" s="228">
        <v>0</v>
      </c>
      <c r="BH111" s="229">
        <v>-0.42859999999999998</v>
      </c>
      <c r="BI111" s="228">
        <v>366</v>
      </c>
      <c r="BJ111" s="228">
        <v>415</v>
      </c>
      <c r="BK111" s="228">
        <v>-50</v>
      </c>
      <c r="BL111" s="229">
        <v>-0.1193</v>
      </c>
      <c r="BM111" s="228">
        <v>141</v>
      </c>
      <c r="BN111" s="228">
        <v>145</v>
      </c>
      <c r="BO111" s="228">
        <v>-4</v>
      </c>
      <c r="BP111" s="229">
        <v>-2.69E-2</v>
      </c>
      <c r="BQ111" s="228">
        <v>611</v>
      </c>
      <c r="BR111" s="228">
        <v>676</v>
      </c>
      <c r="BS111" s="228">
        <v>-65</v>
      </c>
      <c r="BT111" s="229">
        <v>-9.6600000000000005E-2</v>
      </c>
      <c r="BU111" s="230">
        <v>1725891</v>
      </c>
      <c r="BV111" s="230">
        <v>2341181</v>
      </c>
      <c r="BW111" s="230">
        <v>-615290</v>
      </c>
      <c r="BX111" s="229">
        <v>-0.26279999999999998</v>
      </c>
      <c r="BY111" s="230">
        <v>1511</v>
      </c>
      <c r="BZ111" s="230">
        <v>1517</v>
      </c>
      <c r="CA111" s="228">
        <v>-5</v>
      </c>
      <c r="CB111" s="229">
        <v>-3.5999999999999999E-3</v>
      </c>
      <c r="CC111" s="230">
        <v>1456</v>
      </c>
      <c r="CD111" s="230">
        <v>1461</v>
      </c>
      <c r="CE111" s="228">
        <v>-5</v>
      </c>
      <c r="CF111" s="229">
        <v>-3.3E-3</v>
      </c>
      <c r="CG111" s="228">
        <v>50</v>
      </c>
      <c r="CH111" s="228">
        <v>50</v>
      </c>
      <c r="CI111" s="228">
        <v>-1</v>
      </c>
      <c r="CJ111" s="229">
        <v>-1.2500000000000001E-2</v>
      </c>
      <c r="CK111" s="228">
        <v>5</v>
      </c>
      <c r="CL111" s="228">
        <v>5</v>
      </c>
      <c r="CM111" s="228">
        <v>0</v>
      </c>
      <c r="CN111" s="229">
        <v>1.14E-2</v>
      </c>
      <c r="CO111" s="228">
        <v>718</v>
      </c>
      <c r="CP111" s="228">
        <v>703</v>
      </c>
      <c r="CQ111" s="228">
        <v>15</v>
      </c>
      <c r="CR111" s="229">
        <v>2.1899999999999999E-2</v>
      </c>
      <c r="CS111" s="228">
        <v>384</v>
      </c>
      <c r="CT111" s="228">
        <v>377</v>
      </c>
      <c r="CU111" s="228">
        <v>7</v>
      </c>
      <c r="CV111" s="229">
        <v>1.8200000000000001E-2</v>
      </c>
      <c r="CW111" s="230">
        <v>2613</v>
      </c>
      <c r="CX111" s="230">
        <v>2596</v>
      </c>
      <c r="CY111" s="228">
        <v>17</v>
      </c>
      <c r="CZ111" s="229">
        <v>6.4999999999999997E-3</v>
      </c>
      <c r="DA111" s="228">
        <v>34.18</v>
      </c>
      <c r="DB111" s="228">
        <v>36.119999999999997</v>
      </c>
      <c r="DC111" s="228">
        <v>-1.94</v>
      </c>
      <c r="DD111" s="228">
        <v>-1.94</v>
      </c>
      <c r="DE111" s="228">
        <v>52.08</v>
      </c>
      <c r="DF111" s="228">
        <v>52.21</v>
      </c>
      <c r="DG111" s="228">
        <v>-17.899999999999999</v>
      </c>
      <c r="DH111" s="228">
        <v>-0.13</v>
      </c>
      <c r="DI111" s="228">
        <v>34.61</v>
      </c>
      <c r="DJ111" s="228">
        <v>36.56</v>
      </c>
      <c r="DK111" s="228">
        <v>-1.95</v>
      </c>
      <c r="DL111" s="228">
        <v>-1.95</v>
      </c>
      <c r="DM111" s="228">
        <v>33.07</v>
      </c>
      <c r="DN111" s="228">
        <v>34.86</v>
      </c>
      <c r="DO111" s="228">
        <v>-1.79</v>
      </c>
      <c r="DP111" s="228">
        <v>-1.79</v>
      </c>
      <c r="DQ111" s="228">
        <v>0.53</v>
      </c>
      <c r="DR111" s="228">
        <v>0.54</v>
      </c>
      <c r="DS111" s="228">
        <v>-0.01</v>
      </c>
      <c r="DT111" s="229">
        <v>-1.8499999999999999E-2</v>
      </c>
      <c r="DU111" s="228">
        <v>500</v>
      </c>
      <c r="DV111" s="228">
        <v>480</v>
      </c>
      <c r="DW111" s="228">
        <v>0.39</v>
      </c>
      <c r="DX111" s="228">
        <v>0.35</v>
      </c>
      <c r="DY111" s="228">
        <v>0.04</v>
      </c>
      <c r="DZ111" s="229">
        <v>0.1143</v>
      </c>
      <c r="EA111" s="229">
        <v>3.6200000000000003E-2</v>
      </c>
      <c r="EB111" s="230">
        <v>1133875</v>
      </c>
      <c r="EC111" s="229">
        <v>5.1999999999999998E-3</v>
      </c>
      <c r="ED111" s="229">
        <v>3.6200000000000003E-2</v>
      </c>
      <c r="EE111" s="228">
        <v>2.54</v>
      </c>
      <c r="EF111" s="229">
        <v>5.1999999999999998E-3</v>
      </c>
      <c r="EG111" s="230">
        <v>663508</v>
      </c>
      <c r="EH111" s="230">
        <v>725935</v>
      </c>
      <c r="EI111" s="229">
        <v>-8.5999999999999993E-2</v>
      </c>
      <c r="EJ111" s="229">
        <v>0.38440000000000002</v>
      </c>
      <c r="EK111" s="228">
        <v>386.86</v>
      </c>
      <c r="EL111" s="228">
        <v>139.63999999999999</v>
      </c>
      <c r="EM111" s="228">
        <v>103.84</v>
      </c>
      <c r="EN111" s="228">
        <v>50.55</v>
      </c>
      <c r="EO111" s="228">
        <v>630.34</v>
      </c>
      <c r="EP111" s="228">
        <v>701.39</v>
      </c>
      <c r="EQ111" s="228">
        <v>-71.05</v>
      </c>
      <c r="ER111" s="229">
        <v>-0.1013</v>
      </c>
      <c r="ES111" s="228">
        <v>759.64</v>
      </c>
      <c r="ET111" s="228">
        <v>366.95</v>
      </c>
      <c r="EU111" s="231">
        <v>1511.52</v>
      </c>
      <c r="EV111" s="231">
        <v>57552009</v>
      </c>
      <c r="EW111" s="231">
        <v>2638.1</v>
      </c>
      <c r="EX111" s="231">
        <v>2610.94</v>
      </c>
      <c r="EY111" s="228">
        <v>27.16</v>
      </c>
      <c r="EZ111" s="229">
        <v>1.04E-2</v>
      </c>
      <c r="FA111" s="229">
        <v>0.93110000000000004</v>
      </c>
      <c r="FB111" s="227" t="s">
        <v>556</v>
      </c>
      <c r="FC111">
        <f t="shared" si="1"/>
        <v>55</v>
      </c>
    </row>
    <row r="112" spans="1:159" ht="17.25" thickBot="1" x14ac:dyDescent="0.3">
      <c r="A112" s="226">
        <v>45940</v>
      </c>
      <c r="B112" s="227" t="s">
        <v>184</v>
      </c>
      <c r="C112" s="227" t="s">
        <v>678</v>
      </c>
      <c r="D112" s="228">
        <v>100</v>
      </c>
      <c r="E112" s="228">
        <v>18</v>
      </c>
      <c r="F112" s="231">
        <v>7140.5</v>
      </c>
      <c r="G112" s="231">
        <v>7143.5</v>
      </c>
      <c r="H112" s="228">
        <v>-3</v>
      </c>
      <c r="I112" s="229">
        <v>-4.0000000000000002E-4</v>
      </c>
      <c r="J112" s="231">
        <v>7102</v>
      </c>
      <c r="K112" s="231">
        <v>7102.5</v>
      </c>
      <c r="L112" s="228">
        <v>-0.5</v>
      </c>
      <c r="M112" s="229">
        <v>-1E-4</v>
      </c>
      <c r="N112" s="231">
        <v>7140.5</v>
      </c>
      <c r="O112" s="231">
        <v>7143.5</v>
      </c>
      <c r="P112" s="228">
        <v>-3</v>
      </c>
      <c r="Q112" s="229">
        <v>-4.0000000000000002E-4</v>
      </c>
      <c r="R112" s="231">
        <v>7165.5</v>
      </c>
      <c r="S112" s="231">
        <v>7174.5</v>
      </c>
      <c r="T112" s="228">
        <v>-9</v>
      </c>
      <c r="U112" s="229">
        <v>-1.2999999999999999E-3</v>
      </c>
      <c r="V112" s="231">
        <v>7231</v>
      </c>
      <c r="W112" s="231">
        <v>7210</v>
      </c>
      <c r="X112" s="228">
        <v>21</v>
      </c>
      <c r="Y112" s="229">
        <v>2.8999999999999998E-3</v>
      </c>
      <c r="Z112" s="228">
        <v>38.5</v>
      </c>
      <c r="AA112" s="228">
        <v>41</v>
      </c>
      <c r="AB112" s="228">
        <v>-2.5</v>
      </c>
      <c r="AC112" s="229">
        <v>5.4000000000000003E-3</v>
      </c>
      <c r="AD112" s="228">
        <v>38.5</v>
      </c>
      <c r="AE112" s="228">
        <v>41</v>
      </c>
      <c r="AF112" s="228">
        <v>-2.5</v>
      </c>
      <c r="AG112" s="229">
        <v>5.4000000000000003E-3</v>
      </c>
      <c r="AH112" s="228">
        <v>63.5</v>
      </c>
      <c r="AI112" s="228">
        <v>72</v>
      </c>
      <c r="AJ112" s="228">
        <v>-8.5</v>
      </c>
      <c r="AK112" s="229">
        <v>8.8999999999999999E-3</v>
      </c>
      <c r="AL112" s="228">
        <v>129</v>
      </c>
      <c r="AM112" s="228">
        <v>107.5</v>
      </c>
      <c r="AN112" s="228">
        <v>21.5</v>
      </c>
      <c r="AO112" s="229">
        <v>1.8200000000000001E-2</v>
      </c>
      <c r="AP112" s="231">
        <v>7148.15</v>
      </c>
      <c r="AQ112" s="231">
        <v>7176.22</v>
      </c>
      <c r="AR112" s="228">
        <v>0</v>
      </c>
      <c r="AS112" s="228">
        <v>281</v>
      </c>
      <c r="AT112" s="228">
        <v>487</v>
      </c>
      <c r="AU112" s="228">
        <v>-206</v>
      </c>
      <c r="AV112" s="229">
        <v>-0.42220000000000002</v>
      </c>
      <c r="AW112" s="228">
        <v>269</v>
      </c>
      <c r="AX112" s="228">
        <v>464</v>
      </c>
      <c r="AY112" s="228">
        <v>-196</v>
      </c>
      <c r="AZ112" s="229">
        <v>-0.42130000000000001</v>
      </c>
      <c r="BA112" s="228">
        <v>12</v>
      </c>
      <c r="BB112" s="228">
        <v>21</v>
      </c>
      <c r="BC112" s="228">
        <v>-9</v>
      </c>
      <c r="BD112" s="229">
        <v>-0.42859999999999998</v>
      </c>
      <c r="BE112" s="228">
        <v>1</v>
      </c>
      <c r="BF112" s="228">
        <v>2</v>
      </c>
      <c r="BG112" s="228">
        <v>-1</v>
      </c>
      <c r="BH112" s="229">
        <v>-0.60870000000000002</v>
      </c>
      <c r="BI112" s="230">
        <v>1353</v>
      </c>
      <c r="BJ112" s="230">
        <v>2620</v>
      </c>
      <c r="BK112" s="230">
        <v>-1267</v>
      </c>
      <c r="BL112" s="229">
        <v>-0.48349999999999999</v>
      </c>
      <c r="BM112" s="228">
        <v>452</v>
      </c>
      <c r="BN112" s="230">
        <v>1189</v>
      </c>
      <c r="BO112" s="228">
        <v>-737</v>
      </c>
      <c r="BP112" s="229">
        <v>-0.62009999999999998</v>
      </c>
      <c r="BQ112" s="230">
        <v>2086</v>
      </c>
      <c r="BR112" s="230">
        <v>4296</v>
      </c>
      <c r="BS112" s="230">
        <v>-2210</v>
      </c>
      <c r="BT112" s="229">
        <v>-0.51439999999999997</v>
      </c>
      <c r="BU112" s="230">
        <v>359695</v>
      </c>
      <c r="BV112" s="230">
        <v>732162</v>
      </c>
      <c r="BW112" s="230">
        <v>-372467</v>
      </c>
      <c r="BX112" s="229">
        <v>-0.50870000000000004</v>
      </c>
      <c r="BY112" s="228">
        <v>978</v>
      </c>
      <c r="BZ112" s="228">
        <v>966</v>
      </c>
      <c r="CA112" s="228">
        <v>12</v>
      </c>
      <c r="CB112" s="229">
        <v>1.23E-2</v>
      </c>
      <c r="CC112" s="228">
        <v>931</v>
      </c>
      <c r="CD112" s="228">
        <v>922</v>
      </c>
      <c r="CE112" s="228">
        <v>9</v>
      </c>
      <c r="CF112" s="229">
        <v>9.2999999999999992E-3</v>
      </c>
      <c r="CG112" s="228">
        <v>40</v>
      </c>
      <c r="CH112" s="228">
        <v>37</v>
      </c>
      <c r="CI112" s="228">
        <v>3</v>
      </c>
      <c r="CJ112" s="229">
        <v>8.2199999999999995E-2</v>
      </c>
      <c r="CK112" s="228">
        <v>7</v>
      </c>
      <c r="CL112" s="228">
        <v>6</v>
      </c>
      <c r="CM112" s="228">
        <v>0</v>
      </c>
      <c r="CN112" s="229">
        <v>3.3300000000000003E-2</v>
      </c>
      <c r="CO112" s="230">
        <v>1130</v>
      </c>
      <c r="CP112" s="230">
        <v>1106</v>
      </c>
      <c r="CQ112" s="228">
        <v>25</v>
      </c>
      <c r="CR112" s="229">
        <v>2.23E-2</v>
      </c>
      <c r="CS112" s="228">
        <v>556</v>
      </c>
      <c r="CT112" s="228">
        <v>531</v>
      </c>
      <c r="CU112" s="228">
        <v>25</v>
      </c>
      <c r="CV112" s="229">
        <v>4.7899999999999998E-2</v>
      </c>
      <c r="CW112" s="230">
        <v>2665</v>
      </c>
      <c r="CX112" s="230">
        <v>2603</v>
      </c>
      <c r="CY112" s="228">
        <v>62</v>
      </c>
      <c r="CZ112" s="229">
        <v>2.3800000000000002E-2</v>
      </c>
      <c r="DA112" s="228">
        <v>39.630000000000003</v>
      </c>
      <c r="DB112" s="228">
        <v>39.78</v>
      </c>
      <c r="DC112" s="228">
        <v>-0.15</v>
      </c>
      <c r="DD112" s="228">
        <v>-0.15</v>
      </c>
      <c r="DE112" s="228">
        <v>56.03</v>
      </c>
      <c r="DF112" s="228">
        <v>56.17</v>
      </c>
      <c r="DG112" s="228">
        <v>-16.399999999999999</v>
      </c>
      <c r="DH112" s="228">
        <v>-0.14000000000000001</v>
      </c>
      <c r="DI112" s="228">
        <v>39.04</v>
      </c>
      <c r="DJ112" s="228">
        <v>39.11</v>
      </c>
      <c r="DK112" s="228">
        <v>-7.0000000000000007E-2</v>
      </c>
      <c r="DL112" s="228">
        <v>-7.0000000000000007E-2</v>
      </c>
      <c r="DM112" s="228">
        <v>41.41</v>
      </c>
      <c r="DN112" s="228">
        <v>41.26</v>
      </c>
      <c r="DO112" s="228">
        <v>0.15</v>
      </c>
      <c r="DP112" s="228">
        <v>0.15</v>
      </c>
      <c r="DQ112" s="228">
        <v>0.49</v>
      </c>
      <c r="DR112" s="228">
        <v>0.48</v>
      </c>
      <c r="DS112" s="228">
        <v>0.01</v>
      </c>
      <c r="DT112" s="229">
        <v>2.0799999999999999E-2</v>
      </c>
      <c r="DU112" s="231">
        <v>7500</v>
      </c>
      <c r="DV112" s="231">
        <v>7000</v>
      </c>
      <c r="DW112" s="228">
        <v>0.33</v>
      </c>
      <c r="DX112" s="228">
        <v>0.45</v>
      </c>
      <c r="DY112" s="228">
        <v>-0.12</v>
      </c>
      <c r="DZ112" s="229">
        <v>-0.26669999999999999</v>
      </c>
      <c r="EA112" s="229">
        <v>4.8099999999999997E-2</v>
      </c>
      <c r="EB112" s="230">
        <v>61300</v>
      </c>
      <c r="EC112" s="229">
        <v>3.5000000000000001E-3</v>
      </c>
      <c r="ED112" s="229">
        <v>4.8099999999999997E-2</v>
      </c>
      <c r="EE112" s="228">
        <v>28.07</v>
      </c>
      <c r="EF112" s="229">
        <v>3.8999999999999998E-3</v>
      </c>
      <c r="EG112" s="230">
        <v>150202</v>
      </c>
      <c r="EH112" s="230">
        <v>305795</v>
      </c>
      <c r="EI112" s="229">
        <v>-0.50880000000000003</v>
      </c>
      <c r="EJ112" s="229">
        <v>0.41760000000000003</v>
      </c>
      <c r="EK112" s="231">
        <v>1455.48</v>
      </c>
      <c r="EL112" s="228">
        <v>436.68</v>
      </c>
      <c r="EM112" s="228">
        <v>281.83999999999997</v>
      </c>
      <c r="EN112" s="228">
        <v>58.15</v>
      </c>
      <c r="EO112" s="231">
        <v>2173.9899999999998</v>
      </c>
      <c r="EP112" s="231">
        <v>4478.26</v>
      </c>
      <c r="EQ112" s="231">
        <v>-2304.27</v>
      </c>
      <c r="ER112" s="229">
        <v>-0.51449999999999996</v>
      </c>
      <c r="ES112" s="231">
        <v>1197.54</v>
      </c>
      <c r="ET112" s="228">
        <v>537.35</v>
      </c>
      <c r="EU112" s="228">
        <v>978.26</v>
      </c>
      <c r="EV112" s="231">
        <v>4667784</v>
      </c>
      <c r="EW112" s="231">
        <v>2713.15</v>
      </c>
      <c r="EX112" s="231">
        <v>2652.84</v>
      </c>
      <c r="EY112" s="228">
        <v>60.31</v>
      </c>
      <c r="EZ112" s="229">
        <v>2.2700000000000001E-2</v>
      </c>
      <c r="FA112" s="229">
        <v>0.7994</v>
      </c>
      <c r="FB112" s="227" t="s">
        <v>567</v>
      </c>
      <c r="FC112">
        <f t="shared" si="1"/>
        <v>47</v>
      </c>
    </row>
    <row r="113" spans="1:159" ht="17.25" thickBot="1" x14ac:dyDescent="0.3">
      <c r="A113" s="226">
        <v>45940</v>
      </c>
      <c r="B113" s="227" t="s">
        <v>161</v>
      </c>
      <c r="C113" s="227" t="s">
        <v>611</v>
      </c>
      <c r="D113" s="228">
        <v>175</v>
      </c>
      <c r="E113" s="228">
        <v>18</v>
      </c>
      <c r="F113" s="231">
        <v>4294.6000000000004</v>
      </c>
      <c r="G113" s="231">
        <v>4262.3999999999996</v>
      </c>
      <c r="H113" s="228">
        <v>32.200000000000003</v>
      </c>
      <c r="I113" s="229">
        <v>7.6E-3</v>
      </c>
      <c r="J113" s="231">
        <v>4278.2</v>
      </c>
      <c r="K113" s="231">
        <v>4250.8</v>
      </c>
      <c r="L113" s="228">
        <v>27.4</v>
      </c>
      <c r="M113" s="229">
        <v>6.4000000000000003E-3</v>
      </c>
      <c r="N113" s="231">
        <v>4294.6000000000004</v>
      </c>
      <c r="O113" s="231">
        <v>4262.3999999999996</v>
      </c>
      <c r="P113" s="228">
        <v>32.200000000000003</v>
      </c>
      <c r="Q113" s="229">
        <v>7.6E-3</v>
      </c>
      <c r="R113" s="231">
        <v>4318.1000000000004</v>
      </c>
      <c r="S113" s="231">
        <v>4285.3999999999996</v>
      </c>
      <c r="T113" s="228">
        <v>32.700000000000003</v>
      </c>
      <c r="U113" s="229">
        <v>7.6E-3</v>
      </c>
      <c r="V113" s="231">
        <v>4354.7</v>
      </c>
      <c r="W113" s="231">
        <v>4308.8999999999996</v>
      </c>
      <c r="X113" s="228">
        <v>45.8</v>
      </c>
      <c r="Y113" s="229">
        <v>1.06E-2</v>
      </c>
      <c r="Z113" s="228">
        <v>16.399999999999999</v>
      </c>
      <c r="AA113" s="228">
        <v>11.6</v>
      </c>
      <c r="AB113" s="228">
        <v>4.8</v>
      </c>
      <c r="AC113" s="229">
        <v>3.8E-3</v>
      </c>
      <c r="AD113" s="228">
        <v>16.399999999999999</v>
      </c>
      <c r="AE113" s="228">
        <v>11.6</v>
      </c>
      <c r="AF113" s="228">
        <v>4.8</v>
      </c>
      <c r="AG113" s="229">
        <v>3.8E-3</v>
      </c>
      <c r="AH113" s="228">
        <v>39.9</v>
      </c>
      <c r="AI113" s="228">
        <v>34.6</v>
      </c>
      <c r="AJ113" s="228">
        <v>5.3</v>
      </c>
      <c r="AK113" s="229">
        <v>9.2999999999999992E-3</v>
      </c>
      <c r="AL113" s="228">
        <v>76.5</v>
      </c>
      <c r="AM113" s="228">
        <v>58.1</v>
      </c>
      <c r="AN113" s="228">
        <v>18.399999999999999</v>
      </c>
      <c r="AO113" s="229">
        <v>1.7899999999999999E-2</v>
      </c>
      <c r="AP113" s="231">
        <v>4301.17</v>
      </c>
      <c r="AQ113" s="231">
        <v>4316.96</v>
      </c>
      <c r="AR113" s="228">
        <v>0</v>
      </c>
      <c r="AS113" s="228">
        <v>147</v>
      </c>
      <c r="AT113" s="228">
        <v>99</v>
      </c>
      <c r="AU113" s="228">
        <v>47</v>
      </c>
      <c r="AV113" s="229">
        <v>0.47389999999999999</v>
      </c>
      <c r="AW113" s="228">
        <v>143</v>
      </c>
      <c r="AX113" s="228">
        <v>96</v>
      </c>
      <c r="AY113" s="228">
        <v>47</v>
      </c>
      <c r="AZ113" s="229">
        <v>0.48480000000000001</v>
      </c>
      <c r="BA113" s="228">
        <v>4</v>
      </c>
      <c r="BB113" s="228">
        <v>3</v>
      </c>
      <c r="BC113" s="228">
        <v>0</v>
      </c>
      <c r="BD113" s="229">
        <v>0.11899999999999999</v>
      </c>
      <c r="BE113" s="228">
        <v>0</v>
      </c>
      <c r="BF113" s="228">
        <v>0</v>
      </c>
      <c r="BG113" s="228">
        <v>0</v>
      </c>
      <c r="BH113" s="229">
        <v>0</v>
      </c>
      <c r="BI113" s="228">
        <v>305</v>
      </c>
      <c r="BJ113" s="228">
        <v>388</v>
      </c>
      <c r="BK113" s="228">
        <v>-83</v>
      </c>
      <c r="BL113" s="229">
        <v>-0.2145</v>
      </c>
      <c r="BM113" s="228">
        <v>209</v>
      </c>
      <c r="BN113" s="228">
        <v>186</v>
      </c>
      <c r="BO113" s="228">
        <v>23</v>
      </c>
      <c r="BP113" s="229">
        <v>0.1239</v>
      </c>
      <c r="BQ113" s="228">
        <v>660</v>
      </c>
      <c r="BR113" s="228">
        <v>673</v>
      </c>
      <c r="BS113" s="228">
        <v>-13</v>
      </c>
      <c r="BT113" s="229">
        <v>-1.9400000000000001E-2</v>
      </c>
      <c r="BU113" s="230">
        <v>129009</v>
      </c>
      <c r="BV113" s="230">
        <v>172060</v>
      </c>
      <c r="BW113" s="230">
        <v>-43051</v>
      </c>
      <c r="BX113" s="229">
        <v>-0.25019999999999998</v>
      </c>
      <c r="BY113" s="228">
        <v>614</v>
      </c>
      <c r="BZ113" s="228">
        <v>617</v>
      </c>
      <c r="CA113" s="228">
        <v>-3</v>
      </c>
      <c r="CB113" s="229">
        <v>-4.7000000000000002E-3</v>
      </c>
      <c r="CC113" s="228">
        <v>608</v>
      </c>
      <c r="CD113" s="228">
        <v>610</v>
      </c>
      <c r="CE113" s="228">
        <v>-2</v>
      </c>
      <c r="CF113" s="229">
        <v>-4.1000000000000003E-3</v>
      </c>
      <c r="CG113" s="228">
        <v>6</v>
      </c>
      <c r="CH113" s="228">
        <v>7</v>
      </c>
      <c r="CI113" s="228">
        <v>-1</v>
      </c>
      <c r="CJ113" s="229">
        <v>-8.0500000000000002E-2</v>
      </c>
      <c r="CK113" s="228">
        <v>1</v>
      </c>
      <c r="CL113" s="228">
        <v>1</v>
      </c>
      <c r="CM113" s="228">
        <v>0</v>
      </c>
      <c r="CN113" s="229">
        <v>0.1429</v>
      </c>
      <c r="CO113" s="228">
        <v>162</v>
      </c>
      <c r="CP113" s="228">
        <v>170</v>
      </c>
      <c r="CQ113" s="228">
        <v>-8</v>
      </c>
      <c r="CR113" s="229">
        <v>-4.6399999999999997E-2</v>
      </c>
      <c r="CS113" s="228">
        <v>132</v>
      </c>
      <c r="CT113" s="228">
        <v>128</v>
      </c>
      <c r="CU113" s="228">
        <v>4</v>
      </c>
      <c r="CV113" s="229">
        <v>2.87E-2</v>
      </c>
      <c r="CW113" s="228">
        <v>908</v>
      </c>
      <c r="CX113" s="228">
        <v>916</v>
      </c>
      <c r="CY113" s="228">
        <v>-7</v>
      </c>
      <c r="CZ113" s="229">
        <v>-7.7999999999999996E-3</v>
      </c>
      <c r="DA113" s="228">
        <v>33.880000000000003</v>
      </c>
      <c r="DB113" s="228">
        <v>34.79</v>
      </c>
      <c r="DC113" s="228">
        <v>-0.91</v>
      </c>
      <c r="DD113" s="228">
        <v>-0.91</v>
      </c>
      <c r="DE113" s="228">
        <v>48.58</v>
      </c>
      <c r="DF113" s="228">
        <v>48.69</v>
      </c>
      <c r="DG113" s="228">
        <v>-14.7</v>
      </c>
      <c r="DH113" s="228">
        <v>-0.11</v>
      </c>
      <c r="DI113" s="228">
        <v>33.630000000000003</v>
      </c>
      <c r="DJ113" s="228">
        <v>35.03</v>
      </c>
      <c r="DK113" s="228">
        <v>-1.4</v>
      </c>
      <c r="DL113" s="228">
        <v>-1.4</v>
      </c>
      <c r="DM113" s="228">
        <v>34.24</v>
      </c>
      <c r="DN113" s="228">
        <v>34.29</v>
      </c>
      <c r="DO113" s="228">
        <v>-0.05</v>
      </c>
      <c r="DP113" s="228">
        <v>-0.05</v>
      </c>
      <c r="DQ113" s="228">
        <v>0.81</v>
      </c>
      <c r="DR113" s="228">
        <v>0.75</v>
      </c>
      <c r="DS113" s="228">
        <v>0.06</v>
      </c>
      <c r="DT113" s="229">
        <v>0.08</v>
      </c>
      <c r="DU113" s="231">
        <v>4300</v>
      </c>
      <c r="DV113" s="231">
        <v>4300</v>
      </c>
      <c r="DW113" s="228">
        <v>0.68</v>
      </c>
      <c r="DX113" s="228">
        <v>0.48</v>
      </c>
      <c r="DY113" s="228">
        <v>0.2</v>
      </c>
      <c r="DZ113" s="229">
        <v>0.41670000000000001</v>
      </c>
      <c r="EA113" s="229">
        <v>1.0800000000000001E-2</v>
      </c>
      <c r="EB113" s="230">
        <v>16450</v>
      </c>
      <c r="EC113" s="229">
        <v>5.4999999999999997E-3</v>
      </c>
      <c r="ED113" s="229">
        <v>1.0800000000000001E-2</v>
      </c>
      <c r="EE113" s="228">
        <v>15.79</v>
      </c>
      <c r="EF113" s="229">
        <v>3.7000000000000002E-3</v>
      </c>
      <c r="EG113" s="230">
        <v>54482</v>
      </c>
      <c r="EH113" s="230">
        <v>77790</v>
      </c>
      <c r="EI113" s="229">
        <v>-0.29959999999999998</v>
      </c>
      <c r="EJ113" s="229">
        <v>0.42230000000000001</v>
      </c>
      <c r="EK113" s="228">
        <v>316.45999999999998</v>
      </c>
      <c r="EL113" s="228">
        <v>208.45</v>
      </c>
      <c r="EM113" s="228">
        <v>146.79</v>
      </c>
      <c r="EN113" s="228">
        <v>18.66</v>
      </c>
      <c r="EO113" s="228">
        <v>671.7</v>
      </c>
      <c r="EP113" s="228">
        <v>684.23</v>
      </c>
      <c r="EQ113" s="228">
        <v>-12.53</v>
      </c>
      <c r="ER113" s="229">
        <v>-1.83E-2</v>
      </c>
      <c r="ES113" s="228">
        <v>162.59</v>
      </c>
      <c r="ET113" s="228">
        <v>126.79</v>
      </c>
      <c r="EU113" s="228">
        <v>614.36</v>
      </c>
      <c r="EV113" s="231">
        <v>9313740</v>
      </c>
      <c r="EW113" s="228">
        <v>903.74</v>
      </c>
      <c r="EX113" s="228">
        <v>904.47</v>
      </c>
      <c r="EY113" s="228">
        <v>-0.73</v>
      </c>
      <c r="EZ113" s="229">
        <v>-8.0000000000000004E-4</v>
      </c>
      <c r="FA113" s="229">
        <v>0.2271</v>
      </c>
      <c r="FB113" s="227" t="s">
        <v>556</v>
      </c>
      <c r="FC113">
        <f t="shared" si="1"/>
        <v>6</v>
      </c>
    </row>
    <row r="114" spans="1:159" ht="17.25" thickBot="1" x14ac:dyDescent="0.3">
      <c r="A114" s="226">
        <v>45940</v>
      </c>
      <c r="B114" s="227" t="s">
        <v>175</v>
      </c>
      <c r="C114" s="227" t="s">
        <v>685</v>
      </c>
      <c r="D114" s="228">
        <v>450</v>
      </c>
      <c r="E114" s="228">
        <v>18</v>
      </c>
      <c r="F114" s="231">
        <v>1078.8</v>
      </c>
      <c r="G114" s="231">
        <v>1052.4000000000001</v>
      </c>
      <c r="H114" s="228">
        <v>26.4</v>
      </c>
      <c r="I114" s="229">
        <v>2.5100000000000001E-2</v>
      </c>
      <c r="J114" s="231">
        <v>1072.5</v>
      </c>
      <c r="K114" s="231">
        <v>1050.8</v>
      </c>
      <c r="L114" s="228">
        <v>21.7</v>
      </c>
      <c r="M114" s="229">
        <v>2.07E-2</v>
      </c>
      <c r="N114" s="231">
        <v>1078.8</v>
      </c>
      <c r="O114" s="231">
        <v>1052.4000000000001</v>
      </c>
      <c r="P114" s="228">
        <v>26.4</v>
      </c>
      <c r="Q114" s="229">
        <v>2.5100000000000001E-2</v>
      </c>
      <c r="R114" s="231">
        <v>1077.7</v>
      </c>
      <c r="S114" s="231">
        <v>1050.5999999999999</v>
      </c>
      <c r="T114" s="228">
        <v>27.1</v>
      </c>
      <c r="U114" s="229">
        <v>2.58E-2</v>
      </c>
      <c r="V114" s="231">
        <v>1068.5999999999999</v>
      </c>
      <c r="W114" s="231">
        <v>1052</v>
      </c>
      <c r="X114" s="228">
        <v>16.600000000000001</v>
      </c>
      <c r="Y114" s="229">
        <v>1.5800000000000002E-2</v>
      </c>
      <c r="Z114" s="228">
        <v>6.3</v>
      </c>
      <c r="AA114" s="228">
        <v>1.6</v>
      </c>
      <c r="AB114" s="228">
        <v>4.7</v>
      </c>
      <c r="AC114" s="229">
        <v>5.8999999999999999E-3</v>
      </c>
      <c r="AD114" s="228">
        <v>6.3</v>
      </c>
      <c r="AE114" s="228">
        <v>1.6</v>
      </c>
      <c r="AF114" s="228">
        <v>4.7</v>
      </c>
      <c r="AG114" s="229">
        <v>5.8999999999999999E-3</v>
      </c>
      <c r="AH114" s="228">
        <v>5.2</v>
      </c>
      <c r="AI114" s="228">
        <v>-0.2</v>
      </c>
      <c r="AJ114" s="228">
        <v>5.4</v>
      </c>
      <c r="AK114" s="229">
        <v>4.7999999999999996E-3</v>
      </c>
      <c r="AL114" s="228">
        <v>-3.9</v>
      </c>
      <c r="AM114" s="228">
        <v>1.2</v>
      </c>
      <c r="AN114" s="228">
        <v>-5.0999999999999996</v>
      </c>
      <c r="AO114" s="229">
        <v>-3.5999999999999999E-3</v>
      </c>
      <c r="AP114" s="231">
        <v>1072.49</v>
      </c>
      <c r="AQ114" s="231">
        <v>1070.01</v>
      </c>
      <c r="AR114" s="228">
        <v>0</v>
      </c>
      <c r="AS114" s="228">
        <v>142</v>
      </c>
      <c r="AT114" s="228">
        <v>73</v>
      </c>
      <c r="AU114" s="228">
        <v>68</v>
      </c>
      <c r="AV114" s="229">
        <v>0.93569999999999998</v>
      </c>
      <c r="AW114" s="228">
        <v>132</v>
      </c>
      <c r="AX114" s="228">
        <v>71</v>
      </c>
      <c r="AY114" s="228">
        <v>61</v>
      </c>
      <c r="AZ114" s="229">
        <v>0.8569</v>
      </c>
      <c r="BA114" s="228">
        <v>9</v>
      </c>
      <c r="BB114" s="228">
        <v>2</v>
      </c>
      <c r="BC114" s="228">
        <v>7</v>
      </c>
      <c r="BD114" s="229">
        <v>3.2667000000000002</v>
      </c>
      <c r="BE114" s="228">
        <v>1</v>
      </c>
      <c r="BF114" s="228">
        <v>0</v>
      </c>
      <c r="BG114" s="228">
        <v>1</v>
      </c>
      <c r="BH114" s="229">
        <v>6</v>
      </c>
      <c r="BI114" s="228">
        <v>254</v>
      </c>
      <c r="BJ114" s="228">
        <v>83</v>
      </c>
      <c r="BK114" s="228">
        <v>172</v>
      </c>
      <c r="BL114" s="229">
        <v>2.0684999999999998</v>
      </c>
      <c r="BM114" s="228">
        <v>117</v>
      </c>
      <c r="BN114" s="228">
        <v>30</v>
      </c>
      <c r="BO114" s="228">
        <v>87</v>
      </c>
      <c r="BP114" s="229">
        <v>2.9186000000000001</v>
      </c>
      <c r="BQ114" s="228">
        <v>513</v>
      </c>
      <c r="BR114" s="228">
        <v>186</v>
      </c>
      <c r="BS114" s="228">
        <v>327</v>
      </c>
      <c r="BT114" s="229">
        <v>1.7586999999999999</v>
      </c>
      <c r="BU114" s="230">
        <v>1056309</v>
      </c>
      <c r="BV114" s="230">
        <v>606590</v>
      </c>
      <c r="BW114" s="230">
        <v>449719</v>
      </c>
      <c r="BX114" s="229">
        <v>0.74139999999999995</v>
      </c>
      <c r="BY114" s="228">
        <v>275</v>
      </c>
      <c r="BZ114" s="228">
        <v>287</v>
      </c>
      <c r="CA114" s="228">
        <v>-12</v>
      </c>
      <c r="CB114" s="229">
        <v>-4.1599999999999998E-2</v>
      </c>
      <c r="CC114" s="228">
        <v>260</v>
      </c>
      <c r="CD114" s="228">
        <v>273</v>
      </c>
      <c r="CE114" s="228">
        <v>-13</v>
      </c>
      <c r="CF114" s="229">
        <v>-4.6300000000000001E-2</v>
      </c>
      <c r="CG114" s="228">
        <v>13</v>
      </c>
      <c r="CH114" s="228">
        <v>12</v>
      </c>
      <c r="CI114" s="228">
        <v>1</v>
      </c>
      <c r="CJ114" s="229">
        <v>5.8599999999999999E-2</v>
      </c>
      <c r="CK114" s="228">
        <v>2</v>
      </c>
      <c r="CL114" s="228">
        <v>2</v>
      </c>
      <c r="CM114" s="228">
        <v>0</v>
      </c>
      <c r="CN114" s="229">
        <v>-2.7799999999999998E-2</v>
      </c>
      <c r="CO114" s="228">
        <v>112</v>
      </c>
      <c r="CP114" s="228">
        <v>128</v>
      </c>
      <c r="CQ114" s="228">
        <v>-16</v>
      </c>
      <c r="CR114" s="229">
        <v>-0.1237</v>
      </c>
      <c r="CS114" s="228">
        <v>84</v>
      </c>
      <c r="CT114" s="228">
        <v>68</v>
      </c>
      <c r="CU114" s="228">
        <v>16</v>
      </c>
      <c r="CV114" s="229">
        <v>0.2366</v>
      </c>
      <c r="CW114" s="228">
        <v>471</v>
      </c>
      <c r="CX114" s="228">
        <v>483</v>
      </c>
      <c r="CY114" s="228">
        <v>-12</v>
      </c>
      <c r="CZ114" s="229">
        <v>-2.4299999999999999E-2</v>
      </c>
      <c r="DA114" s="228">
        <v>35.409999999999997</v>
      </c>
      <c r="DB114" s="228">
        <v>36.97</v>
      </c>
      <c r="DC114" s="228">
        <v>-1.56</v>
      </c>
      <c r="DD114" s="228">
        <v>-1.56</v>
      </c>
      <c r="DE114" s="228">
        <v>55.83</v>
      </c>
      <c r="DF114" s="228">
        <v>55.9</v>
      </c>
      <c r="DG114" s="228">
        <v>-20.420000000000002</v>
      </c>
      <c r="DH114" s="228">
        <v>-7.0000000000000007E-2</v>
      </c>
      <c r="DI114" s="228">
        <v>34.950000000000003</v>
      </c>
      <c r="DJ114" s="228">
        <v>36.79</v>
      </c>
      <c r="DK114" s="228">
        <v>-1.84</v>
      </c>
      <c r="DL114" s="228">
        <v>-1.84</v>
      </c>
      <c r="DM114" s="228">
        <v>36.409999999999997</v>
      </c>
      <c r="DN114" s="228">
        <v>37.49</v>
      </c>
      <c r="DO114" s="228">
        <v>-1.08</v>
      </c>
      <c r="DP114" s="228">
        <v>-1.08</v>
      </c>
      <c r="DQ114" s="228">
        <v>0.75</v>
      </c>
      <c r="DR114" s="228">
        <v>0.53</v>
      </c>
      <c r="DS114" s="228">
        <v>0.22</v>
      </c>
      <c r="DT114" s="229">
        <v>0.41510000000000002</v>
      </c>
      <c r="DU114" s="231">
        <v>1100</v>
      </c>
      <c r="DV114" s="231">
        <v>1100</v>
      </c>
      <c r="DW114" s="228">
        <v>0.46</v>
      </c>
      <c r="DX114" s="228">
        <v>0.36</v>
      </c>
      <c r="DY114" s="228">
        <v>0.1</v>
      </c>
      <c r="DZ114" s="229">
        <v>0.27779999999999999</v>
      </c>
      <c r="EA114" s="229">
        <v>5.4100000000000002E-2</v>
      </c>
      <c r="EB114" s="230">
        <v>131400</v>
      </c>
      <c r="EC114" s="229">
        <v>-1E-3</v>
      </c>
      <c r="ED114" s="229">
        <v>5.4100000000000002E-2</v>
      </c>
      <c r="EE114" s="228">
        <v>-2.48</v>
      </c>
      <c r="EF114" s="229">
        <v>-2.3E-3</v>
      </c>
      <c r="EG114" s="230">
        <v>362737</v>
      </c>
      <c r="EH114" s="230">
        <v>238422</v>
      </c>
      <c r="EI114" s="229">
        <v>0.52139999999999997</v>
      </c>
      <c r="EJ114" s="229">
        <v>0.34339999999999998</v>
      </c>
      <c r="EK114" s="228">
        <v>262.7</v>
      </c>
      <c r="EL114" s="228">
        <v>113.75</v>
      </c>
      <c r="EM114" s="228">
        <v>140.85</v>
      </c>
      <c r="EN114" s="228">
        <v>14.19</v>
      </c>
      <c r="EO114" s="228">
        <v>517.29999999999995</v>
      </c>
      <c r="EP114" s="228">
        <v>184.48</v>
      </c>
      <c r="EQ114" s="228">
        <v>332.82</v>
      </c>
      <c r="ER114" s="229">
        <v>1.8041</v>
      </c>
      <c r="ES114" s="228">
        <v>116.79</v>
      </c>
      <c r="ET114" s="228">
        <v>80.680000000000007</v>
      </c>
      <c r="EU114" s="228">
        <v>274.79000000000002</v>
      </c>
      <c r="EV114" s="231">
        <v>19911179</v>
      </c>
      <c r="EW114" s="228">
        <v>472.26</v>
      </c>
      <c r="EX114" s="228">
        <v>477.78</v>
      </c>
      <c r="EY114" s="228">
        <v>-5.52</v>
      </c>
      <c r="EZ114" s="229">
        <v>-1.1599999999999999E-2</v>
      </c>
      <c r="FA114" s="229">
        <v>0.21940000000000001</v>
      </c>
      <c r="FB114" s="227" t="s">
        <v>556</v>
      </c>
      <c r="FC114">
        <f t="shared" si="1"/>
        <v>15</v>
      </c>
    </row>
    <row r="115" spans="1:159" ht="17.25" thickBot="1" x14ac:dyDescent="0.3">
      <c r="A115" s="226">
        <v>45940</v>
      </c>
      <c r="B115" s="227" t="s">
        <v>172</v>
      </c>
      <c r="C115" s="227" t="s">
        <v>246</v>
      </c>
      <c r="D115" s="228">
        <v>400</v>
      </c>
      <c r="E115" s="228">
        <v>18</v>
      </c>
      <c r="F115" s="231">
        <v>2156</v>
      </c>
      <c r="G115" s="231">
        <v>2151.5</v>
      </c>
      <c r="H115" s="228">
        <v>4.5</v>
      </c>
      <c r="I115" s="229">
        <v>2.0999999999999999E-3</v>
      </c>
      <c r="J115" s="231">
        <v>2150.1</v>
      </c>
      <c r="K115" s="231">
        <v>2144.6</v>
      </c>
      <c r="L115" s="228">
        <v>5.5</v>
      </c>
      <c r="M115" s="229">
        <v>2.5999999999999999E-3</v>
      </c>
      <c r="N115" s="231">
        <v>2156</v>
      </c>
      <c r="O115" s="231">
        <v>2151.5</v>
      </c>
      <c r="P115" s="228">
        <v>4.5</v>
      </c>
      <c r="Q115" s="229">
        <v>2.0999999999999999E-3</v>
      </c>
      <c r="R115" s="231">
        <v>2167.8000000000002</v>
      </c>
      <c r="S115" s="231">
        <v>2162.4</v>
      </c>
      <c r="T115" s="228">
        <v>5.4</v>
      </c>
      <c r="U115" s="229">
        <v>2.5000000000000001E-3</v>
      </c>
      <c r="V115" s="231">
        <v>2180.9</v>
      </c>
      <c r="W115" s="231">
        <v>2176</v>
      </c>
      <c r="X115" s="228">
        <v>4.9000000000000004</v>
      </c>
      <c r="Y115" s="229">
        <v>2.3E-3</v>
      </c>
      <c r="Z115" s="228">
        <v>5.9</v>
      </c>
      <c r="AA115" s="228">
        <v>6.9</v>
      </c>
      <c r="AB115" s="228">
        <v>-1</v>
      </c>
      <c r="AC115" s="229">
        <v>2.7000000000000001E-3</v>
      </c>
      <c r="AD115" s="228">
        <v>5.9</v>
      </c>
      <c r="AE115" s="228">
        <v>6.9</v>
      </c>
      <c r="AF115" s="228">
        <v>-1</v>
      </c>
      <c r="AG115" s="229">
        <v>2.7000000000000001E-3</v>
      </c>
      <c r="AH115" s="228">
        <v>17.7</v>
      </c>
      <c r="AI115" s="228">
        <v>17.8</v>
      </c>
      <c r="AJ115" s="228">
        <v>-0.1</v>
      </c>
      <c r="AK115" s="229">
        <v>8.2000000000000007E-3</v>
      </c>
      <c r="AL115" s="228">
        <v>30.8</v>
      </c>
      <c r="AM115" s="228">
        <v>31.4</v>
      </c>
      <c r="AN115" s="228">
        <v>-0.6</v>
      </c>
      <c r="AO115" s="229">
        <v>1.43E-2</v>
      </c>
      <c r="AP115" s="231">
        <v>2154.61</v>
      </c>
      <c r="AQ115" s="231">
        <v>2165.0700000000002</v>
      </c>
      <c r="AR115" s="228">
        <v>0</v>
      </c>
      <c r="AS115" s="228">
        <v>668</v>
      </c>
      <c r="AT115" s="228">
        <v>926</v>
      </c>
      <c r="AU115" s="228">
        <v>-258</v>
      </c>
      <c r="AV115" s="229">
        <v>-0.27850000000000003</v>
      </c>
      <c r="AW115" s="228">
        <v>610</v>
      </c>
      <c r="AX115" s="228">
        <v>878</v>
      </c>
      <c r="AY115" s="228">
        <v>-269</v>
      </c>
      <c r="AZ115" s="229">
        <v>-0.30609999999999998</v>
      </c>
      <c r="BA115" s="228">
        <v>48</v>
      </c>
      <c r="BB115" s="228">
        <v>42</v>
      </c>
      <c r="BC115" s="228">
        <v>6</v>
      </c>
      <c r="BD115" s="229">
        <v>0.14080000000000001</v>
      </c>
      <c r="BE115" s="228">
        <v>11</v>
      </c>
      <c r="BF115" s="228">
        <v>6</v>
      </c>
      <c r="BG115" s="228">
        <v>5</v>
      </c>
      <c r="BH115" s="229">
        <v>0.88239999999999996</v>
      </c>
      <c r="BI115" s="230">
        <v>1989</v>
      </c>
      <c r="BJ115" s="230">
        <v>3099</v>
      </c>
      <c r="BK115" s="230">
        <v>-1109</v>
      </c>
      <c r="BL115" s="229">
        <v>-0.35799999999999998</v>
      </c>
      <c r="BM115" s="230">
        <v>1249</v>
      </c>
      <c r="BN115" s="230">
        <v>1751</v>
      </c>
      <c r="BO115" s="228">
        <v>-502</v>
      </c>
      <c r="BP115" s="229">
        <v>-0.2868</v>
      </c>
      <c r="BQ115" s="230">
        <v>3906</v>
      </c>
      <c r="BR115" s="230">
        <v>5776</v>
      </c>
      <c r="BS115" s="230">
        <v>-1869</v>
      </c>
      <c r="BT115" s="229">
        <v>-0.32369999999999999</v>
      </c>
      <c r="BU115" s="230">
        <v>1984031</v>
      </c>
      <c r="BV115" s="230">
        <v>3402469</v>
      </c>
      <c r="BW115" s="230">
        <v>-1418438</v>
      </c>
      <c r="BX115" s="229">
        <v>-0.41689999999999999</v>
      </c>
      <c r="BY115" s="230">
        <v>7280</v>
      </c>
      <c r="BZ115" s="230">
        <v>7344</v>
      </c>
      <c r="CA115" s="228">
        <v>-64</v>
      </c>
      <c r="CB115" s="229">
        <v>-8.6999999999999994E-3</v>
      </c>
      <c r="CC115" s="230">
        <v>6979</v>
      </c>
      <c r="CD115" s="230">
        <v>7060</v>
      </c>
      <c r="CE115" s="228">
        <v>-81</v>
      </c>
      <c r="CF115" s="229">
        <v>-1.15E-2</v>
      </c>
      <c r="CG115" s="228">
        <v>143</v>
      </c>
      <c r="CH115" s="228">
        <v>133</v>
      </c>
      <c r="CI115" s="228">
        <v>10</v>
      </c>
      <c r="CJ115" s="229">
        <v>7.2599999999999998E-2</v>
      </c>
      <c r="CK115" s="228">
        <v>159</v>
      </c>
      <c r="CL115" s="228">
        <v>151</v>
      </c>
      <c r="CM115" s="228">
        <v>8</v>
      </c>
      <c r="CN115" s="229">
        <v>5.1400000000000001E-2</v>
      </c>
      <c r="CO115" s="230">
        <v>1815</v>
      </c>
      <c r="CP115" s="230">
        <v>1797</v>
      </c>
      <c r="CQ115" s="228">
        <v>18</v>
      </c>
      <c r="CR115" s="229">
        <v>9.7999999999999997E-3</v>
      </c>
      <c r="CS115" s="230">
        <v>1930</v>
      </c>
      <c r="CT115" s="230">
        <v>1896</v>
      </c>
      <c r="CU115" s="228">
        <v>35</v>
      </c>
      <c r="CV115" s="229">
        <v>1.84E-2</v>
      </c>
      <c r="CW115" s="230">
        <v>11026</v>
      </c>
      <c r="CX115" s="230">
        <v>11037</v>
      </c>
      <c r="CY115" s="228">
        <v>-11</v>
      </c>
      <c r="CZ115" s="229">
        <v>-1E-3</v>
      </c>
      <c r="DA115" s="228">
        <v>20.350000000000001</v>
      </c>
      <c r="DB115" s="228">
        <v>20.46</v>
      </c>
      <c r="DC115" s="228">
        <v>-0.11</v>
      </c>
      <c r="DD115" s="228">
        <v>-0.11</v>
      </c>
      <c r="DE115" s="228">
        <v>27.67</v>
      </c>
      <c r="DF115" s="228">
        <v>27.74</v>
      </c>
      <c r="DG115" s="228">
        <v>-7.32</v>
      </c>
      <c r="DH115" s="228">
        <v>-7.0000000000000007E-2</v>
      </c>
      <c r="DI115" s="228">
        <v>19.760000000000002</v>
      </c>
      <c r="DJ115" s="228">
        <v>19.97</v>
      </c>
      <c r="DK115" s="228">
        <v>-0.21</v>
      </c>
      <c r="DL115" s="228">
        <v>-0.21</v>
      </c>
      <c r="DM115" s="228">
        <v>21.3</v>
      </c>
      <c r="DN115" s="228">
        <v>21.34</v>
      </c>
      <c r="DO115" s="228">
        <v>-0.04</v>
      </c>
      <c r="DP115" s="228">
        <v>-0.04</v>
      </c>
      <c r="DQ115" s="228">
        <v>1.06</v>
      </c>
      <c r="DR115" s="228">
        <v>1.05</v>
      </c>
      <c r="DS115" s="228">
        <v>0.01</v>
      </c>
      <c r="DT115" s="229">
        <v>9.4999999999999998E-3</v>
      </c>
      <c r="DU115" s="231">
        <v>2100</v>
      </c>
      <c r="DV115" s="231">
        <v>2100</v>
      </c>
      <c r="DW115" s="228">
        <v>0.63</v>
      </c>
      <c r="DX115" s="228">
        <v>0.56999999999999995</v>
      </c>
      <c r="DY115" s="228">
        <v>0.06</v>
      </c>
      <c r="DZ115" s="229">
        <v>0.1053</v>
      </c>
      <c r="EA115" s="229">
        <v>4.1399999999999999E-2</v>
      </c>
      <c r="EB115" s="230">
        <v>1317600</v>
      </c>
      <c r="EC115" s="229">
        <v>5.4999999999999997E-3</v>
      </c>
      <c r="ED115" s="229">
        <v>4.1399999999999999E-2</v>
      </c>
      <c r="EE115" s="228">
        <v>10.46</v>
      </c>
      <c r="EF115" s="229">
        <v>4.8999999999999998E-3</v>
      </c>
      <c r="EG115" s="230">
        <v>1377605</v>
      </c>
      <c r="EH115" s="230">
        <v>1925418</v>
      </c>
      <c r="EI115" s="229">
        <v>-0.28449999999999998</v>
      </c>
      <c r="EJ115" s="229">
        <v>0.69430000000000003</v>
      </c>
      <c r="EK115" s="231">
        <v>2046.31</v>
      </c>
      <c r="EL115" s="231">
        <v>1228.98</v>
      </c>
      <c r="EM115" s="228">
        <v>668.02</v>
      </c>
      <c r="EN115" s="228">
        <v>153.65</v>
      </c>
      <c r="EO115" s="231">
        <v>3943.31</v>
      </c>
      <c r="EP115" s="231">
        <v>5810.69</v>
      </c>
      <c r="EQ115" s="231">
        <v>-1867.38</v>
      </c>
      <c r="ER115" s="229">
        <v>-0.32140000000000002</v>
      </c>
      <c r="ES115" s="231">
        <v>1819.6</v>
      </c>
      <c r="ET115" s="231">
        <v>1834.65</v>
      </c>
      <c r="EU115" s="231">
        <v>7282.82</v>
      </c>
      <c r="EV115" s="231">
        <v>215751979</v>
      </c>
      <c r="EW115" s="231">
        <v>10937.08</v>
      </c>
      <c r="EX115" s="231">
        <v>10931.77</v>
      </c>
      <c r="EY115" s="228">
        <v>5.31</v>
      </c>
      <c r="EZ115" s="229">
        <v>5.0000000000000001E-4</v>
      </c>
      <c r="FA115" s="229">
        <v>0.23699999999999999</v>
      </c>
      <c r="FB115" s="227" t="s">
        <v>556</v>
      </c>
      <c r="FC115">
        <f t="shared" si="1"/>
        <v>301</v>
      </c>
    </row>
    <row r="116" spans="1:159" ht="17.25" thickBot="1" x14ac:dyDescent="0.3">
      <c r="A116" s="226">
        <v>45940</v>
      </c>
      <c r="B116" s="227" t="s">
        <v>221</v>
      </c>
      <c r="C116" s="227" t="s">
        <v>578</v>
      </c>
      <c r="D116" s="228">
        <v>400</v>
      </c>
      <c r="E116" s="228">
        <v>18</v>
      </c>
      <c r="F116" s="231">
        <v>1154.7</v>
      </c>
      <c r="G116" s="231">
        <v>1158.5999999999999</v>
      </c>
      <c r="H116" s="228">
        <v>-3.9</v>
      </c>
      <c r="I116" s="229">
        <v>-3.3999999999999998E-3</v>
      </c>
      <c r="J116" s="231">
        <v>1154.0999999999999</v>
      </c>
      <c r="K116" s="231">
        <v>1162.4000000000001</v>
      </c>
      <c r="L116" s="228">
        <v>-8.3000000000000007</v>
      </c>
      <c r="M116" s="229">
        <v>-7.1000000000000004E-3</v>
      </c>
      <c r="N116" s="231">
        <v>1154.7</v>
      </c>
      <c r="O116" s="231">
        <v>1158.5999999999999</v>
      </c>
      <c r="P116" s="228">
        <v>-3.9</v>
      </c>
      <c r="Q116" s="229">
        <v>-3.3999999999999998E-3</v>
      </c>
      <c r="R116" s="231">
        <v>1150.8</v>
      </c>
      <c r="S116" s="231">
        <v>1153.8</v>
      </c>
      <c r="T116" s="228">
        <v>-3</v>
      </c>
      <c r="U116" s="229">
        <v>-2.5999999999999999E-3</v>
      </c>
      <c r="V116" s="231">
        <v>1148</v>
      </c>
      <c r="W116" s="231">
        <v>1151.5</v>
      </c>
      <c r="X116" s="228">
        <v>-3.5</v>
      </c>
      <c r="Y116" s="229">
        <v>-3.0000000000000001E-3</v>
      </c>
      <c r="Z116" s="228">
        <v>0.6</v>
      </c>
      <c r="AA116" s="228">
        <v>-3.8</v>
      </c>
      <c r="AB116" s="228">
        <v>4.4000000000000004</v>
      </c>
      <c r="AC116" s="229">
        <v>5.0000000000000001E-4</v>
      </c>
      <c r="AD116" s="228">
        <v>0.6</v>
      </c>
      <c r="AE116" s="228">
        <v>-3.8</v>
      </c>
      <c r="AF116" s="228">
        <v>4.4000000000000004</v>
      </c>
      <c r="AG116" s="229">
        <v>5.0000000000000001E-4</v>
      </c>
      <c r="AH116" s="228">
        <v>-3.3</v>
      </c>
      <c r="AI116" s="228">
        <v>-8.6</v>
      </c>
      <c r="AJ116" s="228">
        <v>5.3</v>
      </c>
      <c r="AK116" s="229">
        <v>-2.8999999999999998E-3</v>
      </c>
      <c r="AL116" s="228">
        <v>-6.1</v>
      </c>
      <c r="AM116" s="228">
        <v>-10.9</v>
      </c>
      <c r="AN116" s="228">
        <v>4.8</v>
      </c>
      <c r="AO116" s="229">
        <v>-5.3E-3</v>
      </c>
      <c r="AP116" s="231">
        <v>1162.6199999999999</v>
      </c>
      <c r="AQ116" s="231">
        <v>1155.57</v>
      </c>
      <c r="AR116" s="228">
        <v>0</v>
      </c>
      <c r="AS116" s="228">
        <v>100</v>
      </c>
      <c r="AT116" s="228">
        <v>79</v>
      </c>
      <c r="AU116" s="228">
        <v>21</v>
      </c>
      <c r="AV116" s="229">
        <v>0.26729999999999998</v>
      </c>
      <c r="AW116" s="228">
        <v>90</v>
      </c>
      <c r="AX116" s="228">
        <v>73</v>
      </c>
      <c r="AY116" s="228">
        <v>17</v>
      </c>
      <c r="AZ116" s="229">
        <v>0.2356</v>
      </c>
      <c r="BA116" s="228">
        <v>8</v>
      </c>
      <c r="BB116" s="228">
        <v>5</v>
      </c>
      <c r="BC116" s="228">
        <v>3</v>
      </c>
      <c r="BD116" s="229">
        <v>0.51329999999999998</v>
      </c>
      <c r="BE116" s="228">
        <v>2</v>
      </c>
      <c r="BF116" s="228">
        <v>0</v>
      </c>
      <c r="BG116" s="228">
        <v>1</v>
      </c>
      <c r="BH116" s="229">
        <v>2.5</v>
      </c>
      <c r="BI116" s="228">
        <v>310</v>
      </c>
      <c r="BJ116" s="228">
        <v>207</v>
      </c>
      <c r="BK116" s="228">
        <v>103</v>
      </c>
      <c r="BL116" s="229">
        <v>0.4955</v>
      </c>
      <c r="BM116" s="228">
        <v>198</v>
      </c>
      <c r="BN116" s="228">
        <v>68</v>
      </c>
      <c r="BO116" s="228">
        <v>130</v>
      </c>
      <c r="BP116" s="229">
        <v>1.9056</v>
      </c>
      <c r="BQ116" s="228">
        <v>608</v>
      </c>
      <c r="BR116" s="228">
        <v>354</v>
      </c>
      <c r="BS116" s="228">
        <v>253</v>
      </c>
      <c r="BT116" s="229">
        <v>0.71540000000000004</v>
      </c>
      <c r="BU116" s="230">
        <v>757056</v>
      </c>
      <c r="BV116" s="230">
        <v>608769</v>
      </c>
      <c r="BW116" s="230">
        <v>148287</v>
      </c>
      <c r="BX116" s="229">
        <v>0.24360000000000001</v>
      </c>
      <c r="BY116" s="228">
        <v>555</v>
      </c>
      <c r="BZ116" s="228">
        <v>562</v>
      </c>
      <c r="CA116" s="228">
        <v>-8</v>
      </c>
      <c r="CB116" s="229">
        <v>-1.34E-2</v>
      </c>
      <c r="CC116" s="228">
        <v>516</v>
      </c>
      <c r="CD116" s="228">
        <v>528</v>
      </c>
      <c r="CE116" s="228">
        <v>-11</v>
      </c>
      <c r="CF116" s="229">
        <v>-2.1499999999999998E-2</v>
      </c>
      <c r="CG116" s="228">
        <v>34</v>
      </c>
      <c r="CH116" s="228">
        <v>30</v>
      </c>
      <c r="CI116" s="228">
        <v>3</v>
      </c>
      <c r="CJ116" s="229">
        <v>0.1032</v>
      </c>
      <c r="CK116" s="228">
        <v>5</v>
      </c>
      <c r="CL116" s="228">
        <v>4</v>
      </c>
      <c r="CM116" s="228">
        <v>1</v>
      </c>
      <c r="CN116" s="229">
        <v>0.15790000000000001</v>
      </c>
      <c r="CO116" s="228">
        <v>394</v>
      </c>
      <c r="CP116" s="228">
        <v>377</v>
      </c>
      <c r="CQ116" s="228">
        <v>17</v>
      </c>
      <c r="CR116" s="229">
        <v>4.5199999999999997E-2</v>
      </c>
      <c r="CS116" s="228">
        <v>259</v>
      </c>
      <c r="CT116" s="228">
        <v>242</v>
      </c>
      <c r="CU116" s="228">
        <v>17</v>
      </c>
      <c r="CV116" s="229">
        <v>6.83E-2</v>
      </c>
      <c r="CW116" s="230">
        <v>1208</v>
      </c>
      <c r="CX116" s="230">
        <v>1182</v>
      </c>
      <c r="CY116" s="228">
        <v>26</v>
      </c>
      <c r="CZ116" s="229">
        <v>2.1999999999999999E-2</v>
      </c>
      <c r="DA116" s="228">
        <v>31.07</v>
      </c>
      <c r="DB116" s="228">
        <v>31.04</v>
      </c>
      <c r="DC116" s="228">
        <v>0.03</v>
      </c>
      <c r="DD116" s="228">
        <v>0.03</v>
      </c>
      <c r="DE116" s="228">
        <v>45.32</v>
      </c>
      <c r="DF116" s="228">
        <v>45.42</v>
      </c>
      <c r="DG116" s="228">
        <v>-14.25</v>
      </c>
      <c r="DH116" s="228">
        <v>-0.1</v>
      </c>
      <c r="DI116" s="228">
        <v>31.31</v>
      </c>
      <c r="DJ116" s="228">
        <v>30.83</v>
      </c>
      <c r="DK116" s="228">
        <v>0.48</v>
      </c>
      <c r="DL116" s="228">
        <v>0.48</v>
      </c>
      <c r="DM116" s="228">
        <v>30.69</v>
      </c>
      <c r="DN116" s="228">
        <v>31.66</v>
      </c>
      <c r="DO116" s="228">
        <v>-0.97</v>
      </c>
      <c r="DP116" s="228">
        <v>-0.97</v>
      </c>
      <c r="DQ116" s="228">
        <v>0.66</v>
      </c>
      <c r="DR116" s="228">
        <v>0.64</v>
      </c>
      <c r="DS116" s="228">
        <v>0.02</v>
      </c>
      <c r="DT116" s="229">
        <v>3.1300000000000001E-2</v>
      </c>
      <c r="DU116" s="231">
        <v>1200</v>
      </c>
      <c r="DV116" s="231">
        <v>1060</v>
      </c>
      <c r="DW116" s="228">
        <v>0.64</v>
      </c>
      <c r="DX116" s="228">
        <v>0.33</v>
      </c>
      <c r="DY116" s="228">
        <v>0.31</v>
      </c>
      <c r="DZ116" s="229">
        <v>0.93940000000000001</v>
      </c>
      <c r="EA116" s="229">
        <v>6.9699999999999998E-2</v>
      </c>
      <c r="EB116" s="230">
        <v>301600</v>
      </c>
      <c r="EC116" s="229">
        <v>-3.3999999999999998E-3</v>
      </c>
      <c r="ED116" s="229">
        <v>6.9699999999999998E-2</v>
      </c>
      <c r="EE116" s="228">
        <v>-7.05</v>
      </c>
      <c r="EF116" s="229">
        <v>-6.1000000000000004E-3</v>
      </c>
      <c r="EG116" s="230">
        <v>454194</v>
      </c>
      <c r="EH116" s="230">
        <v>214303</v>
      </c>
      <c r="EI116" s="229">
        <v>1.1194</v>
      </c>
      <c r="EJ116" s="229">
        <v>0.59989999999999999</v>
      </c>
      <c r="EK116" s="228">
        <v>330.92</v>
      </c>
      <c r="EL116" s="228">
        <v>189.9</v>
      </c>
      <c r="EM116" s="228">
        <v>100.48</v>
      </c>
      <c r="EN116" s="228">
        <v>24.81</v>
      </c>
      <c r="EO116" s="228">
        <v>621.29999999999995</v>
      </c>
      <c r="EP116" s="228">
        <v>364.66</v>
      </c>
      <c r="EQ116" s="228">
        <v>256.64</v>
      </c>
      <c r="ER116" s="229">
        <v>0.70379999999999998</v>
      </c>
      <c r="ES116" s="228">
        <v>422.75</v>
      </c>
      <c r="ET116" s="228">
        <v>249.12</v>
      </c>
      <c r="EU116" s="228">
        <v>554.71</v>
      </c>
      <c r="EV116" s="231">
        <v>24568295</v>
      </c>
      <c r="EW116" s="231">
        <v>1226.58</v>
      </c>
      <c r="EX116" s="231">
        <v>1201.8800000000001</v>
      </c>
      <c r="EY116" s="228">
        <v>24.7</v>
      </c>
      <c r="EZ116" s="229">
        <v>2.06E-2</v>
      </c>
      <c r="FA116" s="229">
        <v>0.42570000000000002</v>
      </c>
      <c r="FB116" s="227" t="s">
        <v>568</v>
      </c>
      <c r="FC116">
        <f t="shared" si="1"/>
        <v>39</v>
      </c>
    </row>
    <row r="117" spans="1:159" ht="17.25" thickBot="1" x14ac:dyDescent="0.3">
      <c r="A117" s="226">
        <v>45940</v>
      </c>
      <c r="B117" s="227" t="s">
        <v>170</v>
      </c>
      <c r="C117" s="227" t="s">
        <v>535</v>
      </c>
      <c r="D117" s="228">
        <v>1700</v>
      </c>
      <c r="E117" s="228">
        <v>18</v>
      </c>
      <c r="F117" s="228">
        <v>880.8</v>
      </c>
      <c r="G117" s="228">
        <v>869.45</v>
      </c>
      <c r="H117" s="228">
        <v>11.35</v>
      </c>
      <c r="I117" s="229">
        <v>1.3100000000000001E-2</v>
      </c>
      <c r="J117" s="228">
        <v>876.75</v>
      </c>
      <c r="K117" s="228">
        <v>865.1</v>
      </c>
      <c r="L117" s="228">
        <v>11.65</v>
      </c>
      <c r="M117" s="229">
        <v>1.35E-2</v>
      </c>
      <c r="N117" s="228">
        <v>880.8</v>
      </c>
      <c r="O117" s="228">
        <v>869.45</v>
      </c>
      <c r="P117" s="228">
        <v>11.35</v>
      </c>
      <c r="Q117" s="229">
        <v>1.3100000000000001E-2</v>
      </c>
      <c r="R117" s="228">
        <v>884.25</v>
      </c>
      <c r="S117" s="228">
        <v>872.35</v>
      </c>
      <c r="T117" s="228">
        <v>11.9</v>
      </c>
      <c r="U117" s="229">
        <v>1.3599999999999999E-2</v>
      </c>
      <c r="V117" s="228">
        <v>889.5</v>
      </c>
      <c r="W117" s="228">
        <v>877.6</v>
      </c>
      <c r="X117" s="228">
        <v>11.9</v>
      </c>
      <c r="Y117" s="229">
        <v>1.3599999999999999E-2</v>
      </c>
      <c r="Z117" s="228">
        <v>4.05</v>
      </c>
      <c r="AA117" s="228">
        <v>4.3499999999999996</v>
      </c>
      <c r="AB117" s="228">
        <v>-0.3</v>
      </c>
      <c r="AC117" s="229">
        <v>4.5999999999999999E-3</v>
      </c>
      <c r="AD117" s="228">
        <v>4.05</v>
      </c>
      <c r="AE117" s="228">
        <v>4.3499999999999996</v>
      </c>
      <c r="AF117" s="228">
        <v>-0.3</v>
      </c>
      <c r="AG117" s="229">
        <v>4.5999999999999999E-3</v>
      </c>
      <c r="AH117" s="228">
        <v>7.5</v>
      </c>
      <c r="AI117" s="228">
        <v>7.25</v>
      </c>
      <c r="AJ117" s="228">
        <v>0.25</v>
      </c>
      <c r="AK117" s="229">
        <v>8.6E-3</v>
      </c>
      <c r="AL117" s="228">
        <v>12.75</v>
      </c>
      <c r="AM117" s="228">
        <v>12.5</v>
      </c>
      <c r="AN117" s="228">
        <v>0.25</v>
      </c>
      <c r="AO117" s="229">
        <v>1.4500000000000001E-2</v>
      </c>
      <c r="AP117" s="228">
        <v>876.67</v>
      </c>
      <c r="AQ117" s="228">
        <v>877.91</v>
      </c>
      <c r="AR117" s="228">
        <v>0</v>
      </c>
      <c r="AS117" s="230">
        <v>1460</v>
      </c>
      <c r="AT117" s="228">
        <v>771</v>
      </c>
      <c r="AU117" s="228">
        <v>689</v>
      </c>
      <c r="AV117" s="229">
        <v>0.89319999999999999</v>
      </c>
      <c r="AW117" s="230">
        <v>1325</v>
      </c>
      <c r="AX117" s="228">
        <v>720</v>
      </c>
      <c r="AY117" s="228">
        <v>605</v>
      </c>
      <c r="AZ117" s="229">
        <v>0.84089999999999998</v>
      </c>
      <c r="BA117" s="228">
        <v>130</v>
      </c>
      <c r="BB117" s="228">
        <v>50</v>
      </c>
      <c r="BC117" s="228">
        <v>80</v>
      </c>
      <c r="BD117" s="229">
        <v>1.6193</v>
      </c>
      <c r="BE117" s="228">
        <v>5</v>
      </c>
      <c r="BF117" s="228">
        <v>2</v>
      </c>
      <c r="BG117" s="228">
        <v>3</v>
      </c>
      <c r="BH117" s="229">
        <v>1.9091</v>
      </c>
      <c r="BI117" s="230">
        <v>3340</v>
      </c>
      <c r="BJ117" s="230">
        <v>1692</v>
      </c>
      <c r="BK117" s="230">
        <v>1648</v>
      </c>
      <c r="BL117" s="229">
        <v>0.97440000000000004</v>
      </c>
      <c r="BM117" s="230">
        <v>1296</v>
      </c>
      <c r="BN117" s="228">
        <v>625</v>
      </c>
      <c r="BO117" s="228">
        <v>671</v>
      </c>
      <c r="BP117" s="229">
        <v>1.0743</v>
      </c>
      <c r="BQ117" s="230">
        <v>6096</v>
      </c>
      <c r="BR117" s="230">
        <v>3088</v>
      </c>
      <c r="BS117" s="230">
        <v>3008</v>
      </c>
      <c r="BT117" s="229">
        <v>0.97430000000000005</v>
      </c>
      <c r="BU117" s="230">
        <v>4135189</v>
      </c>
      <c r="BV117" s="230">
        <v>2850601</v>
      </c>
      <c r="BW117" s="230">
        <v>1284588</v>
      </c>
      <c r="BX117" s="229">
        <v>0.4506</v>
      </c>
      <c r="BY117" s="230">
        <v>1920</v>
      </c>
      <c r="BZ117" s="230">
        <v>1855</v>
      </c>
      <c r="CA117" s="228">
        <v>65</v>
      </c>
      <c r="CB117" s="229">
        <v>3.5299999999999998E-2</v>
      </c>
      <c r="CC117" s="230">
        <v>1820</v>
      </c>
      <c r="CD117" s="230">
        <v>1789</v>
      </c>
      <c r="CE117" s="228">
        <v>31</v>
      </c>
      <c r="CF117" s="229">
        <v>1.7500000000000002E-2</v>
      </c>
      <c r="CG117" s="228">
        <v>96</v>
      </c>
      <c r="CH117" s="228">
        <v>62</v>
      </c>
      <c r="CI117" s="228">
        <v>33</v>
      </c>
      <c r="CJ117" s="229">
        <v>0.53</v>
      </c>
      <c r="CK117" s="228">
        <v>4</v>
      </c>
      <c r="CL117" s="228">
        <v>3</v>
      </c>
      <c r="CM117" s="228">
        <v>1</v>
      </c>
      <c r="CN117" s="229">
        <v>0.33329999999999999</v>
      </c>
      <c r="CO117" s="230">
        <v>1172</v>
      </c>
      <c r="CP117" s="230">
        <v>1053</v>
      </c>
      <c r="CQ117" s="228">
        <v>118</v>
      </c>
      <c r="CR117" s="229">
        <v>0.1123</v>
      </c>
      <c r="CS117" s="228">
        <v>656</v>
      </c>
      <c r="CT117" s="228">
        <v>576</v>
      </c>
      <c r="CU117" s="228">
        <v>80</v>
      </c>
      <c r="CV117" s="229">
        <v>0.13869999999999999</v>
      </c>
      <c r="CW117" s="230">
        <v>3748</v>
      </c>
      <c r="CX117" s="230">
        <v>3484</v>
      </c>
      <c r="CY117" s="228">
        <v>264</v>
      </c>
      <c r="CZ117" s="229">
        <v>7.5700000000000003E-2</v>
      </c>
      <c r="DA117" s="228">
        <v>36.75</v>
      </c>
      <c r="DB117" s="228">
        <v>35.479999999999997</v>
      </c>
      <c r="DC117" s="228">
        <v>1.27</v>
      </c>
      <c r="DD117" s="228">
        <v>1.27</v>
      </c>
      <c r="DE117" s="228">
        <v>41.21</v>
      </c>
      <c r="DF117" s="228">
        <v>41.28</v>
      </c>
      <c r="DG117" s="228">
        <v>-4.46</v>
      </c>
      <c r="DH117" s="228">
        <v>-7.0000000000000007E-2</v>
      </c>
      <c r="DI117" s="228">
        <v>36.869999999999997</v>
      </c>
      <c r="DJ117" s="228">
        <v>35.520000000000003</v>
      </c>
      <c r="DK117" s="228">
        <v>1.35</v>
      </c>
      <c r="DL117" s="228">
        <v>1.35</v>
      </c>
      <c r="DM117" s="228">
        <v>36.44</v>
      </c>
      <c r="DN117" s="228">
        <v>35.380000000000003</v>
      </c>
      <c r="DO117" s="228">
        <v>1.06</v>
      </c>
      <c r="DP117" s="228">
        <v>1.06</v>
      </c>
      <c r="DQ117" s="228">
        <v>0.56000000000000005</v>
      </c>
      <c r="DR117" s="228">
        <v>0.55000000000000004</v>
      </c>
      <c r="DS117" s="228">
        <v>0.01</v>
      </c>
      <c r="DT117" s="229">
        <v>1.8200000000000001E-2</v>
      </c>
      <c r="DU117" s="228">
        <v>900</v>
      </c>
      <c r="DV117" s="228">
        <v>850</v>
      </c>
      <c r="DW117" s="228">
        <v>0.39</v>
      </c>
      <c r="DX117" s="228">
        <v>0.37</v>
      </c>
      <c r="DY117" s="228">
        <v>0.02</v>
      </c>
      <c r="DZ117" s="229">
        <v>5.4100000000000002E-2</v>
      </c>
      <c r="EA117" s="229">
        <v>5.1900000000000002E-2</v>
      </c>
      <c r="EB117" s="230">
        <v>744600</v>
      </c>
      <c r="EC117" s="229">
        <v>3.8999999999999998E-3</v>
      </c>
      <c r="ED117" s="229">
        <v>5.1900000000000002E-2</v>
      </c>
      <c r="EE117" s="228">
        <v>1.24</v>
      </c>
      <c r="EF117" s="229">
        <v>1.4E-3</v>
      </c>
      <c r="EG117" s="230">
        <v>1364302</v>
      </c>
      <c r="EH117" s="230">
        <v>1350955</v>
      </c>
      <c r="EI117" s="229">
        <v>9.9000000000000008E-3</v>
      </c>
      <c r="EJ117" s="229">
        <v>0.32990000000000003</v>
      </c>
      <c r="EK117" s="231">
        <v>3541.61</v>
      </c>
      <c r="EL117" s="231">
        <v>1275.93</v>
      </c>
      <c r="EM117" s="231">
        <v>1453.34</v>
      </c>
      <c r="EN117" s="228">
        <v>26.68</v>
      </c>
      <c r="EO117" s="231">
        <v>6270.87</v>
      </c>
      <c r="EP117" s="231">
        <v>3130.71</v>
      </c>
      <c r="EQ117" s="231">
        <v>3140.16</v>
      </c>
      <c r="ER117" s="229">
        <v>1.0029999999999999</v>
      </c>
      <c r="ES117" s="231">
        <v>1230.96</v>
      </c>
      <c r="ET117" s="228">
        <v>625.57000000000005</v>
      </c>
      <c r="EU117" s="231">
        <v>1920.48</v>
      </c>
      <c r="EV117" s="231">
        <v>58629477</v>
      </c>
      <c r="EW117" s="231">
        <v>3777.01</v>
      </c>
      <c r="EX117" s="231">
        <v>3481.14</v>
      </c>
      <c r="EY117" s="228">
        <v>295.87</v>
      </c>
      <c r="EZ117" s="229">
        <v>8.5000000000000006E-2</v>
      </c>
      <c r="FA117" s="229">
        <v>0.7258</v>
      </c>
      <c r="FB117" s="227" t="s">
        <v>555</v>
      </c>
      <c r="FC117">
        <f t="shared" si="1"/>
        <v>100</v>
      </c>
    </row>
    <row r="118" spans="1:159" ht="17.25" thickBot="1" x14ac:dyDescent="0.3">
      <c r="A118" s="226">
        <v>45940</v>
      </c>
      <c r="B118" s="227" t="s">
        <v>175</v>
      </c>
      <c r="C118" s="227" t="s">
        <v>248</v>
      </c>
      <c r="D118" s="228">
        <v>1000</v>
      </c>
      <c r="E118" s="228">
        <v>18</v>
      </c>
      <c r="F118" s="228">
        <v>570.35</v>
      </c>
      <c r="G118" s="228">
        <v>563.95000000000005</v>
      </c>
      <c r="H118" s="228">
        <v>6.4</v>
      </c>
      <c r="I118" s="229">
        <v>1.1299999999999999E-2</v>
      </c>
      <c r="J118" s="228">
        <v>568.45000000000005</v>
      </c>
      <c r="K118" s="228">
        <v>560.5</v>
      </c>
      <c r="L118" s="228">
        <v>7.95</v>
      </c>
      <c r="M118" s="229">
        <v>1.4200000000000001E-2</v>
      </c>
      <c r="N118" s="228">
        <v>570.35</v>
      </c>
      <c r="O118" s="228">
        <v>563.95000000000005</v>
      </c>
      <c r="P118" s="228">
        <v>6.4</v>
      </c>
      <c r="Q118" s="229">
        <v>1.1299999999999999E-2</v>
      </c>
      <c r="R118" s="228">
        <v>573.45000000000005</v>
      </c>
      <c r="S118" s="228">
        <v>566.70000000000005</v>
      </c>
      <c r="T118" s="228">
        <v>6.75</v>
      </c>
      <c r="U118" s="229">
        <v>1.1900000000000001E-2</v>
      </c>
      <c r="V118" s="228">
        <v>577.1</v>
      </c>
      <c r="W118" s="228">
        <v>570.15</v>
      </c>
      <c r="X118" s="228">
        <v>6.95</v>
      </c>
      <c r="Y118" s="229">
        <v>1.2200000000000001E-2</v>
      </c>
      <c r="Z118" s="228">
        <v>1.9</v>
      </c>
      <c r="AA118" s="228">
        <v>3.45</v>
      </c>
      <c r="AB118" s="228">
        <v>-1.55</v>
      </c>
      <c r="AC118" s="229">
        <v>3.3E-3</v>
      </c>
      <c r="AD118" s="228">
        <v>1.9</v>
      </c>
      <c r="AE118" s="228">
        <v>3.45</v>
      </c>
      <c r="AF118" s="228">
        <v>-1.55</v>
      </c>
      <c r="AG118" s="229">
        <v>3.3E-3</v>
      </c>
      <c r="AH118" s="228">
        <v>5</v>
      </c>
      <c r="AI118" s="228">
        <v>6.2</v>
      </c>
      <c r="AJ118" s="228">
        <v>-1.2</v>
      </c>
      <c r="AK118" s="229">
        <v>8.8000000000000005E-3</v>
      </c>
      <c r="AL118" s="228">
        <v>8.65</v>
      </c>
      <c r="AM118" s="228">
        <v>9.65</v>
      </c>
      <c r="AN118" s="228">
        <v>-1</v>
      </c>
      <c r="AO118" s="229">
        <v>1.52E-2</v>
      </c>
      <c r="AP118" s="228">
        <v>570.46</v>
      </c>
      <c r="AQ118" s="228">
        <v>572.65</v>
      </c>
      <c r="AR118" s="228">
        <v>0</v>
      </c>
      <c r="AS118" s="228">
        <v>205</v>
      </c>
      <c r="AT118" s="228">
        <v>173</v>
      </c>
      <c r="AU118" s="228">
        <v>32</v>
      </c>
      <c r="AV118" s="229">
        <v>0.18490000000000001</v>
      </c>
      <c r="AW118" s="228">
        <v>186</v>
      </c>
      <c r="AX118" s="228">
        <v>156</v>
      </c>
      <c r="AY118" s="228">
        <v>30</v>
      </c>
      <c r="AZ118" s="229">
        <v>0.19040000000000001</v>
      </c>
      <c r="BA118" s="228">
        <v>18</v>
      </c>
      <c r="BB118" s="228">
        <v>17</v>
      </c>
      <c r="BC118" s="228">
        <v>1</v>
      </c>
      <c r="BD118" s="229">
        <v>8.1600000000000006E-2</v>
      </c>
      <c r="BE118" s="228">
        <v>1</v>
      </c>
      <c r="BF118" s="228">
        <v>1</v>
      </c>
      <c r="BG118" s="228">
        <v>1</v>
      </c>
      <c r="BH118" s="229">
        <v>1.8889</v>
      </c>
      <c r="BI118" s="228">
        <v>309</v>
      </c>
      <c r="BJ118" s="228">
        <v>210</v>
      </c>
      <c r="BK118" s="228">
        <v>100</v>
      </c>
      <c r="BL118" s="229">
        <v>0.47460000000000002</v>
      </c>
      <c r="BM118" s="228">
        <v>115</v>
      </c>
      <c r="BN118" s="228">
        <v>71</v>
      </c>
      <c r="BO118" s="228">
        <v>43</v>
      </c>
      <c r="BP118" s="229">
        <v>0.60540000000000005</v>
      </c>
      <c r="BQ118" s="228">
        <v>629</v>
      </c>
      <c r="BR118" s="228">
        <v>454</v>
      </c>
      <c r="BS118" s="228">
        <v>175</v>
      </c>
      <c r="BT118" s="229">
        <v>0.38469999999999999</v>
      </c>
      <c r="BU118" s="230">
        <v>1035760</v>
      </c>
      <c r="BV118" s="230">
        <v>2338555</v>
      </c>
      <c r="BW118" s="230">
        <v>-1302795</v>
      </c>
      <c r="BX118" s="229">
        <v>-0.55710000000000004</v>
      </c>
      <c r="BY118" s="230">
        <v>1844</v>
      </c>
      <c r="BZ118" s="230">
        <v>1845</v>
      </c>
      <c r="CA118" s="228">
        <v>-1</v>
      </c>
      <c r="CB118" s="229">
        <v>-5.0000000000000001E-4</v>
      </c>
      <c r="CC118" s="230">
        <v>1773</v>
      </c>
      <c r="CD118" s="230">
        <v>1777</v>
      </c>
      <c r="CE118" s="228">
        <v>-4</v>
      </c>
      <c r="CF118" s="229">
        <v>-2.3999999999999998E-3</v>
      </c>
      <c r="CG118" s="228">
        <v>68</v>
      </c>
      <c r="CH118" s="228">
        <v>64</v>
      </c>
      <c r="CI118" s="228">
        <v>4</v>
      </c>
      <c r="CJ118" s="229">
        <v>5.7099999999999998E-2</v>
      </c>
      <c r="CK118" s="228">
        <v>3</v>
      </c>
      <c r="CL118" s="228">
        <v>4</v>
      </c>
      <c r="CM118" s="228">
        <v>0</v>
      </c>
      <c r="CN118" s="229">
        <v>-9.2299999999999993E-2</v>
      </c>
      <c r="CO118" s="228">
        <v>518</v>
      </c>
      <c r="CP118" s="228">
        <v>513</v>
      </c>
      <c r="CQ118" s="228">
        <v>6</v>
      </c>
      <c r="CR118" s="229">
        <v>1.0800000000000001E-2</v>
      </c>
      <c r="CS118" s="228">
        <v>378</v>
      </c>
      <c r="CT118" s="228">
        <v>376</v>
      </c>
      <c r="CU118" s="228">
        <v>2</v>
      </c>
      <c r="CV118" s="229">
        <v>5.5999999999999999E-3</v>
      </c>
      <c r="CW118" s="230">
        <v>2740</v>
      </c>
      <c r="CX118" s="230">
        <v>2733</v>
      </c>
      <c r="CY118" s="228">
        <v>7</v>
      </c>
      <c r="CZ118" s="229">
        <v>2.3999999999999998E-3</v>
      </c>
      <c r="DA118" s="228">
        <v>21.9</v>
      </c>
      <c r="DB118" s="228">
        <v>23.26</v>
      </c>
      <c r="DC118" s="228">
        <v>-1.36</v>
      </c>
      <c r="DD118" s="228">
        <v>-1.36</v>
      </c>
      <c r="DE118" s="228">
        <v>34.869999999999997</v>
      </c>
      <c r="DF118" s="228">
        <v>34.92</v>
      </c>
      <c r="DG118" s="228">
        <v>-12.97</v>
      </c>
      <c r="DH118" s="228">
        <v>-0.05</v>
      </c>
      <c r="DI118" s="228">
        <v>22.06</v>
      </c>
      <c r="DJ118" s="228">
        <v>23.43</v>
      </c>
      <c r="DK118" s="228">
        <v>-1.37</v>
      </c>
      <c r="DL118" s="228">
        <v>-1.37</v>
      </c>
      <c r="DM118" s="228">
        <v>21.47</v>
      </c>
      <c r="DN118" s="228">
        <v>22.74</v>
      </c>
      <c r="DO118" s="228">
        <v>-1.27</v>
      </c>
      <c r="DP118" s="228">
        <v>-1.27</v>
      </c>
      <c r="DQ118" s="228">
        <v>0.73</v>
      </c>
      <c r="DR118" s="228">
        <v>0.73</v>
      </c>
      <c r="DS118" s="228">
        <v>0</v>
      </c>
      <c r="DT118" s="229">
        <v>0</v>
      </c>
      <c r="DU118" s="228">
        <v>600</v>
      </c>
      <c r="DV118" s="228">
        <v>580</v>
      </c>
      <c r="DW118" s="228">
        <v>0.37</v>
      </c>
      <c r="DX118" s="228">
        <v>0.34</v>
      </c>
      <c r="DY118" s="228">
        <v>0.03</v>
      </c>
      <c r="DZ118" s="229">
        <v>8.8200000000000001E-2</v>
      </c>
      <c r="EA118" s="229">
        <v>3.85E-2</v>
      </c>
      <c r="EB118" s="230">
        <v>1186000</v>
      </c>
      <c r="EC118" s="229">
        <v>5.4000000000000003E-3</v>
      </c>
      <c r="ED118" s="229">
        <v>3.85E-2</v>
      </c>
      <c r="EE118" s="228">
        <v>2.19</v>
      </c>
      <c r="EF118" s="229">
        <v>3.8E-3</v>
      </c>
      <c r="EG118" s="230">
        <v>479227</v>
      </c>
      <c r="EH118" s="230">
        <v>1732023</v>
      </c>
      <c r="EI118" s="229">
        <v>-0.72330000000000005</v>
      </c>
      <c r="EJ118" s="229">
        <v>0.4627</v>
      </c>
      <c r="EK118" s="228">
        <v>319.3</v>
      </c>
      <c r="EL118" s="228">
        <v>114.19</v>
      </c>
      <c r="EM118" s="228">
        <v>205.51</v>
      </c>
      <c r="EN118" s="228">
        <v>30.97</v>
      </c>
      <c r="EO118" s="228">
        <v>639</v>
      </c>
      <c r="EP118" s="228">
        <v>458.43</v>
      </c>
      <c r="EQ118" s="228">
        <v>180.57</v>
      </c>
      <c r="ER118" s="229">
        <v>0.39389999999999997</v>
      </c>
      <c r="ES118" s="228">
        <v>538.58000000000004</v>
      </c>
      <c r="ET118" s="228">
        <v>381.19</v>
      </c>
      <c r="EU118" s="231">
        <v>1844.06</v>
      </c>
      <c r="EV118" s="231">
        <v>45183075</v>
      </c>
      <c r="EW118" s="231">
        <v>2763.84</v>
      </c>
      <c r="EX118" s="231">
        <v>2735.69</v>
      </c>
      <c r="EY118" s="228">
        <v>28.15</v>
      </c>
      <c r="EZ118" s="229">
        <v>1.03E-2</v>
      </c>
      <c r="FA118" s="229">
        <v>1.0631999999999999</v>
      </c>
      <c r="FB118" s="227" t="s">
        <v>556</v>
      </c>
      <c r="FC118">
        <f t="shared" si="1"/>
        <v>71</v>
      </c>
    </row>
    <row r="119" spans="1:159" ht="17.25" thickBot="1" x14ac:dyDescent="0.3">
      <c r="A119" s="226">
        <v>45940</v>
      </c>
      <c r="B119" s="227" t="s">
        <v>175</v>
      </c>
      <c r="C119" s="227" t="s">
        <v>608</v>
      </c>
      <c r="D119" s="228">
        <v>700</v>
      </c>
      <c r="E119" s="228">
        <v>18</v>
      </c>
      <c r="F119" s="228">
        <v>902.25</v>
      </c>
      <c r="G119" s="228">
        <v>900.55</v>
      </c>
      <c r="H119" s="228">
        <v>1.7</v>
      </c>
      <c r="I119" s="229">
        <v>1.9E-3</v>
      </c>
      <c r="J119" s="228">
        <v>897.8</v>
      </c>
      <c r="K119" s="228">
        <v>895.2</v>
      </c>
      <c r="L119" s="228">
        <v>2.6</v>
      </c>
      <c r="M119" s="229">
        <v>2.8999999999999998E-3</v>
      </c>
      <c r="N119" s="228">
        <v>902.25</v>
      </c>
      <c r="O119" s="228">
        <v>900.55</v>
      </c>
      <c r="P119" s="228">
        <v>1.7</v>
      </c>
      <c r="Q119" s="229">
        <v>1.9E-3</v>
      </c>
      <c r="R119" s="228">
        <v>906.3</v>
      </c>
      <c r="S119" s="228">
        <v>903.15</v>
      </c>
      <c r="T119" s="228">
        <v>3.15</v>
      </c>
      <c r="U119" s="229">
        <v>3.5000000000000001E-3</v>
      </c>
      <c r="V119" s="228">
        <v>908.4</v>
      </c>
      <c r="W119" s="228">
        <v>908</v>
      </c>
      <c r="X119" s="228">
        <v>0.4</v>
      </c>
      <c r="Y119" s="229">
        <v>4.0000000000000002E-4</v>
      </c>
      <c r="Z119" s="228">
        <v>4.45</v>
      </c>
      <c r="AA119" s="228">
        <v>5.35</v>
      </c>
      <c r="AB119" s="228">
        <v>-0.9</v>
      </c>
      <c r="AC119" s="229">
        <v>5.0000000000000001E-3</v>
      </c>
      <c r="AD119" s="228">
        <v>4.45</v>
      </c>
      <c r="AE119" s="228">
        <v>5.35</v>
      </c>
      <c r="AF119" s="228">
        <v>-0.9</v>
      </c>
      <c r="AG119" s="229">
        <v>5.0000000000000001E-3</v>
      </c>
      <c r="AH119" s="228">
        <v>8.5</v>
      </c>
      <c r="AI119" s="228">
        <v>7.95</v>
      </c>
      <c r="AJ119" s="228">
        <v>0.55000000000000004</v>
      </c>
      <c r="AK119" s="229">
        <v>9.4999999999999998E-3</v>
      </c>
      <c r="AL119" s="228">
        <v>10.6</v>
      </c>
      <c r="AM119" s="228">
        <v>12.8</v>
      </c>
      <c r="AN119" s="228">
        <v>-2.2000000000000002</v>
      </c>
      <c r="AO119" s="229">
        <v>1.18E-2</v>
      </c>
      <c r="AP119" s="228">
        <v>906.46</v>
      </c>
      <c r="AQ119" s="228">
        <v>909.31</v>
      </c>
      <c r="AR119" s="228">
        <v>0</v>
      </c>
      <c r="AS119" s="228">
        <v>125</v>
      </c>
      <c r="AT119" s="228">
        <v>87</v>
      </c>
      <c r="AU119" s="228">
        <v>39</v>
      </c>
      <c r="AV119" s="229">
        <v>0.44890000000000002</v>
      </c>
      <c r="AW119" s="228">
        <v>108</v>
      </c>
      <c r="AX119" s="228">
        <v>75</v>
      </c>
      <c r="AY119" s="228">
        <v>33</v>
      </c>
      <c r="AZ119" s="229">
        <v>0.4456</v>
      </c>
      <c r="BA119" s="228">
        <v>11</v>
      </c>
      <c r="BB119" s="228">
        <v>11</v>
      </c>
      <c r="BC119" s="228">
        <v>0</v>
      </c>
      <c r="BD119" s="229">
        <v>0</v>
      </c>
      <c r="BE119" s="228">
        <v>6</v>
      </c>
      <c r="BF119" s="228">
        <v>1</v>
      </c>
      <c r="BG119" s="228">
        <v>5</v>
      </c>
      <c r="BH119" s="229">
        <v>7.9090999999999996</v>
      </c>
      <c r="BI119" s="228">
        <v>295</v>
      </c>
      <c r="BJ119" s="228">
        <v>238</v>
      </c>
      <c r="BK119" s="228">
        <v>57</v>
      </c>
      <c r="BL119" s="229">
        <v>0.23849999999999999</v>
      </c>
      <c r="BM119" s="228">
        <v>90</v>
      </c>
      <c r="BN119" s="228">
        <v>64</v>
      </c>
      <c r="BO119" s="228">
        <v>26</v>
      </c>
      <c r="BP119" s="229">
        <v>0.41210000000000002</v>
      </c>
      <c r="BQ119" s="228">
        <v>511</v>
      </c>
      <c r="BR119" s="228">
        <v>389</v>
      </c>
      <c r="BS119" s="228">
        <v>122</v>
      </c>
      <c r="BT119" s="229">
        <v>0.31390000000000001</v>
      </c>
      <c r="BU119" s="230">
        <v>899293</v>
      </c>
      <c r="BV119" s="230">
        <v>741718</v>
      </c>
      <c r="BW119" s="230">
        <v>157575</v>
      </c>
      <c r="BX119" s="229">
        <v>0.21240000000000001</v>
      </c>
      <c r="BY119" s="228">
        <v>720</v>
      </c>
      <c r="BZ119" s="228">
        <v>718</v>
      </c>
      <c r="CA119" s="228">
        <v>2</v>
      </c>
      <c r="CB119" s="229">
        <v>3.3E-3</v>
      </c>
      <c r="CC119" s="228">
        <v>668</v>
      </c>
      <c r="CD119" s="228">
        <v>667</v>
      </c>
      <c r="CE119" s="228">
        <v>1</v>
      </c>
      <c r="CF119" s="229">
        <v>1.4E-3</v>
      </c>
      <c r="CG119" s="228">
        <v>47</v>
      </c>
      <c r="CH119" s="228">
        <v>44</v>
      </c>
      <c r="CI119" s="228">
        <v>2</v>
      </c>
      <c r="CJ119" s="229">
        <v>5.5500000000000001E-2</v>
      </c>
      <c r="CK119" s="228">
        <v>5</v>
      </c>
      <c r="CL119" s="228">
        <v>6</v>
      </c>
      <c r="CM119" s="228">
        <v>-1</v>
      </c>
      <c r="CN119" s="229">
        <v>-0.18679999999999999</v>
      </c>
      <c r="CO119" s="228">
        <v>423</v>
      </c>
      <c r="CP119" s="228">
        <v>411</v>
      </c>
      <c r="CQ119" s="228">
        <v>12</v>
      </c>
      <c r="CR119" s="229">
        <v>2.9000000000000001E-2</v>
      </c>
      <c r="CS119" s="228">
        <v>178</v>
      </c>
      <c r="CT119" s="228">
        <v>175</v>
      </c>
      <c r="CU119" s="228">
        <v>3</v>
      </c>
      <c r="CV119" s="229">
        <v>1.5800000000000002E-2</v>
      </c>
      <c r="CW119" s="230">
        <v>1321</v>
      </c>
      <c r="CX119" s="230">
        <v>1304</v>
      </c>
      <c r="CY119" s="228">
        <v>17</v>
      </c>
      <c r="CZ119" s="229">
        <v>1.3100000000000001E-2</v>
      </c>
      <c r="DA119" s="228">
        <v>21.79</v>
      </c>
      <c r="DB119" s="228">
        <v>22.99</v>
      </c>
      <c r="DC119" s="228">
        <v>-1.2</v>
      </c>
      <c r="DD119" s="228">
        <v>-1.2</v>
      </c>
      <c r="DE119" s="228">
        <v>32.46</v>
      </c>
      <c r="DF119" s="228">
        <v>32.54</v>
      </c>
      <c r="DG119" s="228">
        <v>-10.67</v>
      </c>
      <c r="DH119" s="228">
        <v>-0.08</v>
      </c>
      <c r="DI119" s="228">
        <v>21.77</v>
      </c>
      <c r="DJ119" s="228">
        <v>23.17</v>
      </c>
      <c r="DK119" s="228">
        <v>-1.4</v>
      </c>
      <c r="DL119" s="228">
        <v>-1.4</v>
      </c>
      <c r="DM119" s="228">
        <v>21.83</v>
      </c>
      <c r="DN119" s="228">
        <v>22.3</v>
      </c>
      <c r="DO119" s="228">
        <v>-0.47</v>
      </c>
      <c r="DP119" s="228">
        <v>-0.47</v>
      </c>
      <c r="DQ119" s="228">
        <v>0.42</v>
      </c>
      <c r="DR119" s="228">
        <v>0.43</v>
      </c>
      <c r="DS119" s="228">
        <v>-0.01</v>
      </c>
      <c r="DT119" s="229">
        <v>-2.3300000000000001E-2</v>
      </c>
      <c r="DU119" s="231">
        <v>1000</v>
      </c>
      <c r="DV119" s="228">
        <v>900</v>
      </c>
      <c r="DW119" s="228">
        <v>0.31</v>
      </c>
      <c r="DX119" s="228">
        <v>0.27</v>
      </c>
      <c r="DY119" s="228">
        <v>0.04</v>
      </c>
      <c r="DZ119" s="229">
        <v>0.14810000000000001</v>
      </c>
      <c r="EA119" s="229">
        <v>7.1599999999999997E-2</v>
      </c>
      <c r="EB119" s="230">
        <v>555800</v>
      </c>
      <c r="EC119" s="229">
        <v>4.4999999999999997E-3</v>
      </c>
      <c r="ED119" s="229">
        <v>7.1599999999999997E-2</v>
      </c>
      <c r="EE119" s="228">
        <v>2.85</v>
      </c>
      <c r="EF119" s="229">
        <v>3.0999999999999999E-3</v>
      </c>
      <c r="EG119" s="230">
        <v>434775</v>
      </c>
      <c r="EH119" s="230">
        <v>413072</v>
      </c>
      <c r="EI119" s="229">
        <v>5.2499999999999998E-2</v>
      </c>
      <c r="EJ119" s="229">
        <v>0.48349999999999999</v>
      </c>
      <c r="EK119" s="228">
        <v>307.42</v>
      </c>
      <c r="EL119" s="228">
        <v>89.17</v>
      </c>
      <c r="EM119" s="228">
        <v>126.04</v>
      </c>
      <c r="EN119" s="228">
        <v>18.78</v>
      </c>
      <c r="EO119" s="228">
        <v>522.63</v>
      </c>
      <c r="EP119" s="228">
        <v>398.4</v>
      </c>
      <c r="EQ119" s="228">
        <v>124.23</v>
      </c>
      <c r="ER119" s="229">
        <v>0.31180000000000002</v>
      </c>
      <c r="ES119" s="228">
        <v>442.15</v>
      </c>
      <c r="ET119" s="228">
        <v>173.02</v>
      </c>
      <c r="EU119" s="228">
        <v>720.11</v>
      </c>
      <c r="EV119" s="231">
        <v>32057152</v>
      </c>
      <c r="EW119" s="231">
        <v>1335.27</v>
      </c>
      <c r="EX119" s="231">
        <v>1316.31</v>
      </c>
      <c r="EY119" s="228">
        <v>18.96</v>
      </c>
      <c r="EZ119" s="229">
        <v>1.44E-2</v>
      </c>
      <c r="FA119" s="229">
        <v>0.45669999999999999</v>
      </c>
      <c r="FB119" s="227" t="s">
        <v>555</v>
      </c>
      <c r="FC119">
        <f t="shared" si="1"/>
        <v>52</v>
      </c>
    </row>
    <row r="120" spans="1:159" ht="17.25" thickBot="1" x14ac:dyDescent="0.3">
      <c r="A120" s="226">
        <v>45940</v>
      </c>
      <c r="B120" s="227" t="s">
        <v>206</v>
      </c>
      <c r="C120" s="227" t="s">
        <v>589</v>
      </c>
      <c r="D120" s="228">
        <v>450</v>
      </c>
      <c r="E120" s="228">
        <v>18</v>
      </c>
      <c r="F120" s="231">
        <v>1159.5999999999999</v>
      </c>
      <c r="G120" s="231">
        <v>1133.9000000000001</v>
      </c>
      <c r="H120" s="228">
        <v>25.7</v>
      </c>
      <c r="I120" s="229">
        <v>2.2700000000000001E-2</v>
      </c>
      <c r="J120" s="231">
        <v>1155.9000000000001</v>
      </c>
      <c r="K120" s="231">
        <v>1128.7</v>
      </c>
      <c r="L120" s="228">
        <v>27.2</v>
      </c>
      <c r="M120" s="229">
        <v>2.41E-2</v>
      </c>
      <c r="N120" s="231">
        <v>1159.5999999999999</v>
      </c>
      <c r="O120" s="231">
        <v>1133.9000000000001</v>
      </c>
      <c r="P120" s="228">
        <v>25.7</v>
      </c>
      <c r="Q120" s="229">
        <v>2.2700000000000001E-2</v>
      </c>
      <c r="R120" s="231">
        <v>1165.7</v>
      </c>
      <c r="S120" s="231">
        <v>1144.3</v>
      </c>
      <c r="T120" s="228">
        <v>21.4</v>
      </c>
      <c r="U120" s="229">
        <v>1.8700000000000001E-2</v>
      </c>
      <c r="V120" s="231">
        <v>1171.8</v>
      </c>
      <c r="W120" s="231">
        <v>1146.9000000000001</v>
      </c>
      <c r="X120" s="228">
        <v>24.9</v>
      </c>
      <c r="Y120" s="229">
        <v>2.1700000000000001E-2</v>
      </c>
      <c r="Z120" s="228">
        <v>3.7</v>
      </c>
      <c r="AA120" s="228">
        <v>5.2</v>
      </c>
      <c r="AB120" s="228">
        <v>-1.5</v>
      </c>
      <c r="AC120" s="229">
        <v>3.2000000000000002E-3</v>
      </c>
      <c r="AD120" s="228">
        <v>3.7</v>
      </c>
      <c r="AE120" s="228">
        <v>5.2</v>
      </c>
      <c r="AF120" s="228">
        <v>-1.5</v>
      </c>
      <c r="AG120" s="229">
        <v>3.2000000000000002E-3</v>
      </c>
      <c r="AH120" s="228">
        <v>9.8000000000000007</v>
      </c>
      <c r="AI120" s="228">
        <v>15.6</v>
      </c>
      <c r="AJ120" s="228">
        <v>-5.8</v>
      </c>
      <c r="AK120" s="229">
        <v>8.5000000000000006E-3</v>
      </c>
      <c r="AL120" s="228">
        <v>15.9</v>
      </c>
      <c r="AM120" s="228">
        <v>18.2</v>
      </c>
      <c r="AN120" s="228">
        <v>-2.2999999999999998</v>
      </c>
      <c r="AO120" s="229">
        <v>1.38E-2</v>
      </c>
      <c r="AP120" s="231">
        <v>1154.99</v>
      </c>
      <c r="AQ120" s="231">
        <v>1160.8499999999999</v>
      </c>
      <c r="AR120" s="228">
        <v>0</v>
      </c>
      <c r="AS120" s="228">
        <v>236</v>
      </c>
      <c r="AT120" s="228">
        <v>219</v>
      </c>
      <c r="AU120" s="228">
        <v>18</v>
      </c>
      <c r="AV120" s="229">
        <v>8.0199999999999994E-2</v>
      </c>
      <c r="AW120" s="228">
        <v>211</v>
      </c>
      <c r="AX120" s="228">
        <v>196</v>
      </c>
      <c r="AY120" s="228">
        <v>16</v>
      </c>
      <c r="AZ120" s="229">
        <v>8.0299999999999996E-2</v>
      </c>
      <c r="BA120" s="228">
        <v>23</v>
      </c>
      <c r="BB120" s="228">
        <v>21</v>
      </c>
      <c r="BC120" s="228">
        <v>2</v>
      </c>
      <c r="BD120" s="229">
        <v>9.2499999999999999E-2</v>
      </c>
      <c r="BE120" s="228">
        <v>2</v>
      </c>
      <c r="BF120" s="228">
        <v>2</v>
      </c>
      <c r="BG120" s="228">
        <v>0</v>
      </c>
      <c r="BH120" s="229">
        <v>-5.1299999999999998E-2</v>
      </c>
      <c r="BI120" s="228">
        <v>698</v>
      </c>
      <c r="BJ120" s="228">
        <v>363</v>
      </c>
      <c r="BK120" s="228">
        <v>335</v>
      </c>
      <c r="BL120" s="229">
        <v>0.92349999999999999</v>
      </c>
      <c r="BM120" s="228">
        <v>157</v>
      </c>
      <c r="BN120" s="228">
        <v>124</v>
      </c>
      <c r="BO120" s="228">
        <v>32</v>
      </c>
      <c r="BP120" s="229">
        <v>0.25890000000000002</v>
      </c>
      <c r="BQ120" s="230">
        <v>1091</v>
      </c>
      <c r="BR120" s="228">
        <v>706</v>
      </c>
      <c r="BS120" s="228">
        <v>385</v>
      </c>
      <c r="BT120" s="229">
        <v>0.54530000000000001</v>
      </c>
      <c r="BU120" s="230">
        <v>1107821</v>
      </c>
      <c r="BV120" s="230">
        <v>726075</v>
      </c>
      <c r="BW120" s="230">
        <v>381746</v>
      </c>
      <c r="BX120" s="229">
        <v>0.52580000000000005</v>
      </c>
      <c r="BY120" s="230">
        <v>1446</v>
      </c>
      <c r="BZ120" s="230">
        <v>1453</v>
      </c>
      <c r="CA120" s="228">
        <v>-7</v>
      </c>
      <c r="CB120" s="229">
        <v>-4.7999999999999996E-3</v>
      </c>
      <c r="CC120" s="230">
        <v>1396</v>
      </c>
      <c r="CD120" s="230">
        <v>1398</v>
      </c>
      <c r="CE120" s="228">
        <v>-3</v>
      </c>
      <c r="CF120" s="229">
        <v>-1.8E-3</v>
      </c>
      <c r="CG120" s="228">
        <v>47</v>
      </c>
      <c r="CH120" s="228">
        <v>51</v>
      </c>
      <c r="CI120" s="228">
        <v>-4</v>
      </c>
      <c r="CJ120" s="229">
        <v>-7.4200000000000002E-2</v>
      </c>
      <c r="CK120" s="228">
        <v>4</v>
      </c>
      <c r="CL120" s="228">
        <v>4</v>
      </c>
      <c r="CM120" s="228">
        <v>-1</v>
      </c>
      <c r="CN120" s="229">
        <v>-0.16669999999999999</v>
      </c>
      <c r="CO120" s="228">
        <v>397</v>
      </c>
      <c r="CP120" s="228">
        <v>404</v>
      </c>
      <c r="CQ120" s="228">
        <v>-7</v>
      </c>
      <c r="CR120" s="229">
        <v>-1.6199999999999999E-2</v>
      </c>
      <c r="CS120" s="228">
        <v>254</v>
      </c>
      <c r="CT120" s="228">
        <v>253</v>
      </c>
      <c r="CU120" s="228">
        <v>2</v>
      </c>
      <c r="CV120" s="229">
        <v>6.6E-3</v>
      </c>
      <c r="CW120" s="230">
        <v>2098</v>
      </c>
      <c r="CX120" s="230">
        <v>2109</v>
      </c>
      <c r="CY120" s="228">
        <v>-12</v>
      </c>
      <c r="CZ120" s="229">
        <v>-5.5999999999999999E-3</v>
      </c>
      <c r="DA120" s="228">
        <v>33.229999999999997</v>
      </c>
      <c r="DB120" s="228">
        <v>35.200000000000003</v>
      </c>
      <c r="DC120" s="228">
        <v>-1.97</v>
      </c>
      <c r="DD120" s="228">
        <v>-1.97</v>
      </c>
      <c r="DE120" s="228">
        <v>47.83</v>
      </c>
      <c r="DF120" s="228">
        <v>47.84</v>
      </c>
      <c r="DG120" s="228">
        <v>-14.6</v>
      </c>
      <c r="DH120" s="228">
        <v>-0.01</v>
      </c>
      <c r="DI120" s="228">
        <v>33.26</v>
      </c>
      <c r="DJ120" s="228">
        <v>35.159999999999997</v>
      </c>
      <c r="DK120" s="228">
        <v>-1.9</v>
      </c>
      <c r="DL120" s="228">
        <v>-1.9</v>
      </c>
      <c r="DM120" s="228">
        <v>33.08</v>
      </c>
      <c r="DN120" s="228">
        <v>35.31</v>
      </c>
      <c r="DO120" s="228">
        <v>-2.23</v>
      </c>
      <c r="DP120" s="228">
        <v>-2.23</v>
      </c>
      <c r="DQ120" s="228">
        <v>0.64</v>
      </c>
      <c r="DR120" s="228">
        <v>0.63</v>
      </c>
      <c r="DS120" s="228">
        <v>0.01</v>
      </c>
      <c r="DT120" s="229">
        <v>1.5900000000000001E-2</v>
      </c>
      <c r="DU120" s="231">
        <v>1160</v>
      </c>
      <c r="DV120" s="231">
        <v>1100</v>
      </c>
      <c r="DW120" s="228">
        <v>0.22</v>
      </c>
      <c r="DX120" s="228">
        <v>0.34</v>
      </c>
      <c r="DY120" s="228">
        <v>-0.12</v>
      </c>
      <c r="DZ120" s="229">
        <v>-0.35289999999999999</v>
      </c>
      <c r="EA120" s="229">
        <v>3.49E-2</v>
      </c>
      <c r="EB120" s="230">
        <v>474300</v>
      </c>
      <c r="EC120" s="229">
        <v>5.3E-3</v>
      </c>
      <c r="ED120" s="229">
        <v>3.49E-2</v>
      </c>
      <c r="EE120" s="228">
        <v>5.86</v>
      </c>
      <c r="EF120" s="229">
        <v>5.1000000000000004E-3</v>
      </c>
      <c r="EG120" s="230">
        <v>495816</v>
      </c>
      <c r="EH120" s="230">
        <v>262692</v>
      </c>
      <c r="EI120" s="229">
        <v>0.88739999999999997</v>
      </c>
      <c r="EJ120" s="229">
        <v>0.4476</v>
      </c>
      <c r="EK120" s="228">
        <v>725.36</v>
      </c>
      <c r="EL120" s="228">
        <v>153.05000000000001</v>
      </c>
      <c r="EM120" s="228">
        <v>235.32</v>
      </c>
      <c r="EN120" s="228">
        <v>55.05</v>
      </c>
      <c r="EO120" s="231">
        <v>1113.73</v>
      </c>
      <c r="EP120" s="228">
        <v>708.77</v>
      </c>
      <c r="EQ120" s="228">
        <v>404.96</v>
      </c>
      <c r="ER120" s="229">
        <v>0.57140000000000002</v>
      </c>
      <c r="ES120" s="228">
        <v>407.5</v>
      </c>
      <c r="ET120" s="228">
        <v>244.97</v>
      </c>
      <c r="EU120" s="231">
        <v>1446.35</v>
      </c>
      <c r="EV120" s="231">
        <v>42060143</v>
      </c>
      <c r="EW120" s="231">
        <v>2098.83</v>
      </c>
      <c r="EX120" s="231">
        <v>2076.5</v>
      </c>
      <c r="EY120" s="228">
        <v>22.33</v>
      </c>
      <c r="EZ120" s="229">
        <v>1.0800000000000001E-2</v>
      </c>
      <c r="FA120" s="229">
        <v>0.43009999999999998</v>
      </c>
      <c r="FB120" s="227" t="s">
        <v>556</v>
      </c>
      <c r="FC120">
        <f t="shared" si="1"/>
        <v>50</v>
      </c>
    </row>
    <row r="121" spans="1:159" ht="17.25" thickBot="1" x14ac:dyDescent="0.3">
      <c r="A121" s="226">
        <v>45940</v>
      </c>
      <c r="B121" s="227" t="s">
        <v>184</v>
      </c>
      <c r="C121" s="227" t="s">
        <v>249</v>
      </c>
      <c r="D121" s="228">
        <v>175</v>
      </c>
      <c r="E121" s="228">
        <v>18</v>
      </c>
      <c r="F121" s="231">
        <v>3804.1</v>
      </c>
      <c r="G121" s="231">
        <v>3781.2</v>
      </c>
      <c r="H121" s="228">
        <v>22.9</v>
      </c>
      <c r="I121" s="229">
        <v>6.1000000000000004E-3</v>
      </c>
      <c r="J121" s="231">
        <v>3784</v>
      </c>
      <c r="K121" s="231">
        <v>3769.2</v>
      </c>
      <c r="L121" s="228">
        <v>14.8</v>
      </c>
      <c r="M121" s="229">
        <v>3.8999999999999998E-3</v>
      </c>
      <c r="N121" s="231">
        <v>3804.1</v>
      </c>
      <c r="O121" s="231">
        <v>3781.2</v>
      </c>
      <c r="P121" s="228">
        <v>22.9</v>
      </c>
      <c r="Q121" s="229">
        <v>6.1000000000000004E-3</v>
      </c>
      <c r="R121" s="231">
        <v>3825.3</v>
      </c>
      <c r="S121" s="231">
        <v>3801.1</v>
      </c>
      <c r="T121" s="228">
        <v>24.2</v>
      </c>
      <c r="U121" s="229">
        <v>6.4000000000000003E-3</v>
      </c>
      <c r="V121" s="231">
        <v>3848.8</v>
      </c>
      <c r="W121" s="231">
        <v>3823.2</v>
      </c>
      <c r="X121" s="228">
        <v>25.6</v>
      </c>
      <c r="Y121" s="229">
        <v>6.7000000000000002E-3</v>
      </c>
      <c r="Z121" s="228">
        <v>20.100000000000001</v>
      </c>
      <c r="AA121" s="228">
        <v>12</v>
      </c>
      <c r="AB121" s="228">
        <v>8.1</v>
      </c>
      <c r="AC121" s="229">
        <v>5.3E-3</v>
      </c>
      <c r="AD121" s="228">
        <v>20.100000000000001</v>
      </c>
      <c r="AE121" s="228">
        <v>12</v>
      </c>
      <c r="AF121" s="228">
        <v>8.1</v>
      </c>
      <c r="AG121" s="229">
        <v>5.3E-3</v>
      </c>
      <c r="AH121" s="228">
        <v>41.3</v>
      </c>
      <c r="AI121" s="228">
        <v>31.9</v>
      </c>
      <c r="AJ121" s="228">
        <v>9.4</v>
      </c>
      <c r="AK121" s="229">
        <v>1.09E-2</v>
      </c>
      <c r="AL121" s="228">
        <v>64.8</v>
      </c>
      <c r="AM121" s="228">
        <v>54</v>
      </c>
      <c r="AN121" s="228">
        <v>10.8</v>
      </c>
      <c r="AO121" s="229">
        <v>1.7100000000000001E-2</v>
      </c>
      <c r="AP121" s="231">
        <v>3804.1</v>
      </c>
      <c r="AQ121" s="231">
        <v>3825.58</v>
      </c>
      <c r="AR121" s="228">
        <v>0</v>
      </c>
      <c r="AS121" s="228">
        <v>754</v>
      </c>
      <c r="AT121" s="228">
        <v>836</v>
      </c>
      <c r="AU121" s="228">
        <v>-82</v>
      </c>
      <c r="AV121" s="229">
        <v>-9.7900000000000001E-2</v>
      </c>
      <c r="AW121" s="228">
        <v>686</v>
      </c>
      <c r="AX121" s="228">
        <v>785</v>
      </c>
      <c r="AY121" s="228">
        <v>-99</v>
      </c>
      <c r="AZ121" s="229">
        <v>-0.12559999999999999</v>
      </c>
      <c r="BA121" s="228">
        <v>54</v>
      </c>
      <c r="BB121" s="228">
        <v>46</v>
      </c>
      <c r="BC121" s="228">
        <v>7</v>
      </c>
      <c r="BD121" s="229">
        <v>0.15329999999999999</v>
      </c>
      <c r="BE121" s="228">
        <v>14</v>
      </c>
      <c r="BF121" s="228">
        <v>5</v>
      </c>
      <c r="BG121" s="228">
        <v>10</v>
      </c>
      <c r="BH121" s="229">
        <v>2.0282</v>
      </c>
      <c r="BI121" s="230">
        <v>3208</v>
      </c>
      <c r="BJ121" s="230">
        <v>4105</v>
      </c>
      <c r="BK121" s="228">
        <v>-897</v>
      </c>
      <c r="BL121" s="229">
        <v>-0.2185</v>
      </c>
      <c r="BM121" s="230">
        <v>1278</v>
      </c>
      <c r="BN121" s="230">
        <v>1729</v>
      </c>
      <c r="BO121" s="228">
        <v>-451</v>
      </c>
      <c r="BP121" s="229">
        <v>-0.26090000000000002</v>
      </c>
      <c r="BQ121" s="230">
        <v>5240</v>
      </c>
      <c r="BR121" s="230">
        <v>6670</v>
      </c>
      <c r="BS121" s="230">
        <v>-1430</v>
      </c>
      <c r="BT121" s="229">
        <v>-0.21440000000000001</v>
      </c>
      <c r="BU121" s="230">
        <v>1203124</v>
      </c>
      <c r="BV121" s="230">
        <v>2149786</v>
      </c>
      <c r="BW121" s="230">
        <v>-946662</v>
      </c>
      <c r="BX121" s="229">
        <v>-0.44040000000000001</v>
      </c>
      <c r="BY121" s="230">
        <v>6090</v>
      </c>
      <c r="BZ121" s="230">
        <v>6144</v>
      </c>
      <c r="CA121" s="228">
        <v>-53</v>
      </c>
      <c r="CB121" s="229">
        <v>-8.6999999999999994E-3</v>
      </c>
      <c r="CC121" s="230">
        <v>5903</v>
      </c>
      <c r="CD121" s="230">
        <v>5988</v>
      </c>
      <c r="CE121" s="228">
        <v>-85</v>
      </c>
      <c r="CF121" s="229">
        <v>-1.4200000000000001E-2</v>
      </c>
      <c r="CG121" s="228">
        <v>100</v>
      </c>
      <c r="CH121" s="228">
        <v>80</v>
      </c>
      <c r="CI121" s="228">
        <v>20</v>
      </c>
      <c r="CJ121" s="229">
        <v>0.24940000000000001</v>
      </c>
      <c r="CK121" s="228">
        <v>87</v>
      </c>
      <c r="CL121" s="228">
        <v>75</v>
      </c>
      <c r="CM121" s="228">
        <v>12</v>
      </c>
      <c r="CN121" s="229">
        <v>0.157</v>
      </c>
      <c r="CO121" s="230">
        <v>2399</v>
      </c>
      <c r="CP121" s="230">
        <v>2208</v>
      </c>
      <c r="CQ121" s="228">
        <v>191</v>
      </c>
      <c r="CR121" s="229">
        <v>8.6300000000000002E-2</v>
      </c>
      <c r="CS121" s="230">
        <v>1195</v>
      </c>
      <c r="CT121" s="230">
        <v>1108</v>
      </c>
      <c r="CU121" s="228">
        <v>87</v>
      </c>
      <c r="CV121" s="229">
        <v>7.8200000000000006E-2</v>
      </c>
      <c r="CW121" s="230">
        <v>9684</v>
      </c>
      <c r="CX121" s="230">
        <v>9460</v>
      </c>
      <c r="CY121" s="228">
        <v>224</v>
      </c>
      <c r="CZ121" s="229">
        <v>2.3699999999999999E-2</v>
      </c>
      <c r="DA121" s="228">
        <v>16.25</v>
      </c>
      <c r="DB121" s="228">
        <v>17.54</v>
      </c>
      <c r="DC121" s="228">
        <v>-1.29</v>
      </c>
      <c r="DD121" s="228">
        <v>-1.29</v>
      </c>
      <c r="DE121" s="228">
        <v>28.09</v>
      </c>
      <c r="DF121" s="228">
        <v>28.15</v>
      </c>
      <c r="DG121" s="228">
        <v>-11.84</v>
      </c>
      <c r="DH121" s="228">
        <v>-0.06</v>
      </c>
      <c r="DI121" s="228">
        <v>16.09</v>
      </c>
      <c r="DJ121" s="228">
        <v>17.420000000000002</v>
      </c>
      <c r="DK121" s="228">
        <v>-1.33</v>
      </c>
      <c r="DL121" s="228">
        <v>-1.33</v>
      </c>
      <c r="DM121" s="228">
        <v>16.62</v>
      </c>
      <c r="DN121" s="228">
        <v>17.82</v>
      </c>
      <c r="DO121" s="228">
        <v>-1.2</v>
      </c>
      <c r="DP121" s="228">
        <v>-1.2</v>
      </c>
      <c r="DQ121" s="228">
        <v>0.5</v>
      </c>
      <c r="DR121" s="228">
        <v>0.5</v>
      </c>
      <c r="DS121" s="228">
        <v>0</v>
      </c>
      <c r="DT121" s="229">
        <v>0</v>
      </c>
      <c r="DU121" s="231">
        <v>3800</v>
      </c>
      <c r="DV121" s="231">
        <v>3700</v>
      </c>
      <c r="DW121" s="228">
        <v>0.4</v>
      </c>
      <c r="DX121" s="228">
        <v>0.42</v>
      </c>
      <c r="DY121" s="228">
        <v>-0.02</v>
      </c>
      <c r="DZ121" s="229">
        <v>-4.7600000000000003E-2</v>
      </c>
      <c r="EA121" s="229">
        <v>3.0800000000000001E-2</v>
      </c>
      <c r="EB121" s="230">
        <v>409675</v>
      </c>
      <c r="EC121" s="229">
        <v>5.5999999999999999E-3</v>
      </c>
      <c r="ED121" s="229">
        <v>3.0800000000000001E-2</v>
      </c>
      <c r="EE121" s="228">
        <v>21.48</v>
      </c>
      <c r="EF121" s="229">
        <v>5.5999999999999999E-3</v>
      </c>
      <c r="EG121" s="230">
        <v>663688</v>
      </c>
      <c r="EH121" s="230">
        <v>947917</v>
      </c>
      <c r="EI121" s="229">
        <v>-0.29980000000000001</v>
      </c>
      <c r="EJ121" s="229">
        <v>0.55159999999999998</v>
      </c>
      <c r="EK121" s="231">
        <v>3279.96</v>
      </c>
      <c r="EL121" s="231">
        <v>1266.73</v>
      </c>
      <c r="EM121" s="228">
        <v>754.47</v>
      </c>
      <c r="EN121" s="228">
        <v>112.12</v>
      </c>
      <c r="EO121" s="231">
        <v>5301.17</v>
      </c>
      <c r="EP121" s="231">
        <v>6717.06</v>
      </c>
      <c r="EQ121" s="231">
        <v>-1415.89</v>
      </c>
      <c r="ER121" s="229">
        <v>-0.21079999999999999</v>
      </c>
      <c r="ES121" s="231">
        <v>2436.83</v>
      </c>
      <c r="ET121" s="231">
        <v>1146.4000000000001</v>
      </c>
      <c r="EU121" s="231">
        <v>6091.97</v>
      </c>
      <c r="EV121" s="231">
        <v>136007303</v>
      </c>
      <c r="EW121" s="231">
        <v>9675.2000000000007</v>
      </c>
      <c r="EX121" s="231">
        <v>9409.09</v>
      </c>
      <c r="EY121" s="228">
        <v>266.11</v>
      </c>
      <c r="EZ121" s="229">
        <v>2.8299999999999999E-2</v>
      </c>
      <c r="FA121" s="229">
        <v>0.18720000000000001</v>
      </c>
      <c r="FB121" s="227" t="s">
        <v>556</v>
      </c>
      <c r="FC121">
        <f t="shared" si="1"/>
        <v>187</v>
      </c>
    </row>
    <row r="122" spans="1:159" ht="17.25" thickBot="1" x14ac:dyDescent="0.3">
      <c r="A122" s="226">
        <v>45940</v>
      </c>
      <c r="B122" s="227" t="s">
        <v>175</v>
      </c>
      <c r="C122" s="227" t="s">
        <v>565</v>
      </c>
      <c r="D122" s="228">
        <v>4462</v>
      </c>
      <c r="E122" s="228">
        <v>18</v>
      </c>
      <c r="F122" s="228">
        <v>257.07</v>
      </c>
      <c r="G122" s="228">
        <v>261.25</v>
      </c>
      <c r="H122" s="228">
        <v>-4.18</v>
      </c>
      <c r="I122" s="229">
        <v>-1.6E-2</v>
      </c>
      <c r="J122" s="228">
        <v>256.04000000000002</v>
      </c>
      <c r="K122" s="228">
        <v>260.24</v>
      </c>
      <c r="L122" s="228">
        <v>-4.2</v>
      </c>
      <c r="M122" s="229">
        <v>-1.61E-2</v>
      </c>
      <c r="N122" s="228">
        <v>257.07</v>
      </c>
      <c r="O122" s="228">
        <v>261.25</v>
      </c>
      <c r="P122" s="228">
        <v>-4.18</v>
      </c>
      <c r="Q122" s="229">
        <v>-1.6E-2</v>
      </c>
      <c r="R122" s="228">
        <v>257.81</v>
      </c>
      <c r="S122" s="228">
        <v>261.87</v>
      </c>
      <c r="T122" s="228">
        <v>-4.0599999999999996</v>
      </c>
      <c r="U122" s="229">
        <v>-1.55E-2</v>
      </c>
      <c r="V122" s="228">
        <v>258.06</v>
      </c>
      <c r="W122" s="228">
        <v>262.29000000000002</v>
      </c>
      <c r="X122" s="228">
        <v>-4.2300000000000004</v>
      </c>
      <c r="Y122" s="229">
        <v>-1.61E-2</v>
      </c>
      <c r="Z122" s="228">
        <v>1.03</v>
      </c>
      <c r="AA122" s="228">
        <v>1.01</v>
      </c>
      <c r="AB122" s="228">
        <v>0.02</v>
      </c>
      <c r="AC122" s="229">
        <v>4.0000000000000001E-3</v>
      </c>
      <c r="AD122" s="228">
        <v>1.03</v>
      </c>
      <c r="AE122" s="228">
        <v>1.01</v>
      </c>
      <c r="AF122" s="228">
        <v>0.02</v>
      </c>
      <c r="AG122" s="229">
        <v>4.0000000000000001E-3</v>
      </c>
      <c r="AH122" s="228">
        <v>1.77</v>
      </c>
      <c r="AI122" s="228">
        <v>1.63</v>
      </c>
      <c r="AJ122" s="228">
        <v>0.14000000000000001</v>
      </c>
      <c r="AK122" s="229">
        <v>6.8999999999999999E-3</v>
      </c>
      <c r="AL122" s="228">
        <v>2.02</v>
      </c>
      <c r="AM122" s="228">
        <v>2.0499999999999998</v>
      </c>
      <c r="AN122" s="228">
        <v>-0.03</v>
      </c>
      <c r="AO122" s="229">
        <v>7.9000000000000008E-3</v>
      </c>
      <c r="AP122" s="228">
        <v>258.48</v>
      </c>
      <c r="AQ122" s="228">
        <v>258.88</v>
      </c>
      <c r="AR122" s="228">
        <v>0</v>
      </c>
      <c r="AS122" s="228">
        <v>452</v>
      </c>
      <c r="AT122" s="228">
        <v>268</v>
      </c>
      <c r="AU122" s="228">
        <v>184</v>
      </c>
      <c r="AV122" s="229">
        <v>0.68740000000000001</v>
      </c>
      <c r="AW122" s="228">
        <v>420</v>
      </c>
      <c r="AX122" s="228">
        <v>248</v>
      </c>
      <c r="AY122" s="228">
        <v>172</v>
      </c>
      <c r="AZ122" s="229">
        <v>0.69350000000000001</v>
      </c>
      <c r="BA122" s="228">
        <v>29</v>
      </c>
      <c r="BB122" s="228">
        <v>18</v>
      </c>
      <c r="BC122" s="228">
        <v>11</v>
      </c>
      <c r="BD122" s="229">
        <v>0.58130000000000004</v>
      </c>
      <c r="BE122" s="228">
        <v>3</v>
      </c>
      <c r="BF122" s="228">
        <v>2</v>
      </c>
      <c r="BG122" s="228">
        <v>2</v>
      </c>
      <c r="BH122" s="229">
        <v>0.93330000000000002</v>
      </c>
      <c r="BI122" s="228">
        <v>744</v>
      </c>
      <c r="BJ122" s="228">
        <v>440</v>
      </c>
      <c r="BK122" s="228">
        <v>304</v>
      </c>
      <c r="BL122" s="229">
        <v>0.69089999999999996</v>
      </c>
      <c r="BM122" s="228">
        <v>555</v>
      </c>
      <c r="BN122" s="228">
        <v>351</v>
      </c>
      <c r="BO122" s="228">
        <v>204</v>
      </c>
      <c r="BP122" s="229">
        <v>0.58279999999999998</v>
      </c>
      <c r="BQ122" s="230">
        <v>1751</v>
      </c>
      <c r="BR122" s="230">
        <v>1058</v>
      </c>
      <c r="BS122" s="228">
        <v>692</v>
      </c>
      <c r="BT122" s="229">
        <v>0.6542</v>
      </c>
      <c r="BU122" s="230">
        <v>6274015</v>
      </c>
      <c r="BV122" s="230">
        <v>3751938</v>
      </c>
      <c r="BW122" s="230">
        <v>2522077</v>
      </c>
      <c r="BX122" s="229">
        <v>0.67220000000000002</v>
      </c>
      <c r="BY122" s="230">
        <v>1288</v>
      </c>
      <c r="BZ122" s="230">
        <v>1272</v>
      </c>
      <c r="CA122" s="228">
        <v>16</v>
      </c>
      <c r="CB122" s="229">
        <v>1.26E-2</v>
      </c>
      <c r="CC122" s="230">
        <v>1231</v>
      </c>
      <c r="CD122" s="230">
        <v>1222</v>
      </c>
      <c r="CE122" s="228">
        <v>9</v>
      </c>
      <c r="CF122" s="229">
        <v>7.1999999999999998E-3</v>
      </c>
      <c r="CG122" s="228">
        <v>51</v>
      </c>
      <c r="CH122" s="228">
        <v>45</v>
      </c>
      <c r="CI122" s="228">
        <v>6</v>
      </c>
      <c r="CJ122" s="229">
        <v>0.13619999999999999</v>
      </c>
      <c r="CK122" s="228">
        <v>6</v>
      </c>
      <c r="CL122" s="228">
        <v>5</v>
      </c>
      <c r="CM122" s="228">
        <v>1</v>
      </c>
      <c r="CN122" s="229">
        <v>0.23810000000000001</v>
      </c>
      <c r="CO122" s="228">
        <v>704</v>
      </c>
      <c r="CP122" s="228">
        <v>664</v>
      </c>
      <c r="CQ122" s="228">
        <v>40</v>
      </c>
      <c r="CR122" s="229">
        <v>6.0100000000000001E-2</v>
      </c>
      <c r="CS122" s="228">
        <v>620</v>
      </c>
      <c r="CT122" s="228">
        <v>605</v>
      </c>
      <c r="CU122" s="228">
        <v>15</v>
      </c>
      <c r="CV122" s="229">
        <v>2.41E-2</v>
      </c>
      <c r="CW122" s="230">
        <v>2612</v>
      </c>
      <c r="CX122" s="230">
        <v>2542</v>
      </c>
      <c r="CY122" s="228">
        <v>71</v>
      </c>
      <c r="CZ122" s="229">
        <v>2.7799999999999998E-2</v>
      </c>
      <c r="DA122" s="228">
        <v>34.270000000000003</v>
      </c>
      <c r="DB122" s="228">
        <v>33.39</v>
      </c>
      <c r="DC122" s="228">
        <v>0.88</v>
      </c>
      <c r="DD122" s="228">
        <v>0.88</v>
      </c>
      <c r="DE122" s="228">
        <v>38.64</v>
      </c>
      <c r="DF122" s="228">
        <v>38.67</v>
      </c>
      <c r="DG122" s="228">
        <v>-4.37</v>
      </c>
      <c r="DH122" s="228">
        <v>-0.03</v>
      </c>
      <c r="DI122" s="228">
        <v>33.78</v>
      </c>
      <c r="DJ122" s="228">
        <v>31.8</v>
      </c>
      <c r="DK122" s="228">
        <v>1.98</v>
      </c>
      <c r="DL122" s="228">
        <v>1.98</v>
      </c>
      <c r="DM122" s="228">
        <v>34.94</v>
      </c>
      <c r="DN122" s="228">
        <v>35.4</v>
      </c>
      <c r="DO122" s="228">
        <v>-0.46</v>
      </c>
      <c r="DP122" s="228">
        <v>-0.46</v>
      </c>
      <c r="DQ122" s="228">
        <v>0.88</v>
      </c>
      <c r="DR122" s="228">
        <v>0.91</v>
      </c>
      <c r="DS122" s="228">
        <v>-0.03</v>
      </c>
      <c r="DT122" s="229">
        <v>-3.3000000000000002E-2</v>
      </c>
      <c r="DU122" s="228">
        <v>260</v>
      </c>
      <c r="DV122" s="228">
        <v>250</v>
      </c>
      <c r="DW122" s="228">
        <v>0.75</v>
      </c>
      <c r="DX122" s="228">
        <v>0.8</v>
      </c>
      <c r="DY122" s="228">
        <v>-0.05</v>
      </c>
      <c r="DZ122" s="229">
        <v>-6.25E-2</v>
      </c>
      <c r="EA122" s="229">
        <v>4.3999999999999997E-2</v>
      </c>
      <c r="EB122" s="230">
        <v>1923122</v>
      </c>
      <c r="EC122" s="229">
        <v>2.8999999999999998E-3</v>
      </c>
      <c r="ED122" s="229">
        <v>4.3999999999999997E-2</v>
      </c>
      <c r="EE122" s="228">
        <v>0.4</v>
      </c>
      <c r="EF122" s="229">
        <v>1.5E-3</v>
      </c>
      <c r="EG122" s="230">
        <v>2314157</v>
      </c>
      <c r="EH122" s="230">
        <v>1677664</v>
      </c>
      <c r="EI122" s="229">
        <v>0.37940000000000002</v>
      </c>
      <c r="EJ122" s="229">
        <v>0.36880000000000002</v>
      </c>
      <c r="EK122" s="228">
        <v>782.21</v>
      </c>
      <c r="EL122" s="228">
        <v>544.77</v>
      </c>
      <c r="EM122" s="228">
        <v>454.47</v>
      </c>
      <c r="EN122" s="228">
        <v>34.47</v>
      </c>
      <c r="EO122" s="231">
        <v>1781.45</v>
      </c>
      <c r="EP122" s="231">
        <v>1072.6199999999999</v>
      </c>
      <c r="EQ122" s="228">
        <v>708.82</v>
      </c>
      <c r="ER122" s="229">
        <v>0.66080000000000005</v>
      </c>
      <c r="ES122" s="228">
        <v>719.94</v>
      </c>
      <c r="ET122" s="228">
        <v>582.11</v>
      </c>
      <c r="EU122" s="231">
        <v>1288.07</v>
      </c>
      <c r="EV122" s="231">
        <v>126777205</v>
      </c>
      <c r="EW122" s="231">
        <v>2590.12</v>
      </c>
      <c r="EX122" s="231">
        <v>2539.38</v>
      </c>
      <c r="EY122" s="228">
        <v>50.74</v>
      </c>
      <c r="EZ122" s="229">
        <v>0.02</v>
      </c>
      <c r="FA122" s="229">
        <v>0.80149999999999999</v>
      </c>
      <c r="FB122" s="227" t="s">
        <v>567</v>
      </c>
      <c r="FC122">
        <f t="shared" si="1"/>
        <v>57</v>
      </c>
    </row>
    <row r="123" spans="1:159" ht="17.25" thickBot="1" x14ac:dyDescent="0.3">
      <c r="A123" s="226">
        <v>45940</v>
      </c>
      <c r="B123" s="227" t="s">
        <v>221</v>
      </c>
      <c r="C123" s="227" t="s">
        <v>561</v>
      </c>
      <c r="D123" s="228">
        <v>150</v>
      </c>
      <c r="E123" s="228">
        <v>18</v>
      </c>
      <c r="F123" s="231">
        <v>5481</v>
      </c>
      <c r="G123" s="231">
        <v>5443.5</v>
      </c>
      <c r="H123" s="228">
        <v>37.5</v>
      </c>
      <c r="I123" s="229">
        <v>6.8999999999999999E-3</v>
      </c>
      <c r="J123" s="231">
        <v>5471.5</v>
      </c>
      <c r="K123" s="231">
        <v>5434</v>
      </c>
      <c r="L123" s="228">
        <v>37.5</v>
      </c>
      <c r="M123" s="229">
        <v>6.8999999999999999E-3</v>
      </c>
      <c r="N123" s="231">
        <v>5481</v>
      </c>
      <c r="O123" s="231">
        <v>5443.5</v>
      </c>
      <c r="P123" s="228">
        <v>37.5</v>
      </c>
      <c r="Q123" s="229">
        <v>6.8999999999999999E-3</v>
      </c>
      <c r="R123" s="231">
        <v>5458</v>
      </c>
      <c r="S123" s="231">
        <v>5419.5</v>
      </c>
      <c r="T123" s="228">
        <v>38.5</v>
      </c>
      <c r="U123" s="229">
        <v>7.1000000000000004E-3</v>
      </c>
      <c r="V123" s="231">
        <v>5430</v>
      </c>
      <c r="W123" s="231">
        <v>5390</v>
      </c>
      <c r="X123" s="228">
        <v>40</v>
      </c>
      <c r="Y123" s="229">
        <v>7.4000000000000003E-3</v>
      </c>
      <c r="Z123" s="228">
        <v>9.5</v>
      </c>
      <c r="AA123" s="228">
        <v>9.5</v>
      </c>
      <c r="AB123" s="228">
        <v>0</v>
      </c>
      <c r="AC123" s="229">
        <v>1.6999999999999999E-3</v>
      </c>
      <c r="AD123" s="228">
        <v>9.5</v>
      </c>
      <c r="AE123" s="228">
        <v>9.5</v>
      </c>
      <c r="AF123" s="228">
        <v>0</v>
      </c>
      <c r="AG123" s="229">
        <v>1.6999999999999999E-3</v>
      </c>
      <c r="AH123" s="228">
        <v>-13.5</v>
      </c>
      <c r="AI123" s="228">
        <v>-14.5</v>
      </c>
      <c r="AJ123" s="228">
        <v>1</v>
      </c>
      <c r="AK123" s="229">
        <v>-2.5000000000000001E-3</v>
      </c>
      <c r="AL123" s="228">
        <v>-41.5</v>
      </c>
      <c r="AM123" s="228">
        <v>-44</v>
      </c>
      <c r="AN123" s="228">
        <v>2.5</v>
      </c>
      <c r="AO123" s="229">
        <v>-7.6E-3</v>
      </c>
      <c r="AP123" s="231">
        <v>5462.74</v>
      </c>
      <c r="AQ123" s="231">
        <v>5444.2</v>
      </c>
      <c r="AR123" s="228">
        <v>0</v>
      </c>
      <c r="AS123" s="228">
        <v>478</v>
      </c>
      <c r="AT123" s="228">
        <v>350</v>
      </c>
      <c r="AU123" s="228">
        <v>128</v>
      </c>
      <c r="AV123" s="229">
        <v>0.36609999999999998</v>
      </c>
      <c r="AW123" s="228">
        <v>454</v>
      </c>
      <c r="AX123" s="228">
        <v>325</v>
      </c>
      <c r="AY123" s="228">
        <v>129</v>
      </c>
      <c r="AZ123" s="229">
        <v>0.39829999999999999</v>
      </c>
      <c r="BA123" s="228">
        <v>23</v>
      </c>
      <c r="BB123" s="228">
        <v>24</v>
      </c>
      <c r="BC123" s="228">
        <v>-1</v>
      </c>
      <c r="BD123" s="229">
        <v>-2.7400000000000001E-2</v>
      </c>
      <c r="BE123" s="228">
        <v>0</v>
      </c>
      <c r="BF123" s="228">
        <v>1</v>
      </c>
      <c r="BG123" s="228">
        <v>-1</v>
      </c>
      <c r="BH123" s="229">
        <v>-0.66669999999999996</v>
      </c>
      <c r="BI123" s="230">
        <v>1081</v>
      </c>
      <c r="BJ123" s="228">
        <v>929</v>
      </c>
      <c r="BK123" s="228">
        <v>152</v>
      </c>
      <c r="BL123" s="229">
        <v>0.16320000000000001</v>
      </c>
      <c r="BM123" s="228">
        <v>585</v>
      </c>
      <c r="BN123" s="228">
        <v>411</v>
      </c>
      <c r="BO123" s="228">
        <v>174</v>
      </c>
      <c r="BP123" s="229">
        <v>0.42359999999999998</v>
      </c>
      <c r="BQ123" s="230">
        <v>2144</v>
      </c>
      <c r="BR123" s="230">
        <v>1690</v>
      </c>
      <c r="BS123" s="228">
        <v>454</v>
      </c>
      <c r="BT123" s="229">
        <v>0.26850000000000002</v>
      </c>
      <c r="BU123" s="230">
        <v>357971</v>
      </c>
      <c r="BV123" s="230">
        <v>219465</v>
      </c>
      <c r="BW123" s="230">
        <v>138506</v>
      </c>
      <c r="BX123" s="229">
        <v>0.63109999999999999</v>
      </c>
      <c r="BY123" s="230">
        <v>1525</v>
      </c>
      <c r="BZ123" s="230">
        <v>1475</v>
      </c>
      <c r="CA123" s="228">
        <v>50</v>
      </c>
      <c r="CB123" s="229">
        <v>3.3700000000000001E-2</v>
      </c>
      <c r="CC123" s="230">
        <v>1451</v>
      </c>
      <c r="CD123" s="230">
        <v>1410</v>
      </c>
      <c r="CE123" s="228">
        <v>40</v>
      </c>
      <c r="CF123" s="229">
        <v>2.8500000000000001E-2</v>
      </c>
      <c r="CG123" s="228">
        <v>72</v>
      </c>
      <c r="CH123" s="228">
        <v>62</v>
      </c>
      <c r="CI123" s="228">
        <v>10</v>
      </c>
      <c r="CJ123" s="229">
        <v>0.15379999999999999</v>
      </c>
      <c r="CK123" s="228">
        <v>2</v>
      </c>
      <c r="CL123" s="228">
        <v>2</v>
      </c>
      <c r="CM123" s="228">
        <v>0</v>
      </c>
      <c r="CN123" s="229">
        <v>0</v>
      </c>
      <c r="CO123" s="228">
        <v>444</v>
      </c>
      <c r="CP123" s="228">
        <v>436</v>
      </c>
      <c r="CQ123" s="228">
        <v>8</v>
      </c>
      <c r="CR123" s="229">
        <v>1.7500000000000002E-2</v>
      </c>
      <c r="CS123" s="228">
        <v>324</v>
      </c>
      <c r="CT123" s="228">
        <v>315</v>
      </c>
      <c r="CU123" s="228">
        <v>9</v>
      </c>
      <c r="CV123" s="229">
        <v>2.7900000000000001E-2</v>
      </c>
      <c r="CW123" s="230">
        <v>2292</v>
      </c>
      <c r="CX123" s="230">
        <v>2226</v>
      </c>
      <c r="CY123" s="228">
        <v>66</v>
      </c>
      <c r="CZ123" s="229">
        <v>2.9700000000000001E-2</v>
      </c>
      <c r="DA123" s="228">
        <v>30.52</v>
      </c>
      <c r="DB123" s="228">
        <v>32.25</v>
      </c>
      <c r="DC123" s="228">
        <v>-1.73</v>
      </c>
      <c r="DD123" s="228">
        <v>-1.73</v>
      </c>
      <c r="DE123" s="228">
        <v>34.01</v>
      </c>
      <c r="DF123" s="228">
        <v>34.08</v>
      </c>
      <c r="DG123" s="228">
        <v>-3.49</v>
      </c>
      <c r="DH123" s="228">
        <v>-7.0000000000000007E-2</v>
      </c>
      <c r="DI123" s="228">
        <v>29.96</v>
      </c>
      <c r="DJ123" s="228">
        <v>31.59</v>
      </c>
      <c r="DK123" s="228">
        <v>-1.63</v>
      </c>
      <c r="DL123" s="228">
        <v>-1.63</v>
      </c>
      <c r="DM123" s="228">
        <v>31.57</v>
      </c>
      <c r="DN123" s="228">
        <v>33.74</v>
      </c>
      <c r="DO123" s="228">
        <v>-2.17</v>
      </c>
      <c r="DP123" s="228">
        <v>-2.17</v>
      </c>
      <c r="DQ123" s="228">
        <v>0.73</v>
      </c>
      <c r="DR123" s="228">
        <v>0.72</v>
      </c>
      <c r="DS123" s="228">
        <v>0.01</v>
      </c>
      <c r="DT123" s="229">
        <v>1.3899999999999999E-2</v>
      </c>
      <c r="DU123" s="231">
        <v>5500</v>
      </c>
      <c r="DV123" s="231">
        <v>5100</v>
      </c>
      <c r="DW123" s="228">
        <v>0.54</v>
      </c>
      <c r="DX123" s="228">
        <v>0.44</v>
      </c>
      <c r="DY123" s="228">
        <v>0.1</v>
      </c>
      <c r="DZ123" s="229">
        <v>0.2273</v>
      </c>
      <c r="EA123" s="229">
        <v>4.8500000000000001E-2</v>
      </c>
      <c r="EB123" s="230">
        <v>117450</v>
      </c>
      <c r="EC123" s="229">
        <v>-4.1999999999999997E-3</v>
      </c>
      <c r="ED123" s="229">
        <v>4.8500000000000001E-2</v>
      </c>
      <c r="EE123" s="228">
        <v>-18.54</v>
      </c>
      <c r="EF123" s="229">
        <v>-3.3999999999999998E-3</v>
      </c>
      <c r="EG123" s="230">
        <v>182203</v>
      </c>
      <c r="EH123" s="230">
        <v>111737</v>
      </c>
      <c r="EI123" s="229">
        <v>0.63060000000000005</v>
      </c>
      <c r="EJ123" s="229">
        <v>0.50900000000000001</v>
      </c>
      <c r="EK123" s="231">
        <v>1127.43</v>
      </c>
      <c r="EL123" s="228">
        <v>566.69000000000005</v>
      </c>
      <c r="EM123" s="228">
        <v>476.32</v>
      </c>
      <c r="EN123" s="228">
        <v>35.54</v>
      </c>
      <c r="EO123" s="231">
        <v>2170.44</v>
      </c>
      <c r="EP123" s="231">
        <v>1704.9</v>
      </c>
      <c r="EQ123" s="228">
        <v>465.54</v>
      </c>
      <c r="ER123" s="229">
        <v>0.27310000000000001</v>
      </c>
      <c r="ES123" s="228">
        <v>452.15</v>
      </c>
      <c r="ET123" s="228">
        <v>295.89</v>
      </c>
      <c r="EU123" s="231">
        <v>1524.27</v>
      </c>
      <c r="EV123" s="231">
        <v>9315942</v>
      </c>
      <c r="EW123" s="231">
        <v>2272.3200000000002</v>
      </c>
      <c r="EX123" s="231">
        <v>2194.83</v>
      </c>
      <c r="EY123" s="228">
        <v>77.489999999999995</v>
      </c>
      <c r="EZ123" s="229">
        <v>3.5299999999999998E-2</v>
      </c>
      <c r="FA123" s="229">
        <v>0.44879999999999998</v>
      </c>
      <c r="FB123" s="227" t="s">
        <v>555</v>
      </c>
      <c r="FC123">
        <f t="shared" si="1"/>
        <v>74</v>
      </c>
    </row>
    <row r="124" spans="1:159" ht="17.25" thickBot="1" x14ac:dyDescent="0.3">
      <c r="A124" s="226">
        <v>45940</v>
      </c>
      <c r="B124" s="227" t="s">
        <v>170</v>
      </c>
      <c r="C124" s="227" t="s">
        <v>250</v>
      </c>
      <c r="D124" s="228">
        <v>425</v>
      </c>
      <c r="E124" s="228">
        <v>18</v>
      </c>
      <c r="F124" s="231">
        <v>1969.9</v>
      </c>
      <c r="G124" s="231">
        <v>1968.2</v>
      </c>
      <c r="H124" s="228">
        <v>1.7</v>
      </c>
      <c r="I124" s="229">
        <v>8.9999999999999998E-4</v>
      </c>
      <c r="J124" s="231">
        <v>1959.3</v>
      </c>
      <c r="K124" s="231">
        <v>1957.6</v>
      </c>
      <c r="L124" s="228">
        <v>1.7</v>
      </c>
      <c r="M124" s="229">
        <v>8.9999999999999998E-4</v>
      </c>
      <c r="N124" s="231">
        <v>1969.9</v>
      </c>
      <c r="O124" s="231">
        <v>1968.2</v>
      </c>
      <c r="P124" s="228">
        <v>1.7</v>
      </c>
      <c r="Q124" s="229">
        <v>8.9999999999999998E-4</v>
      </c>
      <c r="R124" s="231">
        <v>1980.2</v>
      </c>
      <c r="S124" s="231">
        <v>1978.8</v>
      </c>
      <c r="T124" s="228">
        <v>1.4</v>
      </c>
      <c r="U124" s="229">
        <v>6.9999999999999999E-4</v>
      </c>
      <c r="V124" s="231">
        <v>1992.5</v>
      </c>
      <c r="W124" s="231">
        <v>1989</v>
      </c>
      <c r="X124" s="228">
        <v>3.5</v>
      </c>
      <c r="Y124" s="229">
        <v>1.8E-3</v>
      </c>
      <c r="Z124" s="228">
        <v>10.6</v>
      </c>
      <c r="AA124" s="228">
        <v>10.6</v>
      </c>
      <c r="AB124" s="228">
        <v>0</v>
      </c>
      <c r="AC124" s="229">
        <v>5.4000000000000003E-3</v>
      </c>
      <c r="AD124" s="228">
        <v>10.6</v>
      </c>
      <c r="AE124" s="228">
        <v>10.6</v>
      </c>
      <c r="AF124" s="228">
        <v>0</v>
      </c>
      <c r="AG124" s="229">
        <v>5.4000000000000003E-3</v>
      </c>
      <c r="AH124" s="228">
        <v>20.9</v>
      </c>
      <c r="AI124" s="228">
        <v>21.2</v>
      </c>
      <c r="AJ124" s="228">
        <v>-0.3</v>
      </c>
      <c r="AK124" s="229">
        <v>1.0699999999999999E-2</v>
      </c>
      <c r="AL124" s="228">
        <v>33.200000000000003</v>
      </c>
      <c r="AM124" s="228">
        <v>31.4</v>
      </c>
      <c r="AN124" s="228">
        <v>1.8</v>
      </c>
      <c r="AO124" s="229">
        <v>1.6899999999999998E-2</v>
      </c>
      <c r="AP124" s="231">
        <v>1970.43</v>
      </c>
      <c r="AQ124" s="231">
        <v>1977.49</v>
      </c>
      <c r="AR124" s="228">
        <v>0</v>
      </c>
      <c r="AS124" s="228">
        <v>355</v>
      </c>
      <c r="AT124" s="228">
        <v>681</v>
      </c>
      <c r="AU124" s="228">
        <v>-327</v>
      </c>
      <c r="AV124" s="229">
        <v>-0.47949999999999998</v>
      </c>
      <c r="AW124" s="228">
        <v>334</v>
      </c>
      <c r="AX124" s="228">
        <v>643</v>
      </c>
      <c r="AY124" s="228">
        <v>-310</v>
      </c>
      <c r="AZ124" s="229">
        <v>-0.48149999999999998</v>
      </c>
      <c r="BA124" s="228">
        <v>18</v>
      </c>
      <c r="BB124" s="228">
        <v>35</v>
      </c>
      <c r="BC124" s="228">
        <v>-17</v>
      </c>
      <c r="BD124" s="229">
        <v>-0.47949999999999998</v>
      </c>
      <c r="BE124" s="228">
        <v>3</v>
      </c>
      <c r="BF124" s="228">
        <v>4</v>
      </c>
      <c r="BG124" s="228">
        <v>0</v>
      </c>
      <c r="BH124" s="229">
        <v>-0.11899999999999999</v>
      </c>
      <c r="BI124" s="230">
        <v>1433</v>
      </c>
      <c r="BJ124" s="230">
        <v>3990</v>
      </c>
      <c r="BK124" s="230">
        <v>-2556</v>
      </c>
      <c r="BL124" s="229">
        <v>-0.64080000000000004</v>
      </c>
      <c r="BM124" s="228">
        <v>587</v>
      </c>
      <c r="BN124" s="230">
        <v>1394</v>
      </c>
      <c r="BO124" s="228">
        <v>-807</v>
      </c>
      <c r="BP124" s="229">
        <v>-0.57909999999999995</v>
      </c>
      <c r="BQ124" s="230">
        <v>2375</v>
      </c>
      <c r="BR124" s="230">
        <v>6065</v>
      </c>
      <c r="BS124" s="230">
        <v>-3690</v>
      </c>
      <c r="BT124" s="229">
        <v>-0.60850000000000004</v>
      </c>
      <c r="BU124" s="230">
        <v>893640</v>
      </c>
      <c r="BV124" s="230">
        <v>2403527</v>
      </c>
      <c r="BW124" s="230">
        <v>-1509887</v>
      </c>
      <c r="BX124" s="229">
        <v>-0.62819999999999998</v>
      </c>
      <c r="BY124" s="230">
        <v>2252</v>
      </c>
      <c r="BZ124" s="230">
        <v>2225</v>
      </c>
      <c r="CA124" s="228">
        <v>27</v>
      </c>
      <c r="CB124" s="229">
        <v>1.2200000000000001E-2</v>
      </c>
      <c r="CC124" s="230">
        <v>2217</v>
      </c>
      <c r="CD124" s="230">
        <v>2192</v>
      </c>
      <c r="CE124" s="228">
        <v>26</v>
      </c>
      <c r="CF124" s="229">
        <v>1.17E-2</v>
      </c>
      <c r="CG124" s="228">
        <v>31</v>
      </c>
      <c r="CH124" s="228">
        <v>30</v>
      </c>
      <c r="CI124" s="228">
        <v>2</v>
      </c>
      <c r="CJ124" s="229">
        <v>5.0999999999999997E-2</v>
      </c>
      <c r="CK124" s="228">
        <v>3</v>
      </c>
      <c r="CL124" s="228">
        <v>3</v>
      </c>
      <c r="CM124" s="228">
        <v>0</v>
      </c>
      <c r="CN124" s="229">
        <v>2.5000000000000001E-2</v>
      </c>
      <c r="CO124" s="228">
        <v>642</v>
      </c>
      <c r="CP124" s="228">
        <v>669</v>
      </c>
      <c r="CQ124" s="228">
        <v>-28</v>
      </c>
      <c r="CR124" s="229">
        <v>-4.1200000000000001E-2</v>
      </c>
      <c r="CS124" s="228">
        <v>434</v>
      </c>
      <c r="CT124" s="228">
        <v>451</v>
      </c>
      <c r="CU124" s="228">
        <v>-17</v>
      </c>
      <c r="CV124" s="229">
        <v>-3.73E-2</v>
      </c>
      <c r="CW124" s="230">
        <v>3327</v>
      </c>
      <c r="CX124" s="230">
        <v>3345</v>
      </c>
      <c r="CY124" s="228">
        <v>-17</v>
      </c>
      <c r="CZ124" s="229">
        <v>-5.1000000000000004E-3</v>
      </c>
      <c r="DA124" s="228">
        <v>23.76</v>
      </c>
      <c r="DB124" s="228">
        <v>23.8</v>
      </c>
      <c r="DC124" s="228">
        <v>-0.04</v>
      </c>
      <c r="DD124" s="228">
        <v>-0.04</v>
      </c>
      <c r="DE124" s="228">
        <v>32.619999999999997</v>
      </c>
      <c r="DF124" s="228">
        <v>32.700000000000003</v>
      </c>
      <c r="DG124" s="228">
        <v>-8.86</v>
      </c>
      <c r="DH124" s="228">
        <v>-0.08</v>
      </c>
      <c r="DI124" s="228">
        <v>23.59</v>
      </c>
      <c r="DJ124" s="228">
        <v>23.75</v>
      </c>
      <c r="DK124" s="228">
        <v>-0.16</v>
      </c>
      <c r="DL124" s="228">
        <v>-0.16</v>
      </c>
      <c r="DM124" s="228">
        <v>24.15</v>
      </c>
      <c r="DN124" s="228">
        <v>23.94</v>
      </c>
      <c r="DO124" s="228">
        <v>0.21</v>
      </c>
      <c r="DP124" s="228">
        <v>0.21</v>
      </c>
      <c r="DQ124" s="228">
        <v>0.68</v>
      </c>
      <c r="DR124" s="228">
        <v>0.67</v>
      </c>
      <c r="DS124" s="228">
        <v>0.01</v>
      </c>
      <c r="DT124" s="229">
        <v>1.49E-2</v>
      </c>
      <c r="DU124" s="231">
        <v>2000</v>
      </c>
      <c r="DV124" s="231">
        <v>1960</v>
      </c>
      <c r="DW124" s="228">
        <v>0.41</v>
      </c>
      <c r="DX124" s="228">
        <v>0.35</v>
      </c>
      <c r="DY124" s="228">
        <v>0.06</v>
      </c>
      <c r="DZ124" s="229">
        <v>0.1714</v>
      </c>
      <c r="EA124" s="229">
        <v>1.5299999999999999E-2</v>
      </c>
      <c r="EB124" s="230">
        <v>167025</v>
      </c>
      <c r="EC124" s="229">
        <v>5.1999999999999998E-3</v>
      </c>
      <c r="ED124" s="229">
        <v>1.5299999999999999E-2</v>
      </c>
      <c r="EE124" s="228">
        <v>7.06</v>
      </c>
      <c r="EF124" s="229">
        <v>3.5999999999999999E-3</v>
      </c>
      <c r="EG124" s="230">
        <v>446395</v>
      </c>
      <c r="EH124" s="230">
        <v>777059</v>
      </c>
      <c r="EI124" s="229">
        <v>-0.42549999999999999</v>
      </c>
      <c r="EJ124" s="229">
        <v>0.4995</v>
      </c>
      <c r="EK124" s="231">
        <v>1483.56</v>
      </c>
      <c r="EL124" s="228">
        <v>580.9</v>
      </c>
      <c r="EM124" s="228">
        <v>354.92</v>
      </c>
      <c r="EN124" s="228">
        <v>37.090000000000003</v>
      </c>
      <c r="EO124" s="231">
        <v>2419.37</v>
      </c>
      <c r="EP124" s="231">
        <v>6206.38</v>
      </c>
      <c r="EQ124" s="231">
        <v>-3787</v>
      </c>
      <c r="ER124" s="229">
        <v>-0.61019999999999996</v>
      </c>
      <c r="ES124" s="228">
        <v>665.61</v>
      </c>
      <c r="ET124" s="228">
        <v>421.89</v>
      </c>
      <c r="EU124" s="231">
        <v>2251.96</v>
      </c>
      <c r="EV124" s="231">
        <v>35341043</v>
      </c>
      <c r="EW124" s="231">
        <v>3339.45</v>
      </c>
      <c r="EX124" s="231">
        <v>3355.27</v>
      </c>
      <c r="EY124" s="228">
        <v>-15.82</v>
      </c>
      <c r="EZ124" s="229">
        <v>-4.7000000000000002E-3</v>
      </c>
      <c r="FA124" s="229">
        <v>0.47789999999999999</v>
      </c>
      <c r="FB124" s="227" t="s">
        <v>555</v>
      </c>
      <c r="FC124">
        <f t="shared" si="1"/>
        <v>35</v>
      </c>
    </row>
    <row r="125" spans="1:159" ht="17.25" thickBot="1" x14ac:dyDescent="0.3">
      <c r="A125" s="226">
        <v>45940</v>
      </c>
      <c r="B125" s="227" t="s">
        <v>162</v>
      </c>
      <c r="C125" s="227" t="s">
        <v>251</v>
      </c>
      <c r="D125" s="228">
        <v>200</v>
      </c>
      <c r="E125" s="228">
        <v>18</v>
      </c>
      <c r="F125" s="231">
        <v>3473.1</v>
      </c>
      <c r="G125" s="231">
        <v>3453.2</v>
      </c>
      <c r="H125" s="228">
        <v>19.899999999999999</v>
      </c>
      <c r="I125" s="229">
        <v>5.7999999999999996E-3</v>
      </c>
      <c r="J125" s="231">
        <v>3454.9</v>
      </c>
      <c r="K125" s="231">
        <v>3442.9</v>
      </c>
      <c r="L125" s="228">
        <v>12</v>
      </c>
      <c r="M125" s="229">
        <v>3.5000000000000001E-3</v>
      </c>
      <c r="N125" s="231">
        <v>3473.1</v>
      </c>
      <c r="O125" s="231">
        <v>3453.2</v>
      </c>
      <c r="P125" s="228">
        <v>19.899999999999999</v>
      </c>
      <c r="Q125" s="229">
        <v>5.7999999999999996E-3</v>
      </c>
      <c r="R125" s="231">
        <v>3492.9</v>
      </c>
      <c r="S125" s="231">
        <v>3471.7</v>
      </c>
      <c r="T125" s="228">
        <v>21.2</v>
      </c>
      <c r="U125" s="229">
        <v>6.1000000000000004E-3</v>
      </c>
      <c r="V125" s="231">
        <v>3514.3</v>
      </c>
      <c r="W125" s="231">
        <v>3492.3</v>
      </c>
      <c r="X125" s="228">
        <v>22</v>
      </c>
      <c r="Y125" s="229">
        <v>6.3E-3</v>
      </c>
      <c r="Z125" s="228">
        <v>18.2</v>
      </c>
      <c r="AA125" s="228">
        <v>10.3</v>
      </c>
      <c r="AB125" s="228">
        <v>7.9</v>
      </c>
      <c r="AC125" s="229">
        <v>5.3E-3</v>
      </c>
      <c r="AD125" s="228">
        <v>18.2</v>
      </c>
      <c r="AE125" s="228">
        <v>10.3</v>
      </c>
      <c r="AF125" s="228">
        <v>7.9</v>
      </c>
      <c r="AG125" s="229">
        <v>5.3E-3</v>
      </c>
      <c r="AH125" s="228">
        <v>38</v>
      </c>
      <c r="AI125" s="228">
        <v>28.8</v>
      </c>
      <c r="AJ125" s="228">
        <v>9.1999999999999993</v>
      </c>
      <c r="AK125" s="229">
        <v>1.0999999999999999E-2</v>
      </c>
      <c r="AL125" s="228">
        <v>59.4</v>
      </c>
      <c r="AM125" s="228">
        <v>49.4</v>
      </c>
      <c r="AN125" s="228">
        <v>10</v>
      </c>
      <c r="AO125" s="229">
        <v>1.72E-2</v>
      </c>
      <c r="AP125" s="231">
        <v>3462.14</v>
      </c>
      <c r="AQ125" s="231">
        <v>3479.33</v>
      </c>
      <c r="AR125" s="228">
        <v>0</v>
      </c>
      <c r="AS125" s="228">
        <v>658</v>
      </c>
      <c r="AT125" s="228">
        <v>764</v>
      </c>
      <c r="AU125" s="228">
        <v>-106</v>
      </c>
      <c r="AV125" s="229">
        <v>-0.13830000000000001</v>
      </c>
      <c r="AW125" s="228">
        <v>587</v>
      </c>
      <c r="AX125" s="228">
        <v>719</v>
      </c>
      <c r="AY125" s="228">
        <v>-132</v>
      </c>
      <c r="AZ125" s="229">
        <v>-0.18340000000000001</v>
      </c>
      <c r="BA125" s="228">
        <v>51</v>
      </c>
      <c r="BB125" s="228">
        <v>38</v>
      </c>
      <c r="BC125" s="228">
        <v>13</v>
      </c>
      <c r="BD125" s="229">
        <v>0.33329999999999999</v>
      </c>
      <c r="BE125" s="228">
        <v>21</v>
      </c>
      <c r="BF125" s="228">
        <v>7</v>
      </c>
      <c r="BG125" s="228">
        <v>13</v>
      </c>
      <c r="BH125" s="229">
        <v>1.8653999999999999</v>
      </c>
      <c r="BI125" s="230">
        <v>2448</v>
      </c>
      <c r="BJ125" s="230">
        <v>2287</v>
      </c>
      <c r="BK125" s="228">
        <v>161</v>
      </c>
      <c r="BL125" s="229">
        <v>7.0199999999999999E-2</v>
      </c>
      <c r="BM125" s="228">
        <v>881</v>
      </c>
      <c r="BN125" s="230">
        <v>1033</v>
      </c>
      <c r="BO125" s="228">
        <v>-152</v>
      </c>
      <c r="BP125" s="229">
        <v>-0.1474</v>
      </c>
      <c r="BQ125" s="230">
        <v>3987</v>
      </c>
      <c r="BR125" s="230">
        <v>4084</v>
      </c>
      <c r="BS125" s="228">
        <v>-97</v>
      </c>
      <c r="BT125" s="229">
        <v>-2.3800000000000002E-2</v>
      </c>
      <c r="BU125" s="230">
        <v>1444424</v>
      </c>
      <c r="BV125" s="230">
        <v>2279668</v>
      </c>
      <c r="BW125" s="230">
        <v>-835244</v>
      </c>
      <c r="BX125" s="229">
        <v>-0.3664</v>
      </c>
      <c r="BY125" s="230">
        <v>7088</v>
      </c>
      <c r="BZ125" s="230">
        <v>7034</v>
      </c>
      <c r="CA125" s="228">
        <v>54</v>
      </c>
      <c r="CB125" s="229">
        <v>7.6E-3</v>
      </c>
      <c r="CC125" s="230">
        <v>6923</v>
      </c>
      <c r="CD125" s="230">
        <v>6889</v>
      </c>
      <c r="CE125" s="228">
        <v>33</v>
      </c>
      <c r="CF125" s="229">
        <v>4.8999999999999998E-3</v>
      </c>
      <c r="CG125" s="228">
        <v>115</v>
      </c>
      <c r="CH125" s="228">
        <v>101</v>
      </c>
      <c r="CI125" s="228">
        <v>14</v>
      </c>
      <c r="CJ125" s="229">
        <v>0.13969999999999999</v>
      </c>
      <c r="CK125" s="228">
        <v>50</v>
      </c>
      <c r="CL125" s="228">
        <v>44</v>
      </c>
      <c r="CM125" s="228">
        <v>6</v>
      </c>
      <c r="CN125" s="229">
        <v>0.13789999999999999</v>
      </c>
      <c r="CO125" s="230">
        <v>2104</v>
      </c>
      <c r="CP125" s="230">
        <v>2084</v>
      </c>
      <c r="CQ125" s="228">
        <v>20</v>
      </c>
      <c r="CR125" s="229">
        <v>9.7000000000000003E-3</v>
      </c>
      <c r="CS125" s="230">
        <v>1067</v>
      </c>
      <c r="CT125" s="230">
        <v>1042</v>
      </c>
      <c r="CU125" s="228">
        <v>25</v>
      </c>
      <c r="CV125" s="229">
        <v>2.3900000000000001E-2</v>
      </c>
      <c r="CW125" s="230">
        <v>10259</v>
      </c>
      <c r="CX125" s="230">
        <v>10160</v>
      </c>
      <c r="CY125" s="228">
        <v>99</v>
      </c>
      <c r="CZ125" s="229">
        <v>9.7000000000000003E-3</v>
      </c>
      <c r="DA125" s="228">
        <v>24.64</v>
      </c>
      <c r="DB125" s="228">
        <v>24.82</v>
      </c>
      <c r="DC125" s="228">
        <v>-0.18</v>
      </c>
      <c r="DD125" s="228">
        <v>-0.18</v>
      </c>
      <c r="DE125" s="228">
        <v>34.46</v>
      </c>
      <c r="DF125" s="228">
        <v>34.54</v>
      </c>
      <c r="DG125" s="228">
        <v>-9.82</v>
      </c>
      <c r="DH125" s="228">
        <v>-0.08</v>
      </c>
      <c r="DI125" s="228">
        <v>24.75</v>
      </c>
      <c r="DJ125" s="228">
        <v>25.01</v>
      </c>
      <c r="DK125" s="228">
        <v>-0.26</v>
      </c>
      <c r="DL125" s="228">
        <v>-0.26</v>
      </c>
      <c r="DM125" s="228">
        <v>24.33</v>
      </c>
      <c r="DN125" s="228">
        <v>24.41</v>
      </c>
      <c r="DO125" s="228">
        <v>-0.08</v>
      </c>
      <c r="DP125" s="228">
        <v>-0.08</v>
      </c>
      <c r="DQ125" s="228">
        <v>0.51</v>
      </c>
      <c r="DR125" s="228">
        <v>0.5</v>
      </c>
      <c r="DS125" s="228">
        <v>0.01</v>
      </c>
      <c r="DT125" s="229">
        <v>0.02</v>
      </c>
      <c r="DU125" s="231">
        <v>3600</v>
      </c>
      <c r="DV125" s="231">
        <v>3400</v>
      </c>
      <c r="DW125" s="228">
        <v>0.36</v>
      </c>
      <c r="DX125" s="228">
        <v>0.45</v>
      </c>
      <c r="DY125" s="228">
        <v>-0.09</v>
      </c>
      <c r="DZ125" s="229">
        <v>-0.2</v>
      </c>
      <c r="EA125" s="229">
        <v>2.3300000000000001E-2</v>
      </c>
      <c r="EB125" s="230">
        <v>418200</v>
      </c>
      <c r="EC125" s="229">
        <v>5.7000000000000002E-3</v>
      </c>
      <c r="ED125" s="229">
        <v>2.3300000000000001E-2</v>
      </c>
      <c r="EE125" s="228">
        <v>17.190000000000001</v>
      </c>
      <c r="EF125" s="229">
        <v>5.0000000000000001E-3</v>
      </c>
      <c r="EG125" s="230">
        <v>741095</v>
      </c>
      <c r="EH125" s="230">
        <v>1081984</v>
      </c>
      <c r="EI125" s="229">
        <v>-0.31509999999999999</v>
      </c>
      <c r="EJ125" s="229">
        <v>0.5131</v>
      </c>
      <c r="EK125" s="231">
        <v>2541.48</v>
      </c>
      <c r="EL125" s="228">
        <v>869.14</v>
      </c>
      <c r="EM125" s="228">
        <v>656.94</v>
      </c>
      <c r="EN125" s="228">
        <v>100.66</v>
      </c>
      <c r="EO125" s="231">
        <v>4067.56</v>
      </c>
      <c r="EP125" s="231">
        <v>4160.46</v>
      </c>
      <c r="EQ125" s="228">
        <v>-92.89</v>
      </c>
      <c r="ER125" s="229">
        <v>-2.23E-2</v>
      </c>
      <c r="ES125" s="231">
        <v>2205.4699999999998</v>
      </c>
      <c r="ET125" s="231">
        <v>1035.5</v>
      </c>
      <c r="EU125" s="231">
        <v>7089.36</v>
      </c>
      <c r="EV125" s="231">
        <v>100261459</v>
      </c>
      <c r="EW125" s="231">
        <v>10330.34</v>
      </c>
      <c r="EX125" s="231">
        <v>10190.76</v>
      </c>
      <c r="EY125" s="228">
        <v>139.58000000000001</v>
      </c>
      <c r="EZ125" s="229">
        <v>1.37E-2</v>
      </c>
      <c r="FA125" s="229">
        <v>0.29459999999999997</v>
      </c>
      <c r="FB125" s="227" t="s">
        <v>555</v>
      </c>
      <c r="FC125">
        <f t="shared" si="1"/>
        <v>165</v>
      </c>
    </row>
    <row r="126" spans="1:159" ht="17.25" thickBot="1" x14ac:dyDescent="0.3">
      <c r="A126" s="226">
        <v>45940</v>
      </c>
      <c r="B126" s="227" t="s">
        <v>175</v>
      </c>
      <c r="C126" s="227" t="s">
        <v>253</v>
      </c>
      <c r="D126" s="228">
        <v>3000</v>
      </c>
      <c r="E126" s="228">
        <v>18</v>
      </c>
      <c r="F126" s="228">
        <v>286.39999999999998</v>
      </c>
      <c r="G126" s="228">
        <v>295.10000000000002</v>
      </c>
      <c r="H126" s="228">
        <v>-8.6999999999999993</v>
      </c>
      <c r="I126" s="229">
        <v>-2.9499999999999998E-2</v>
      </c>
      <c r="J126" s="228">
        <v>284.75</v>
      </c>
      <c r="K126" s="228">
        <v>294.25</v>
      </c>
      <c r="L126" s="228">
        <v>-9.5</v>
      </c>
      <c r="M126" s="229">
        <v>-3.2300000000000002E-2</v>
      </c>
      <c r="N126" s="228">
        <v>286.39999999999998</v>
      </c>
      <c r="O126" s="228">
        <v>295.10000000000002</v>
      </c>
      <c r="P126" s="228">
        <v>-8.6999999999999993</v>
      </c>
      <c r="Q126" s="229">
        <v>-2.9499999999999998E-2</v>
      </c>
      <c r="R126" s="228">
        <v>287.25</v>
      </c>
      <c r="S126" s="228">
        <v>295.55</v>
      </c>
      <c r="T126" s="228">
        <v>-8.3000000000000007</v>
      </c>
      <c r="U126" s="229">
        <v>-2.81E-2</v>
      </c>
      <c r="V126" s="228">
        <v>288.75</v>
      </c>
      <c r="W126" s="228">
        <v>296.55</v>
      </c>
      <c r="X126" s="228">
        <v>-7.8</v>
      </c>
      <c r="Y126" s="229">
        <v>-2.63E-2</v>
      </c>
      <c r="Z126" s="228">
        <v>1.65</v>
      </c>
      <c r="AA126" s="228">
        <v>0.85</v>
      </c>
      <c r="AB126" s="228">
        <v>0.8</v>
      </c>
      <c r="AC126" s="229">
        <v>5.7999999999999996E-3</v>
      </c>
      <c r="AD126" s="228">
        <v>1.65</v>
      </c>
      <c r="AE126" s="228">
        <v>0.85</v>
      </c>
      <c r="AF126" s="228">
        <v>0.8</v>
      </c>
      <c r="AG126" s="229">
        <v>5.7999999999999996E-3</v>
      </c>
      <c r="AH126" s="228">
        <v>2.5</v>
      </c>
      <c r="AI126" s="228">
        <v>1.3</v>
      </c>
      <c r="AJ126" s="228">
        <v>1.2</v>
      </c>
      <c r="AK126" s="229">
        <v>8.8000000000000005E-3</v>
      </c>
      <c r="AL126" s="228">
        <v>4</v>
      </c>
      <c r="AM126" s="228">
        <v>2.2999999999999998</v>
      </c>
      <c r="AN126" s="228">
        <v>1.7</v>
      </c>
      <c r="AO126" s="229">
        <v>1.4E-2</v>
      </c>
      <c r="AP126" s="228">
        <v>286.87</v>
      </c>
      <c r="AQ126" s="228">
        <v>288.02</v>
      </c>
      <c r="AR126" s="228">
        <v>0</v>
      </c>
      <c r="AS126" s="228">
        <v>347</v>
      </c>
      <c r="AT126" s="228">
        <v>105</v>
      </c>
      <c r="AU126" s="228">
        <v>242</v>
      </c>
      <c r="AV126" s="229">
        <v>2.2957999999999998</v>
      </c>
      <c r="AW126" s="228">
        <v>316</v>
      </c>
      <c r="AX126" s="228">
        <v>97</v>
      </c>
      <c r="AY126" s="228">
        <v>219</v>
      </c>
      <c r="AZ126" s="229">
        <v>2.2502</v>
      </c>
      <c r="BA126" s="228">
        <v>30</v>
      </c>
      <c r="BB126" s="228">
        <v>8</v>
      </c>
      <c r="BC126" s="228">
        <v>22</v>
      </c>
      <c r="BD126" s="229">
        <v>2.9318</v>
      </c>
      <c r="BE126" s="228">
        <v>2</v>
      </c>
      <c r="BF126" s="228">
        <v>1</v>
      </c>
      <c r="BG126" s="228">
        <v>1</v>
      </c>
      <c r="BH126" s="229">
        <v>1.75</v>
      </c>
      <c r="BI126" s="228">
        <v>729</v>
      </c>
      <c r="BJ126" s="228">
        <v>277</v>
      </c>
      <c r="BK126" s="228">
        <v>453</v>
      </c>
      <c r="BL126" s="229">
        <v>1.6347</v>
      </c>
      <c r="BM126" s="228">
        <v>363</v>
      </c>
      <c r="BN126" s="228">
        <v>146</v>
      </c>
      <c r="BO126" s="228">
        <v>217</v>
      </c>
      <c r="BP126" s="229">
        <v>1.4826999999999999</v>
      </c>
      <c r="BQ126" s="230">
        <v>1440</v>
      </c>
      <c r="BR126" s="228">
        <v>529</v>
      </c>
      <c r="BS126" s="228">
        <v>912</v>
      </c>
      <c r="BT126" s="229">
        <v>1.7244999999999999</v>
      </c>
      <c r="BU126" s="230">
        <v>5292723</v>
      </c>
      <c r="BV126" s="230">
        <v>2231715</v>
      </c>
      <c r="BW126" s="230">
        <v>3061008</v>
      </c>
      <c r="BX126" s="229">
        <v>1.3715999999999999</v>
      </c>
      <c r="BY126" s="228">
        <v>836</v>
      </c>
      <c r="BZ126" s="228">
        <v>776</v>
      </c>
      <c r="CA126" s="228">
        <v>60</v>
      </c>
      <c r="CB126" s="229">
        <v>7.7399999999999997E-2</v>
      </c>
      <c r="CC126" s="228">
        <v>803</v>
      </c>
      <c r="CD126" s="228">
        <v>755</v>
      </c>
      <c r="CE126" s="228">
        <v>48</v>
      </c>
      <c r="CF126" s="229">
        <v>6.3399999999999998E-2</v>
      </c>
      <c r="CG126" s="228">
        <v>30</v>
      </c>
      <c r="CH126" s="228">
        <v>19</v>
      </c>
      <c r="CI126" s="228">
        <v>11</v>
      </c>
      <c r="CJ126" s="229">
        <v>0.58530000000000004</v>
      </c>
      <c r="CK126" s="228">
        <v>4</v>
      </c>
      <c r="CL126" s="228">
        <v>2</v>
      </c>
      <c r="CM126" s="228">
        <v>1</v>
      </c>
      <c r="CN126" s="229">
        <v>0.55559999999999998</v>
      </c>
      <c r="CO126" s="228">
        <v>358</v>
      </c>
      <c r="CP126" s="228">
        <v>286</v>
      </c>
      <c r="CQ126" s="228">
        <v>73</v>
      </c>
      <c r="CR126" s="229">
        <v>0.25409999999999999</v>
      </c>
      <c r="CS126" s="228">
        <v>225</v>
      </c>
      <c r="CT126" s="228">
        <v>181</v>
      </c>
      <c r="CU126" s="228">
        <v>45</v>
      </c>
      <c r="CV126" s="229">
        <v>0.24640000000000001</v>
      </c>
      <c r="CW126" s="230">
        <v>1420</v>
      </c>
      <c r="CX126" s="230">
        <v>1242</v>
      </c>
      <c r="CY126" s="228">
        <v>177</v>
      </c>
      <c r="CZ126" s="229">
        <v>0.1426</v>
      </c>
      <c r="DA126" s="228">
        <v>29.67</v>
      </c>
      <c r="DB126" s="228">
        <v>30.02</v>
      </c>
      <c r="DC126" s="228">
        <v>-0.35</v>
      </c>
      <c r="DD126" s="228">
        <v>-0.35</v>
      </c>
      <c r="DE126" s="228">
        <v>43.58</v>
      </c>
      <c r="DF126" s="228">
        <v>43.47</v>
      </c>
      <c r="DG126" s="228">
        <v>-13.91</v>
      </c>
      <c r="DH126" s="228">
        <v>0.11</v>
      </c>
      <c r="DI126" s="228">
        <v>29.86</v>
      </c>
      <c r="DJ126" s="228">
        <v>29.98</v>
      </c>
      <c r="DK126" s="228">
        <v>-0.12</v>
      </c>
      <c r="DL126" s="228">
        <v>-0.12</v>
      </c>
      <c r="DM126" s="228">
        <v>29.28</v>
      </c>
      <c r="DN126" s="228">
        <v>30.12</v>
      </c>
      <c r="DO126" s="228">
        <v>-0.84</v>
      </c>
      <c r="DP126" s="228">
        <v>-0.84</v>
      </c>
      <c r="DQ126" s="228">
        <v>0.63</v>
      </c>
      <c r="DR126" s="228">
        <v>0.63</v>
      </c>
      <c r="DS126" s="228">
        <v>0</v>
      </c>
      <c r="DT126" s="229">
        <v>0</v>
      </c>
      <c r="DU126" s="228">
        <v>300</v>
      </c>
      <c r="DV126" s="228">
        <v>280</v>
      </c>
      <c r="DW126" s="228">
        <v>0.5</v>
      </c>
      <c r="DX126" s="228">
        <v>0.53</v>
      </c>
      <c r="DY126" s="228">
        <v>-0.03</v>
      </c>
      <c r="DZ126" s="229">
        <v>-5.6599999999999998E-2</v>
      </c>
      <c r="EA126" s="229">
        <v>3.9699999999999999E-2</v>
      </c>
      <c r="EB126" s="230">
        <v>732000</v>
      </c>
      <c r="EC126" s="229">
        <v>3.0000000000000001E-3</v>
      </c>
      <c r="ED126" s="229">
        <v>3.9699999999999999E-2</v>
      </c>
      <c r="EE126" s="228">
        <v>1.1499999999999999</v>
      </c>
      <c r="EF126" s="229">
        <v>4.0000000000000001E-3</v>
      </c>
      <c r="EG126" s="230">
        <v>2184306</v>
      </c>
      <c r="EH126" s="230">
        <v>1030766</v>
      </c>
      <c r="EI126" s="229">
        <v>1.1191</v>
      </c>
      <c r="EJ126" s="229">
        <v>0.41270000000000001</v>
      </c>
      <c r="EK126" s="228">
        <v>766.32</v>
      </c>
      <c r="EL126" s="228">
        <v>363.43</v>
      </c>
      <c r="EM126" s="228">
        <v>348.16</v>
      </c>
      <c r="EN126" s="228">
        <v>13.91</v>
      </c>
      <c r="EO126" s="231">
        <v>1477.91</v>
      </c>
      <c r="EP126" s="228">
        <v>553.46</v>
      </c>
      <c r="EQ126" s="228">
        <v>924.45</v>
      </c>
      <c r="ER126" s="229">
        <v>1.6702999999999999</v>
      </c>
      <c r="ES126" s="228">
        <v>375.01</v>
      </c>
      <c r="ET126" s="228">
        <v>216.42</v>
      </c>
      <c r="EU126" s="228">
        <v>836.29</v>
      </c>
      <c r="EV126" s="231">
        <v>82205057</v>
      </c>
      <c r="EW126" s="231">
        <v>1427.73</v>
      </c>
      <c r="EX126" s="231">
        <v>1274.42</v>
      </c>
      <c r="EY126" s="228">
        <v>153.31</v>
      </c>
      <c r="EZ126" s="229">
        <v>0.1203</v>
      </c>
      <c r="FA126" s="229">
        <v>0.60299999999999998</v>
      </c>
      <c r="FB126" s="227" t="s">
        <v>567</v>
      </c>
      <c r="FC126">
        <f t="shared" si="1"/>
        <v>33</v>
      </c>
    </row>
    <row r="127" spans="1:159" ht="17.25" thickBot="1" x14ac:dyDescent="0.3">
      <c r="A127" s="226">
        <v>45940</v>
      </c>
      <c r="B127" s="227" t="s">
        <v>170</v>
      </c>
      <c r="C127" s="227" t="s">
        <v>674</v>
      </c>
      <c r="D127" s="228">
        <v>225</v>
      </c>
      <c r="E127" s="228">
        <v>18</v>
      </c>
      <c r="F127" s="231">
        <v>2465</v>
      </c>
      <c r="G127" s="231">
        <v>2483.5</v>
      </c>
      <c r="H127" s="228">
        <v>-18.5</v>
      </c>
      <c r="I127" s="229">
        <v>-7.4000000000000003E-3</v>
      </c>
      <c r="J127" s="231">
        <v>2459.9</v>
      </c>
      <c r="K127" s="231">
        <v>2479.4</v>
      </c>
      <c r="L127" s="228">
        <v>-19.5</v>
      </c>
      <c r="M127" s="229">
        <v>-7.9000000000000008E-3</v>
      </c>
      <c r="N127" s="231">
        <v>2465</v>
      </c>
      <c r="O127" s="231">
        <v>2483.5</v>
      </c>
      <c r="P127" s="228">
        <v>-18.5</v>
      </c>
      <c r="Q127" s="229">
        <v>-7.4000000000000003E-3</v>
      </c>
      <c r="R127" s="231">
        <v>2477.8000000000002</v>
      </c>
      <c r="S127" s="231">
        <v>2498.1999999999998</v>
      </c>
      <c r="T127" s="228">
        <v>-20.399999999999999</v>
      </c>
      <c r="U127" s="229">
        <v>-8.2000000000000007E-3</v>
      </c>
      <c r="V127" s="231">
        <v>2493.8000000000002</v>
      </c>
      <c r="W127" s="231">
        <v>2506.9</v>
      </c>
      <c r="X127" s="228">
        <v>-13.1</v>
      </c>
      <c r="Y127" s="229">
        <v>-5.1999999999999998E-3</v>
      </c>
      <c r="Z127" s="228">
        <v>5.0999999999999996</v>
      </c>
      <c r="AA127" s="228">
        <v>4.0999999999999996</v>
      </c>
      <c r="AB127" s="228">
        <v>1</v>
      </c>
      <c r="AC127" s="229">
        <v>2.0999999999999999E-3</v>
      </c>
      <c r="AD127" s="228">
        <v>5.0999999999999996</v>
      </c>
      <c r="AE127" s="228">
        <v>4.0999999999999996</v>
      </c>
      <c r="AF127" s="228">
        <v>1</v>
      </c>
      <c r="AG127" s="229">
        <v>2.0999999999999999E-3</v>
      </c>
      <c r="AH127" s="228">
        <v>17.899999999999999</v>
      </c>
      <c r="AI127" s="228">
        <v>18.8</v>
      </c>
      <c r="AJ127" s="228">
        <v>-0.9</v>
      </c>
      <c r="AK127" s="229">
        <v>7.3000000000000001E-3</v>
      </c>
      <c r="AL127" s="228">
        <v>33.9</v>
      </c>
      <c r="AM127" s="228">
        <v>27.5</v>
      </c>
      <c r="AN127" s="228">
        <v>6.4</v>
      </c>
      <c r="AO127" s="229">
        <v>1.38E-2</v>
      </c>
      <c r="AP127" s="231">
        <v>2482.14</v>
      </c>
      <c r="AQ127" s="231">
        <v>2495.7399999999998</v>
      </c>
      <c r="AR127" s="228">
        <v>0</v>
      </c>
      <c r="AS127" s="228">
        <v>83</v>
      </c>
      <c r="AT127" s="228">
        <v>73</v>
      </c>
      <c r="AU127" s="228">
        <v>9</v>
      </c>
      <c r="AV127" s="229">
        <v>0.12970000000000001</v>
      </c>
      <c r="AW127" s="228">
        <v>77</v>
      </c>
      <c r="AX127" s="228">
        <v>69</v>
      </c>
      <c r="AY127" s="228">
        <v>8</v>
      </c>
      <c r="AZ127" s="229">
        <v>0.1159</v>
      </c>
      <c r="BA127" s="228">
        <v>5</v>
      </c>
      <c r="BB127" s="228">
        <v>3</v>
      </c>
      <c r="BC127" s="228">
        <v>1</v>
      </c>
      <c r="BD127" s="229">
        <v>0.34920000000000001</v>
      </c>
      <c r="BE127" s="228">
        <v>0</v>
      </c>
      <c r="BF127" s="228">
        <v>0</v>
      </c>
      <c r="BG127" s="228">
        <v>0</v>
      </c>
      <c r="BH127" s="229">
        <v>1</v>
      </c>
      <c r="BI127" s="228">
        <v>225</v>
      </c>
      <c r="BJ127" s="228">
        <v>126</v>
      </c>
      <c r="BK127" s="228">
        <v>99</v>
      </c>
      <c r="BL127" s="229">
        <v>0.78449999999999998</v>
      </c>
      <c r="BM127" s="228">
        <v>44</v>
      </c>
      <c r="BN127" s="228">
        <v>35</v>
      </c>
      <c r="BO127" s="228">
        <v>10</v>
      </c>
      <c r="BP127" s="229">
        <v>0.27800000000000002</v>
      </c>
      <c r="BQ127" s="228">
        <v>352</v>
      </c>
      <c r="BR127" s="228">
        <v>234</v>
      </c>
      <c r="BS127" s="228">
        <v>118</v>
      </c>
      <c r="BT127" s="229">
        <v>0.505</v>
      </c>
      <c r="BU127" s="230">
        <v>140372</v>
      </c>
      <c r="BV127" s="230">
        <v>138727</v>
      </c>
      <c r="BW127" s="230">
        <v>1645</v>
      </c>
      <c r="BX127" s="229">
        <v>1.1900000000000001E-2</v>
      </c>
      <c r="BY127" s="228">
        <v>414</v>
      </c>
      <c r="BZ127" s="228">
        <v>402</v>
      </c>
      <c r="CA127" s="228">
        <v>12</v>
      </c>
      <c r="CB127" s="229">
        <v>2.8799999999999999E-2</v>
      </c>
      <c r="CC127" s="228">
        <v>400</v>
      </c>
      <c r="CD127" s="228">
        <v>391</v>
      </c>
      <c r="CE127" s="228">
        <v>10</v>
      </c>
      <c r="CF127" s="229">
        <v>2.46E-2</v>
      </c>
      <c r="CG127" s="228">
        <v>12</v>
      </c>
      <c r="CH127" s="228">
        <v>11</v>
      </c>
      <c r="CI127" s="228">
        <v>2</v>
      </c>
      <c r="CJ127" s="229">
        <v>0.15540000000000001</v>
      </c>
      <c r="CK127" s="228">
        <v>1</v>
      </c>
      <c r="CL127" s="228">
        <v>1</v>
      </c>
      <c r="CM127" s="228">
        <v>0</v>
      </c>
      <c r="CN127" s="229">
        <v>0.35289999999999999</v>
      </c>
      <c r="CO127" s="228">
        <v>173</v>
      </c>
      <c r="CP127" s="228">
        <v>150</v>
      </c>
      <c r="CQ127" s="228">
        <v>24</v>
      </c>
      <c r="CR127" s="229">
        <v>0.15840000000000001</v>
      </c>
      <c r="CS127" s="228">
        <v>85</v>
      </c>
      <c r="CT127" s="228">
        <v>84</v>
      </c>
      <c r="CU127" s="228">
        <v>2</v>
      </c>
      <c r="CV127" s="229">
        <v>1.9199999999999998E-2</v>
      </c>
      <c r="CW127" s="228">
        <v>672</v>
      </c>
      <c r="CX127" s="228">
        <v>636</v>
      </c>
      <c r="CY127" s="228">
        <v>37</v>
      </c>
      <c r="CZ127" s="229">
        <v>5.8000000000000003E-2</v>
      </c>
      <c r="DA127" s="228">
        <v>30.56</v>
      </c>
      <c r="DB127" s="228">
        <v>29.44</v>
      </c>
      <c r="DC127" s="228">
        <v>1.1200000000000001</v>
      </c>
      <c r="DD127" s="228">
        <v>1.1200000000000001</v>
      </c>
      <c r="DE127" s="228">
        <v>34.770000000000003</v>
      </c>
      <c r="DF127" s="228">
        <v>34.840000000000003</v>
      </c>
      <c r="DG127" s="228">
        <v>-4.21</v>
      </c>
      <c r="DH127" s="228">
        <v>-7.0000000000000007E-2</v>
      </c>
      <c r="DI127" s="228">
        <v>30.89</v>
      </c>
      <c r="DJ127" s="228">
        <v>29.75</v>
      </c>
      <c r="DK127" s="228">
        <v>1.1399999999999999</v>
      </c>
      <c r="DL127" s="228">
        <v>1.1399999999999999</v>
      </c>
      <c r="DM127" s="228">
        <v>28.91</v>
      </c>
      <c r="DN127" s="228">
        <v>28.3</v>
      </c>
      <c r="DO127" s="228">
        <v>0.61</v>
      </c>
      <c r="DP127" s="228">
        <v>0.61</v>
      </c>
      <c r="DQ127" s="228">
        <v>0.49</v>
      </c>
      <c r="DR127" s="228">
        <v>0.56000000000000005</v>
      </c>
      <c r="DS127" s="228">
        <v>-7.0000000000000007E-2</v>
      </c>
      <c r="DT127" s="229">
        <v>-0.125</v>
      </c>
      <c r="DU127" s="231">
        <v>2600</v>
      </c>
      <c r="DV127" s="231">
        <v>2400</v>
      </c>
      <c r="DW127" s="228">
        <v>0.2</v>
      </c>
      <c r="DX127" s="228">
        <v>0.27</v>
      </c>
      <c r="DY127" s="228">
        <v>-7.0000000000000007E-2</v>
      </c>
      <c r="DZ127" s="229">
        <v>-0.25929999999999997</v>
      </c>
      <c r="EA127" s="229">
        <v>3.3000000000000002E-2</v>
      </c>
      <c r="EB127" s="230">
        <v>47250</v>
      </c>
      <c r="EC127" s="229">
        <v>5.1999999999999998E-3</v>
      </c>
      <c r="ED127" s="229">
        <v>3.3000000000000002E-2</v>
      </c>
      <c r="EE127" s="228">
        <v>13.6</v>
      </c>
      <c r="EF127" s="229">
        <v>5.4999999999999997E-3</v>
      </c>
      <c r="EG127" s="230">
        <v>73589</v>
      </c>
      <c r="EH127" s="230">
        <v>61069</v>
      </c>
      <c r="EI127" s="229">
        <v>0.20499999999999999</v>
      </c>
      <c r="EJ127" s="229">
        <v>0.5242</v>
      </c>
      <c r="EK127" s="228">
        <v>239.41</v>
      </c>
      <c r="EL127" s="228">
        <v>43.08</v>
      </c>
      <c r="EM127" s="228">
        <v>83.19</v>
      </c>
      <c r="EN127" s="228">
        <v>16.559999999999999</v>
      </c>
      <c r="EO127" s="228">
        <v>365.68</v>
      </c>
      <c r="EP127" s="228">
        <v>242.58</v>
      </c>
      <c r="EQ127" s="228">
        <v>123.1</v>
      </c>
      <c r="ER127" s="229">
        <v>0.50749999999999995</v>
      </c>
      <c r="ES127" s="228">
        <v>184.83</v>
      </c>
      <c r="ET127" s="228">
        <v>83.06</v>
      </c>
      <c r="EU127" s="228">
        <v>413.88</v>
      </c>
      <c r="EV127" s="231">
        <v>16915220</v>
      </c>
      <c r="EW127" s="228">
        <v>681.77</v>
      </c>
      <c r="EX127" s="228">
        <v>647.36</v>
      </c>
      <c r="EY127" s="228">
        <v>34.409999999999997</v>
      </c>
      <c r="EZ127" s="229">
        <v>5.3199999999999997E-2</v>
      </c>
      <c r="FA127" s="229">
        <v>0.1613</v>
      </c>
      <c r="FB127" s="227" t="s">
        <v>567</v>
      </c>
      <c r="FC127">
        <f t="shared" si="1"/>
        <v>14</v>
      </c>
    </row>
    <row r="128" spans="1:159" ht="17.25" thickBot="1" x14ac:dyDescent="0.3">
      <c r="A128" s="226">
        <v>45940</v>
      </c>
      <c r="B128" s="227" t="s">
        <v>168</v>
      </c>
      <c r="C128" s="227" t="s">
        <v>254</v>
      </c>
      <c r="D128" s="228">
        <v>1200</v>
      </c>
      <c r="E128" s="228">
        <v>18</v>
      </c>
      <c r="F128" s="228">
        <v>718.15</v>
      </c>
      <c r="G128" s="228">
        <v>718.25</v>
      </c>
      <c r="H128" s="228">
        <v>-0.1</v>
      </c>
      <c r="I128" s="229">
        <v>-1E-4</v>
      </c>
      <c r="J128" s="228">
        <v>714.3</v>
      </c>
      <c r="K128" s="228">
        <v>715.85</v>
      </c>
      <c r="L128" s="228">
        <v>-1.55</v>
      </c>
      <c r="M128" s="229">
        <v>-2.2000000000000001E-3</v>
      </c>
      <c r="N128" s="228">
        <v>718.15</v>
      </c>
      <c r="O128" s="228">
        <v>718.25</v>
      </c>
      <c r="P128" s="228">
        <v>-0.1</v>
      </c>
      <c r="Q128" s="229">
        <v>-1E-4</v>
      </c>
      <c r="R128" s="228">
        <v>720.7</v>
      </c>
      <c r="S128" s="228">
        <v>719.95</v>
      </c>
      <c r="T128" s="228">
        <v>0.75</v>
      </c>
      <c r="U128" s="229">
        <v>1E-3</v>
      </c>
      <c r="V128" s="228">
        <v>720.55</v>
      </c>
      <c r="W128" s="228">
        <v>712.5</v>
      </c>
      <c r="X128" s="228">
        <v>8.0500000000000007</v>
      </c>
      <c r="Y128" s="229">
        <v>1.1299999999999999E-2</v>
      </c>
      <c r="Z128" s="228">
        <v>3.85</v>
      </c>
      <c r="AA128" s="228">
        <v>2.4</v>
      </c>
      <c r="AB128" s="228">
        <v>1.45</v>
      </c>
      <c r="AC128" s="229">
        <v>5.4000000000000003E-3</v>
      </c>
      <c r="AD128" s="228">
        <v>3.85</v>
      </c>
      <c r="AE128" s="228">
        <v>2.4</v>
      </c>
      <c r="AF128" s="228">
        <v>1.45</v>
      </c>
      <c r="AG128" s="229">
        <v>5.4000000000000003E-3</v>
      </c>
      <c r="AH128" s="228">
        <v>6.4</v>
      </c>
      <c r="AI128" s="228">
        <v>4.0999999999999996</v>
      </c>
      <c r="AJ128" s="228">
        <v>2.2999999999999998</v>
      </c>
      <c r="AK128" s="229">
        <v>8.9999999999999993E-3</v>
      </c>
      <c r="AL128" s="228">
        <v>6.25</v>
      </c>
      <c r="AM128" s="228">
        <v>-3.35</v>
      </c>
      <c r="AN128" s="228">
        <v>9.6</v>
      </c>
      <c r="AO128" s="229">
        <v>8.6999999999999994E-3</v>
      </c>
      <c r="AP128" s="228">
        <v>718.9</v>
      </c>
      <c r="AQ128" s="228">
        <v>721.4</v>
      </c>
      <c r="AR128" s="228">
        <v>0</v>
      </c>
      <c r="AS128" s="228">
        <v>122</v>
      </c>
      <c r="AT128" s="228">
        <v>156</v>
      </c>
      <c r="AU128" s="228">
        <v>-34</v>
      </c>
      <c r="AV128" s="229">
        <v>-0.21909999999999999</v>
      </c>
      <c r="AW128" s="228">
        <v>120</v>
      </c>
      <c r="AX128" s="228">
        <v>154</v>
      </c>
      <c r="AY128" s="228">
        <v>-34</v>
      </c>
      <c r="AZ128" s="229">
        <v>-0.2215</v>
      </c>
      <c r="BA128" s="228">
        <v>2</v>
      </c>
      <c r="BB128" s="228">
        <v>2</v>
      </c>
      <c r="BC128" s="228">
        <v>0</v>
      </c>
      <c r="BD128" s="229">
        <v>-4.3499999999999997E-2</v>
      </c>
      <c r="BE128" s="228">
        <v>0</v>
      </c>
      <c r="BF128" s="228">
        <v>0</v>
      </c>
      <c r="BG128" s="228">
        <v>0</v>
      </c>
      <c r="BH128" s="229">
        <v>0</v>
      </c>
      <c r="BI128" s="228">
        <v>178</v>
      </c>
      <c r="BJ128" s="228">
        <v>257</v>
      </c>
      <c r="BK128" s="228">
        <v>-79</v>
      </c>
      <c r="BL128" s="229">
        <v>-0.3085</v>
      </c>
      <c r="BM128" s="228">
        <v>82</v>
      </c>
      <c r="BN128" s="228">
        <v>112</v>
      </c>
      <c r="BO128" s="228">
        <v>-30</v>
      </c>
      <c r="BP128" s="229">
        <v>-0.2656</v>
      </c>
      <c r="BQ128" s="228">
        <v>381</v>
      </c>
      <c r="BR128" s="228">
        <v>524</v>
      </c>
      <c r="BS128" s="228">
        <v>-143</v>
      </c>
      <c r="BT128" s="229">
        <v>-0.27279999999999999</v>
      </c>
      <c r="BU128" s="230">
        <v>1441552</v>
      </c>
      <c r="BV128" s="230">
        <v>1832935</v>
      </c>
      <c r="BW128" s="230">
        <v>-391383</v>
      </c>
      <c r="BX128" s="229">
        <v>-0.2135</v>
      </c>
      <c r="BY128" s="230">
        <v>2020</v>
      </c>
      <c r="BZ128" s="230">
        <v>2050</v>
      </c>
      <c r="CA128" s="228">
        <v>-30</v>
      </c>
      <c r="CB128" s="229">
        <v>-1.44E-2</v>
      </c>
      <c r="CC128" s="230">
        <v>2011</v>
      </c>
      <c r="CD128" s="230">
        <v>2041</v>
      </c>
      <c r="CE128" s="228">
        <v>-30</v>
      </c>
      <c r="CF128" s="229">
        <v>-1.47E-2</v>
      </c>
      <c r="CG128" s="228">
        <v>9</v>
      </c>
      <c r="CH128" s="228">
        <v>8</v>
      </c>
      <c r="CI128" s="228">
        <v>0</v>
      </c>
      <c r="CJ128" s="229">
        <v>5.21E-2</v>
      </c>
      <c r="CK128" s="228">
        <v>0</v>
      </c>
      <c r="CL128" s="228">
        <v>0</v>
      </c>
      <c r="CM128" s="228">
        <v>0</v>
      </c>
      <c r="CN128" s="229">
        <v>0</v>
      </c>
      <c r="CO128" s="228">
        <v>247</v>
      </c>
      <c r="CP128" s="228">
        <v>241</v>
      </c>
      <c r="CQ128" s="228">
        <v>6</v>
      </c>
      <c r="CR128" s="229">
        <v>2.5100000000000001E-2</v>
      </c>
      <c r="CS128" s="228">
        <v>162</v>
      </c>
      <c r="CT128" s="228">
        <v>163</v>
      </c>
      <c r="CU128" s="228">
        <v>-1</v>
      </c>
      <c r="CV128" s="229">
        <v>-5.3E-3</v>
      </c>
      <c r="CW128" s="230">
        <v>2429</v>
      </c>
      <c r="CX128" s="230">
        <v>2453</v>
      </c>
      <c r="CY128" s="228">
        <v>-24</v>
      </c>
      <c r="CZ128" s="229">
        <v>-9.9000000000000008E-3</v>
      </c>
      <c r="DA128" s="228">
        <v>18.600000000000001</v>
      </c>
      <c r="DB128" s="228">
        <v>19.5</v>
      </c>
      <c r="DC128" s="228">
        <v>-0.9</v>
      </c>
      <c r="DD128" s="228">
        <v>-0.9</v>
      </c>
      <c r="DE128" s="228">
        <v>25.92</v>
      </c>
      <c r="DF128" s="228">
        <v>25.98</v>
      </c>
      <c r="DG128" s="228">
        <v>-7.32</v>
      </c>
      <c r="DH128" s="228">
        <v>-0.06</v>
      </c>
      <c r="DI128" s="228">
        <v>18.399999999999999</v>
      </c>
      <c r="DJ128" s="228">
        <v>19.489999999999998</v>
      </c>
      <c r="DK128" s="228">
        <v>-1.0900000000000001</v>
      </c>
      <c r="DL128" s="228">
        <v>-1.0900000000000001</v>
      </c>
      <c r="DM128" s="228">
        <v>19.03</v>
      </c>
      <c r="DN128" s="228">
        <v>19.510000000000002</v>
      </c>
      <c r="DO128" s="228">
        <v>-0.48</v>
      </c>
      <c r="DP128" s="228">
        <v>-0.48</v>
      </c>
      <c r="DQ128" s="228">
        <v>0.66</v>
      </c>
      <c r="DR128" s="228">
        <v>0.68</v>
      </c>
      <c r="DS128" s="228">
        <v>-0.02</v>
      </c>
      <c r="DT128" s="229">
        <v>-2.9399999999999999E-2</v>
      </c>
      <c r="DU128" s="228">
        <v>740</v>
      </c>
      <c r="DV128" s="228">
        <v>680</v>
      </c>
      <c r="DW128" s="228">
        <v>0.46</v>
      </c>
      <c r="DX128" s="228">
        <v>0.44</v>
      </c>
      <c r="DY128" s="228">
        <v>0.02</v>
      </c>
      <c r="DZ128" s="229">
        <v>4.5499999999999999E-2</v>
      </c>
      <c r="EA128" s="229">
        <v>4.4999999999999997E-3</v>
      </c>
      <c r="EB128" s="230">
        <v>121200</v>
      </c>
      <c r="EC128" s="229">
        <v>3.5999999999999999E-3</v>
      </c>
      <c r="ED128" s="229">
        <v>4.4999999999999997E-3</v>
      </c>
      <c r="EE128" s="228">
        <v>2.5</v>
      </c>
      <c r="EF128" s="229">
        <v>3.5000000000000001E-3</v>
      </c>
      <c r="EG128" s="230">
        <v>1018997</v>
      </c>
      <c r="EH128" s="230">
        <v>1322849</v>
      </c>
      <c r="EI128" s="229">
        <v>-0.22969999999999999</v>
      </c>
      <c r="EJ128" s="229">
        <v>0.70689999999999997</v>
      </c>
      <c r="EK128" s="228">
        <v>183.22</v>
      </c>
      <c r="EL128" s="228">
        <v>80.75</v>
      </c>
      <c r="EM128" s="228">
        <v>121.73</v>
      </c>
      <c r="EN128" s="228">
        <v>19.22</v>
      </c>
      <c r="EO128" s="228">
        <v>385.69</v>
      </c>
      <c r="EP128" s="228">
        <v>530.78</v>
      </c>
      <c r="EQ128" s="228">
        <v>-145.09</v>
      </c>
      <c r="ER128" s="229">
        <v>-0.27329999999999999</v>
      </c>
      <c r="ES128" s="228">
        <v>254.45</v>
      </c>
      <c r="ET128" s="228">
        <v>156.1</v>
      </c>
      <c r="EU128" s="231">
        <v>2020.22</v>
      </c>
      <c r="EV128" s="231">
        <v>79408529</v>
      </c>
      <c r="EW128" s="231">
        <v>2430.7600000000002</v>
      </c>
      <c r="EX128" s="231">
        <v>2455.14</v>
      </c>
      <c r="EY128" s="228">
        <v>-24.38</v>
      </c>
      <c r="EZ128" s="229">
        <v>-9.9000000000000008E-3</v>
      </c>
      <c r="FA128" s="229">
        <v>0.42599999999999999</v>
      </c>
      <c r="FB128" s="227" t="s">
        <v>568</v>
      </c>
      <c r="FC128">
        <f t="shared" si="1"/>
        <v>9</v>
      </c>
    </row>
    <row r="129" spans="1:159" ht="17.25" thickBot="1" x14ac:dyDescent="0.3">
      <c r="A129" s="226">
        <v>45940</v>
      </c>
      <c r="B129" s="227" t="s">
        <v>162</v>
      </c>
      <c r="C129" s="227" t="s">
        <v>255</v>
      </c>
      <c r="D129" s="228">
        <v>50</v>
      </c>
      <c r="E129" s="228">
        <v>18</v>
      </c>
      <c r="F129" s="231">
        <v>16349</v>
      </c>
      <c r="G129" s="231">
        <v>16004</v>
      </c>
      <c r="H129" s="228">
        <v>345</v>
      </c>
      <c r="I129" s="229">
        <v>2.1600000000000001E-2</v>
      </c>
      <c r="J129" s="231">
        <v>16265</v>
      </c>
      <c r="K129" s="231">
        <v>15985</v>
      </c>
      <c r="L129" s="228">
        <v>280</v>
      </c>
      <c r="M129" s="229">
        <v>1.7500000000000002E-2</v>
      </c>
      <c r="N129" s="231">
        <v>16349</v>
      </c>
      <c r="O129" s="231">
        <v>16004</v>
      </c>
      <c r="P129" s="228">
        <v>345</v>
      </c>
      <c r="Q129" s="229">
        <v>2.1600000000000001E-2</v>
      </c>
      <c r="R129" s="231">
        <v>16432</v>
      </c>
      <c r="S129" s="231">
        <v>16086</v>
      </c>
      <c r="T129" s="228">
        <v>346</v>
      </c>
      <c r="U129" s="229">
        <v>2.1499999999999998E-2</v>
      </c>
      <c r="V129" s="231">
        <v>16526</v>
      </c>
      <c r="W129" s="231">
        <v>16155</v>
      </c>
      <c r="X129" s="228">
        <v>371</v>
      </c>
      <c r="Y129" s="229">
        <v>2.3E-2</v>
      </c>
      <c r="Z129" s="228">
        <v>84</v>
      </c>
      <c r="AA129" s="228">
        <v>19</v>
      </c>
      <c r="AB129" s="228">
        <v>65</v>
      </c>
      <c r="AC129" s="229">
        <v>5.1999999999999998E-3</v>
      </c>
      <c r="AD129" s="228">
        <v>84</v>
      </c>
      <c r="AE129" s="228">
        <v>19</v>
      </c>
      <c r="AF129" s="228">
        <v>65</v>
      </c>
      <c r="AG129" s="229">
        <v>5.1999999999999998E-3</v>
      </c>
      <c r="AH129" s="228">
        <v>167</v>
      </c>
      <c r="AI129" s="228">
        <v>101</v>
      </c>
      <c r="AJ129" s="228">
        <v>66</v>
      </c>
      <c r="AK129" s="229">
        <v>1.03E-2</v>
      </c>
      <c r="AL129" s="228">
        <v>261</v>
      </c>
      <c r="AM129" s="228">
        <v>170</v>
      </c>
      <c r="AN129" s="228">
        <v>91</v>
      </c>
      <c r="AO129" s="229">
        <v>1.6E-2</v>
      </c>
      <c r="AP129" s="231">
        <v>16246.96</v>
      </c>
      <c r="AQ129" s="231">
        <v>16344.16</v>
      </c>
      <c r="AR129" s="228">
        <v>0</v>
      </c>
      <c r="AS129" s="230">
        <v>1602</v>
      </c>
      <c r="AT129" s="228">
        <v>711</v>
      </c>
      <c r="AU129" s="228">
        <v>891</v>
      </c>
      <c r="AV129" s="229">
        <v>1.2542</v>
      </c>
      <c r="AW129" s="230">
        <v>1477</v>
      </c>
      <c r="AX129" s="228">
        <v>672</v>
      </c>
      <c r="AY129" s="228">
        <v>805</v>
      </c>
      <c r="AZ129" s="229">
        <v>1.1971000000000001</v>
      </c>
      <c r="BA129" s="228">
        <v>96</v>
      </c>
      <c r="BB129" s="228">
        <v>34</v>
      </c>
      <c r="BC129" s="228">
        <v>62</v>
      </c>
      <c r="BD129" s="229">
        <v>1.7915000000000001</v>
      </c>
      <c r="BE129" s="228">
        <v>29</v>
      </c>
      <c r="BF129" s="228">
        <v>4</v>
      </c>
      <c r="BG129" s="228">
        <v>25</v>
      </c>
      <c r="BH129" s="229">
        <v>6.4255000000000004</v>
      </c>
      <c r="BI129" s="230">
        <v>13013</v>
      </c>
      <c r="BJ129" s="230">
        <v>5177</v>
      </c>
      <c r="BK129" s="230">
        <v>7836</v>
      </c>
      <c r="BL129" s="229">
        <v>1.5135000000000001</v>
      </c>
      <c r="BM129" s="230">
        <v>4844</v>
      </c>
      <c r="BN129" s="230">
        <v>2974</v>
      </c>
      <c r="BO129" s="230">
        <v>1870</v>
      </c>
      <c r="BP129" s="229">
        <v>0.62860000000000005</v>
      </c>
      <c r="BQ129" s="230">
        <v>19459</v>
      </c>
      <c r="BR129" s="230">
        <v>8862</v>
      </c>
      <c r="BS129" s="230">
        <v>10597</v>
      </c>
      <c r="BT129" s="229">
        <v>1.1957</v>
      </c>
      <c r="BU129" s="230">
        <v>429340</v>
      </c>
      <c r="BV129" s="230">
        <v>304681</v>
      </c>
      <c r="BW129" s="230">
        <v>124659</v>
      </c>
      <c r="BX129" s="229">
        <v>0.40910000000000002</v>
      </c>
      <c r="BY129" s="230">
        <v>4676</v>
      </c>
      <c r="BZ129" s="230">
        <v>4387</v>
      </c>
      <c r="CA129" s="228">
        <v>289</v>
      </c>
      <c r="CB129" s="229">
        <v>6.5799999999999997E-2</v>
      </c>
      <c r="CC129" s="230">
        <v>4504</v>
      </c>
      <c r="CD129" s="230">
        <v>4256</v>
      </c>
      <c r="CE129" s="228">
        <v>248</v>
      </c>
      <c r="CF129" s="229">
        <v>5.8400000000000001E-2</v>
      </c>
      <c r="CG129" s="228">
        <v>145</v>
      </c>
      <c r="CH129" s="228">
        <v>124</v>
      </c>
      <c r="CI129" s="228">
        <v>22</v>
      </c>
      <c r="CJ129" s="229">
        <v>0.17580000000000001</v>
      </c>
      <c r="CK129" s="228">
        <v>26</v>
      </c>
      <c r="CL129" s="228">
        <v>8</v>
      </c>
      <c r="CM129" s="228">
        <v>18</v>
      </c>
      <c r="CN129" s="229">
        <v>2.3060999999999998</v>
      </c>
      <c r="CO129" s="230">
        <v>4550</v>
      </c>
      <c r="CP129" s="230">
        <v>4755</v>
      </c>
      <c r="CQ129" s="228">
        <v>-205</v>
      </c>
      <c r="CR129" s="229">
        <v>-4.3099999999999999E-2</v>
      </c>
      <c r="CS129" s="230">
        <v>2834</v>
      </c>
      <c r="CT129" s="230">
        <v>2355</v>
      </c>
      <c r="CU129" s="228">
        <v>479</v>
      </c>
      <c r="CV129" s="229">
        <v>0.20349999999999999</v>
      </c>
      <c r="CW129" s="230">
        <v>12060</v>
      </c>
      <c r="CX129" s="230">
        <v>11497</v>
      </c>
      <c r="CY129" s="228">
        <v>563</v>
      </c>
      <c r="CZ129" s="229">
        <v>4.9000000000000002E-2</v>
      </c>
      <c r="DA129" s="228">
        <v>18.440000000000001</v>
      </c>
      <c r="DB129" s="228">
        <v>18.37</v>
      </c>
      <c r="DC129" s="228">
        <v>7.0000000000000007E-2</v>
      </c>
      <c r="DD129" s="228">
        <v>7.0000000000000007E-2</v>
      </c>
      <c r="DE129" s="228">
        <v>25.96</v>
      </c>
      <c r="DF129" s="228">
        <v>25.92</v>
      </c>
      <c r="DG129" s="228">
        <v>-7.52</v>
      </c>
      <c r="DH129" s="228">
        <v>0.04</v>
      </c>
      <c r="DI129" s="228">
        <v>18.21</v>
      </c>
      <c r="DJ129" s="228">
        <v>18.350000000000001</v>
      </c>
      <c r="DK129" s="228">
        <v>-0.14000000000000001</v>
      </c>
      <c r="DL129" s="228">
        <v>-0.14000000000000001</v>
      </c>
      <c r="DM129" s="228">
        <v>19.059999999999999</v>
      </c>
      <c r="DN129" s="228">
        <v>18.399999999999999</v>
      </c>
      <c r="DO129" s="228">
        <v>0.66</v>
      </c>
      <c r="DP129" s="228">
        <v>0.66</v>
      </c>
      <c r="DQ129" s="228">
        <v>0.62</v>
      </c>
      <c r="DR129" s="228">
        <v>0.5</v>
      </c>
      <c r="DS129" s="228">
        <v>0.12</v>
      </c>
      <c r="DT129" s="229">
        <v>0.24</v>
      </c>
      <c r="DU129" s="231">
        <v>17000</v>
      </c>
      <c r="DV129" s="231">
        <v>16000</v>
      </c>
      <c r="DW129" s="228">
        <v>0.37</v>
      </c>
      <c r="DX129" s="228">
        <v>0.56999999999999995</v>
      </c>
      <c r="DY129" s="228">
        <v>-0.2</v>
      </c>
      <c r="DZ129" s="229">
        <v>-0.35089999999999999</v>
      </c>
      <c r="EA129" s="229">
        <v>3.6799999999999999E-2</v>
      </c>
      <c r="EB129" s="230">
        <v>80550</v>
      </c>
      <c r="EC129" s="229">
        <v>5.1000000000000004E-3</v>
      </c>
      <c r="ED129" s="229">
        <v>3.6799999999999999E-2</v>
      </c>
      <c r="EE129" s="228">
        <v>97.2</v>
      </c>
      <c r="EF129" s="229">
        <v>6.0000000000000001E-3</v>
      </c>
      <c r="EG129" s="230">
        <v>242751</v>
      </c>
      <c r="EH129" s="230">
        <v>184370</v>
      </c>
      <c r="EI129" s="229">
        <v>0.31669999999999998</v>
      </c>
      <c r="EJ129" s="229">
        <v>0.56540000000000001</v>
      </c>
      <c r="EK129" s="231">
        <v>13371.97</v>
      </c>
      <c r="EL129" s="231">
        <v>4709.53</v>
      </c>
      <c r="EM129" s="231">
        <v>1592.8</v>
      </c>
      <c r="EN129" s="228">
        <v>104.44</v>
      </c>
      <c r="EO129" s="231">
        <v>19674.310000000001</v>
      </c>
      <c r="EP129" s="231">
        <v>8840.17</v>
      </c>
      <c r="EQ129" s="231">
        <v>10834.13</v>
      </c>
      <c r="ER129" s="229">
        <v>1.2256</v>
      </c>
      <c r="ES129" s="231">
        <v>4654.9399999999996</v>
      </c>
      <c r="ET129" s="231">
        <v>2669.65</v>
      </c>
      <c r="EU129" s="231">
        <v>4676.92</v>
      </c>
      <c r="EV129" s="231">
        <v>16752897</v>
      </c>
      <c r="EW129" s="231">
        <v>12001.51</v>
      </c>
      <c r="EX129" s="231">
        <v>11356.33</v>
      </c>
      <c r="EY129" s="228">
        <v>645.17999999999995</v>
      </c>
      <c r="EZ129" s="229">
        <v>5.6800000000000003E-2</v>
      </c>
      <c r="FA129" s="229">
        <v>0.44030000000000002</v>
      </c>
      <c r="FB129" s="227" t="s">
        <v>555</v>
      </c>
      <c r="FC129">
        <f t="shared" si="1"/>
        <v>172</v>
      </c>
    </row>
    <row r="130" spans="1:159" ht="17.25" thickBot="1" x14ac:dyDescent="0.3">
      <c r="A130" s="226">
        <v>45940</v>
      </c>
      <c r="B130" s="227" t="s">
        <v>170</v>
      </c>
      <c r="C130" s="227" t="s">
        <v>604</v>
      </c>
      <c r="D130" s="228">
        <v>525</v>
      </c>
      <c r="E130" s="228">
        <v>18</v>
      </c>
      <c r="F130" s="231">
        <v>1159.4000000000001</v>
      </c>
      <c r="G130" s="231">
        <v>1159.2</v>
      </c>
      <c r="H130" s="228">
        <v>0.2</v>
      </c>
      <c r="I130" s="229">
        <v>2.0000000000000001E-4</v>
      </c>
      <c r="J130" s="231">
        <v>1156.4000000000001</v>
      </c>
      <c r="K130" s="231">
        <v>1155.8</v>
      </c>
      <c r="L130" s="228">
        <v>0.6</v>
      </c>
      <c r="M130" s="229">
        <v>5.0000000000000001E-4</v>
      </c>
      <c r="N130" s="231">
        <v>1159.4000000000001</v>
      </c>
      <c r="O130" s="231">
        <v>1159.2</v>
      </c>
      <c r="P130" s="228">
        <v>0.2</v>
      </c>
      <c r="Q130" s="229">
        <v>2.0000000000000001E-4</v>
      </c>
      <c r="R130" s="231">
        <v>1165.5</v>
      </c>
      <c r="S130" s="231">
        <v>1164.5999999999999</v>
      </c>
      <c r="T130" s="228">
        <v>0.9</v>
      </c>
      <c r="U130" s="229">
        <v>8.0000000000000004E-4</v>
      </c>
      <c r="V130" s="231">
        <v>1172.3</v>
      </c>
      <c r="W130" s="231">
        <v>1173.5999999999999</v>
      </c>
      <c r="X130" s="228">
        <v>-1.3</v>
      </c>
      <c r="Y130" s="229">
        <v>-1.1000000000000001E-3</v>
      </c>
      <c r="Z130" s="228">
        <v>3</v>
      </c>
      <c r="AA130" s="228">
        <v>3.4</v>
      </c>
      <c r="AB130" s="228">
        <v>-0.4</v>
      </c>
      <c r="AC130" s="229">
        <v>2.5999999999999999E-3</v>
      </c>
      <c r="AD130" s="228">
        <v>3</v>
      </c>
      <c r="AE130" s="228">
        <v>3.4</v>
      </c>
      <c r="AF130" s="228">
        <v>-0.4</v>
      </c>
      <c r="AG130" s="229">
        <v>2.5999999999999999E-3</v>
      </c>
      <c r="AH130" s="228">
        <v>9.1</v>
      </c>
      <c r="AI130" s="228">
        <v>8.8000000000000007</v>
      </c>
      <c r="AJ130" s="228">
        <v>0.3</v>
      </c>
      <c r="AK130" s="229">
        <v>7.9000000000000008E-3</v>
      </c>
      <c r="AL130" s="228">
        <v>15.9</v>
      </c>
      <c r="AM130" s="228">
        <v>17.8</v>
      </c>
      <c r="AN130" s="228">
        <v>-1.9</v>
      </c>
      <c r="AO130" s="229">
        <v>1.37E-2</v>
      </c>
      <c r="AP130" s="231">
        <v>1159.42</v>
      </c>
      <c r="AQ130" s="231">
        <v>1164.8599999999999</v>
      </c>
      <c r="AR130" s="228">
        <v>0</v>
      </c>
      <c r="AS130" s="228">
        <v>218</v>
      </c>
      <c r="AT130" s="228">
        <v>207</v>
      </c>
      <c r="AU130" s="228">
        <v>11</v>
      </c>
      <c r="AV130" s="229">
        <v>5.28E-2</v>
      </c>
      <c r="AW130" s="228">
        <v>203</v>
      </c>
      <c r="AX130" s="228">
        <v>193</v>
      </c>
      <c r="AY130" s="228">
        <v>10</v>
      </c>
      <c r="AZ130" s="229">
        <v>5.0700000000000002E-2</v>
      </c>
      <c r="BA130" s="228">
        <v>12</v>
      </c>
      <c r="BB130" s="228">
        <v>13</v>
      </c>
      <c r="BC130" s="228">
        <v>-1</v>
      </c>
      <c r="BD130" s="229">
        <v>-9.9500000000000005E-2</v>
      </c>
      <c r="BE130" s="228">
        <v>3</v>
      </c>
      <c r="BF130" s="228">
        <v>1</v>
      </c>
      <c r="BG130" s="228">
        <v>2</v>
      </c>
      <c r="BH130" s="229">
        <v>3.1537999999999999</v>
      </c>
      <c r="BI130" s="228">
        <v>321</v>
      </c>
      <c r="BJ130" s="228">
        <v>670</v>
      </c>
      <c r="BK130" s="228">
        <v>-349</v>
      </c>
      <c r="BL130" s="229">
        <v>-0.52100000000000002</v>
      </c>
      <c r="BM130" s="228">
        <v>233</v>
      </c>
      <c r="BN130" s="228">
        <v>348</v>
      </c>
      <c r="BO130" s="228">
        <v>-115</v>
      </c>
      <c r="BP130" s="229">
        <v>-0.33040000000000003</v>
      </c>
      <c r="BQ130" s="228">
        <v>772</v>
      </c>
      <c r="BR130" s="230">
        <v>1225</v>
      </c>
      <c r="BS130" s="228">
        <v>-453</v>
      </c>
      <c r="BT130" s="229">
        <v>-0.36980000000000002</v>
      </c>
      <c r="BU130" s="230">
        <v>2745508</v>
      </c>
      <c r="BV130" s="230">
        <v>3070993</v>
      </c>
      <c r="BW130" s="230">
        <v>-325485</v>
      </c>
      <c r="BX130" s="229">
        <v>-0.106</v>
      </c>
      <c r="BY130" s="230">
        <v>1932</v>
      </c>
      <c r="BZ130" s="230">
        <v>1951</v>
      </c>
      <c r="CA130" s="228">
        <v>-19</v>
      </c>
      <c r="CB130" s="229">
        <v>-9.7000000000000003E-3</v>
      </c>
      <c r="CC130" s="230">
        <v>1897</v>
      </c>
      <c r="CD130" s="230">
        <v>1920</v>
      </c>
      <c r="CE130" s="228">
        <v>-23</v>
      </c>
      <c r="CF130" s="229">
        <v>-1.18E-2</v>
      </c>
      <c r="CG130" s="228">
        <v>30</v>
      </c>
      <c r="CH130" s="228">
        <v>29</v>
      </c>
      <c r="CI130" s="228">
        <v>1</v>
      </c>
      <c r="CJ130" s="229">
        <v>4.6699999999999998E-2</v>
      </c>
      <c r="CK130" s="228">
        <v>5</v>
      </c>
      <c r="CL130" s="228">
        <v>2</v>
      </c>
      <c r="CM130" s="228">
        <v>2</v>
      </c>
      <c r="CN130" s="229">
        <v>1.0832999999999999</v>
      </c>
      <c r="CO130" s="228">
        <v>367</v>
      </c>
      <c r="CP130" s="228">
        <v>362</v>
      </c>
      <c r="CQ130" s="228">
        <v>4</v>
      </c>
      <c r="CR130" s="229">
        <v>1.21E-2</v>
      </c>
      <c r="CS130" s="228">
        <v>326</v>
      </c>
      <c r="CT130" s="228">
        <v>326</v>
      </c>
      <c r="CU130" s="228">
        <v>1</v>
      </c>
      <c r="CV130" s="229">
        <v>1.9E-3</v>
      </c>
      <c r="CW130" s="230">
        <v>2625</v>
      </c>
      <c r="CX130" s="230">
        <v>2639</v>
      </c>
      <c r="CY130" s="228">
        <v>-14</v>
      </c>
      <c r="CZ130" s="229">
        <v>-5.3E-3</v>
      </c>
      <c r="DA130" s="228">
        <v>25.37</v>
      </c>
      <c r="DB130" s="228">
        <v>26.13</v>
      </c>
      <c r="DC130" s="228">
        <v>-0.76</v>
      </c>
      <c r="DD130" s="228">
        <v>-0.76</v>
      </c>
      <c r="DE130" s="228">
        <v>41.42</v>
      </c>
      <c r="DF130" s="228">
        <v>41.52</v>
      </c>
      <c r="DG130" s="228">
        <v>-16.05</v>
      </c>
      <c r="DH130" s="228">
        <v>-0.1</v>
      </c>
      <c r="DI130" s="228">
        <v>24.54</v>
      </c>
      <c r="DJ130" s="228">
        <v>25.46</v>
      </c>
      <c r="DK130" s="228">
        <v>-0.92</v>
      </c>
      <c r="DL130" s="228">
        <v>-0.92</v>
      </c>
      <c r="DM130" s="228">
        <v>26.53</v>
      </c>
      <c r="DN130" s="228">
        <v>27.42</v>
      </c>
      <c r="DO130" s="228">
        <v>-0.89</v>
      </c>
      <c r="DP130" s="228">
        <v>-0.89</v>
      </c>
      <c r="DQ130" s="228">
        <v>0.89</v>
      </c>
      <c r="DR130" s="228">
        <v>0.9</v>
      </c>
      <c r="DS130" s="228">
        <v>-0.01</v>
      </c>
      <c r="DT130" s="229">
        <v>-1.11E-2</v>
      </c>
      <c r="DU130" s="231">
        <v>1200</v>
      </c>
      <c r="DV130" s="231">
        <v>1060</v>
      </c>
      <c r="DW130" s="228">
        <v>0.73</v>
      </c>
      <c r="DX130" s="228">
        <v>0.52</v>
      </c>
      <c r="DY130" s="228">
        <v>0.21</v>
      </c>
      <c r="DZ130" s="229">
        <v>0.40379999999999999</v>
      </c>
      <c r="EA130" s="229">
        <v>1.7899999999999999E-2</v>
      </c>
      <c r="EB130" s="230">
        <v>266175</v>
      </c>
      <c r="EC130" s="229">
        <v>5.3E-3</v>
      </c>
      <c r="ED130" s="229">
        <v>1.7899999999999999E-2</v>
      </c>
      <c r="EE130" s="228">
        <v>5.44</v>
      </c>
      <c r="EF130" s="229">
        <v>4.7000000000000002E-3</v>
      </c>
      <c r="EG130" s="230">
        <v>1773699</v>
      </c>
      <c r="EH130" s="230">
        <v>2079842</v>
      </c>
      <c r="EI130" s="229">
        <v>-0.1472</v>
      </c>
      <c r="EJ130" s="229">
        <v>0.64600000000000002</v>
      </c>
      <c r="EK130" s="228">
        <v>332.25</v>
      </c>
      <c r="EL130" s="228">
        <v>228.06</v>
      </c>
      <c r="EM130" s="228">
        <v>218.44</v>
      </c>
      <c r="EN130" s="228">
        <v>72.47</v>
      </c>
      <c r="EO130" s="228">
        <v>778.75</v>
      </c>
      <c r="EP130" s="231">
        <v>1236.81</v>
      </c>
      <c r="EQ130" s="228">
        <v>-458.06</v>
      </c>
      <c r="ER130" s="229">
        <v>-0.37040000000000001</v>
      </c>
      <c r="ES130" s="228">
        <v>375.51</v>
      </c>
      <c r="ET130" s="228">
        <v>311.32</v>
      </c>
      <c r="EU130" s="231">
        <v>1932.11</v>
      </c>
      <c r="EV130" s="231">
        <v>97211768</v>
      </c>
      <c r="EW130" s="231">
        <v>2618.9499999999998</v>
      </c>
      <c r="EX130" s="231">
        <v>2632.08</v>
      </c>
      <c r="EY130" s="228">
        <v>-13.13</v>
      </c>
      <c r="EZ130" s="229">
        <v>-5.0000000000000001E-3</v>
      </c>
      <c r="FA130" s="229">
        <v>0.2329</v>
      </c>
      <c r="FB130" s="227" t="s">
        <v>556</v>
      </c>
      <c r="FC130">
        <f t="shared" si="1"/>
        <v>35</v>
      </c>
    </row>
    <row r="131" spans="1:159" ht="17.25" thickBot="1" x14ac:dyDescent="0.3">
      <c r="A131" s="226">
        <v>45940</v>
      </c>
      <c r="B131" s="227" t="s">
        <v>215</v>
      </c>
      <c r="C131" s="227" t="s">
        <v>675</v>
      </c>
      <c r="D131" s="228">
        <v>175</v>
      </c>
      <c r="E131" s="228">
        <v>18</v>
      </c>
      <c r="F131" s="231">
        <v>2876.6</v>
      </c>
      <c r="G131" s="231">
        <v>2904.1</v>
      </c>
      <c r="H131" s="228">
        <v>-27.5</v>
      </c>
      <c r="I131" s="229">
        <v>-9.4999999999999998E-3</v>
      </c>
      <c r="J131" s="231">
        <v>2870.1</v>
      </c>
      <c r="K131" s="231">
        <v>2888.7</v>
      </c>
      <c r="L131" s="228">
        <v>-18.600000000000001</v>
      </c>
      <c r="M131" s="229">
        <v>-6.4000000000000003E-3</v>
      </c>
      <c r="N131" s="231">
        <v>2876.6</v>
      </c>
      <c r="O131" s="231">
        <v>2904.1</v>
      </c>
      <c r="P131" s="228">
        <v>-27.5</v>
      </c>
      <c r="Q131" s="229">
        <v>-9.4999999999999998E-3</v>
      </c>
      <c r="R131" s="231">
        <v>2888.4</v>
      </c>
      <c r="S131" s="231">
        <v>2914.1</v>
      </c>
      <c r="T131" s="228">
        <v>-25.7</v>
      </c>
      <c r="U131" s="229">
        <v>-8.8000000000000005E-3</v>
      </c>
      <c r="V131" s="231">
        <v>2901.8</v>
      </c>
      <c r="W131" s="231">
        <v>2927</v>
      </c>
      <c r="X131" s="228">
        <v>-25.2</v>
      </c>
      <c r="Y131" s="229">
        <v>-8.6E-3</v>
      </c>
      <c r="Z131" s="228">
        <v>6.5</v>
      </c>
      <c r="AA131" s="228">
        <v>15.4</v>
      </c>
      <c r="AB131" s="228">
        <v>-8.9</v>
      </c>
      <c r="AC131" s="229">
        <v>2.3E-3</v>
      </c>
      <c r="AD131" s="228">
        <v>6.5</v>
      </c>
      <c r="AE131" s="228">
        <v>15.4</v>
      </c>
      <c r="AF131" s="228">
        <v>-8.9</v>
      </c>
      <c r="AG131" s="229">
        <v>2.3E-3</v>
      </c>
      <c r="AH131" s="228">
        <v>18.3</v>
      </c>
      <c r="AI131" s="228">
        <v>25.4</v>
      </c>
      <c r="AJ131" s="228">
        <v>-7.1</v>
      </c>
      <c r="AK131" s="229">
        <v>6.4000000000000003E-3</v>
      </c>
      <c r="AL131" s="228">
        <v>31.7</v>
      </c>
      <c r="AM131" s="228">
        <v>38.299999999999997</v>
      </c>
      <c r="AN131" s="228">
        <v>-6.6</v>
      </c>
      <c r="AO131" s="229">
        <v>1.0999999999999999E-2</v>
      </c>
      <c r="AP131" s="231">
        <v>2902.1</v>
      </c>
      <c r="AQ131" s="231">
        <v>2911.06</v>
      </c>
      <c r="AR131" s="228">
        <v>0</v>
      </c>
      <c r="AS131" s="228">
        <v>219</v>
      </c>
      <c r="AT131" s="228">
        <v>252</v>
      </c>
      <c r="AU131" s="228">
        <v>-33</v>
      </c>
      <c r="AV131" s="229">
        <v>-0.12989999999999999</v>
      </c>
      <c r="AW131" s="228">
        <v>190</v>
      </c>
      <c r="AX131" s="228">
        <v>236</v>
      </c>
      <c r="AY131" s="228">
        <v>-46</v>
      </c>
      <c r="AZ131" s="229">
        <v>-0.1956</v>
      </c>
      <c r="BA131" s="228">
        <v>28</v>
      </c>
      <c r="BB131" s="228">
        <v>15</v>
      </c>
      <c r="BC131" s="228">
        <v>13</v>
      </c>
      <c r="BD131" s="229">
        <v>0.81969999999999998</v>
      </c>
      <c r="BE131" s="228">
        <v>2</v>
      </c>
      <c r="BF131" s="228">
        <v>1</v>
      </c>
      <c r="BG131" s="228">
        <v>1</v>
      </c>
      <c r="BH131" s="229">
        <v>0.71430000000000005</v>
      </c>
      <c r="BI131" s="228">
        <v>932</v>
      </c>
      <c r="BJ131" s="228">
        <v>825</v>
      </c>
      <c r="BK131" s="228">
        <v>107</v>
      </c>
      <c r="BL131" s="229">
        <v>0.1293</v>
      </c>
      <c r="BM131" s="228">
        <v>301</v>
      </c>
      <c r="BN131" s="228">
        <v>278</v>
      </c>
      <c r="BO131" s="228">
        <v>24</v>
      </c>
      <c r="BP131" s="229">
        <v>8.5400000000000004E-2</v>
      </c>
      <c r="BQ131" s="230">
        <v>1452</v>
      </c>
      <c r="BR131" s="230">
        <v>1355</v>
      </c>
      <c r="BS131" s="228">
        <v>98</v>
      </c>
      <c r="BT131" s="229">
        <v>7.1999999999999995E-2</v>
      </c>
      <c r="BU131" s="230">
        <v>957027</v>
      </c>
      <c r="BV131" s="230">
        <v>922793</v>
      </c>
      <c r="BW131" s="230">
        <v>34234</v>
      </c>
      <c r="BX131" s="229">
        <v>3.7100000000000001E-2</v>
      </c>
      <c r="BY131" s="230">
        <v>1054</v>
      </c>
      <c r="BZ131" s="230">
        <v>1012</v>
      </c>
      <c r="CA131" s="228">
        <v>42</v>
      </c>
      <c r="CB131" s="229">
        <v>4.1599999999999998E-2</v>
      </c>
      <c r="CC131" s="228">
        <v>994</v>
      </c>
      <c r="CD131" s="228">
        <v>965</v>
      </c>
      <c r="CE131" s="228">
        <v>28</v>
      </c>
      <c r="CF131" s="229">
        <v>2.9399999999999999E-2</v>
      </c>
      <c r="CG131" s="228">
        <v>58</v>
      </c>
      <c r="CH131" s="228">
        <v>44</v>
      </c>
      <c r="CI131" s="228">
        <v>13</v>
      </c>
      <c r="CJ131" s="229">
        <v>0.2959</v>
      </c>
      <c r="CK131" s="228">
        <v>3</v>
      </c>
      <c r="CL131" s="228">
        <v>2</v>
      </c>
      <c r="CM131" s="228">
        <v>1</v>
      </c>
      <c r="CN131" s="229">
        <v>0.26090000000000002</v>
      </c>
      <c r="CO131" s="228">
        <v>714</v>
      </c>
      <c r="CP131" s="228">
        <v>614</v>
      </c>
      <c r="CQ131" s="228">
        <v>100</v>
      </c>
      <c r="CR131" s="229">
        <v>0.16320000000000001</v>
      </c>
      <c r="CS131" s="228">
        <v>396</v>
      </c>
      <c r="CT131" s="228">
        <v>364</v>
      </c>
      <c r="CU131" s="228">
        <v>32</v>
      </c>
      <c r="CV131" s="229">
        <v>8.9200000000000002E-2</v>
      </c>
      <c r="CW131" s="230">
        <v>2164</v>
      </c>
      <c r="CX131" s="230">
        <v>1990</v>
      </c>
      <c r="CY131" s="228">
        <v>175</v>
      </c>
      <c r="CZ131" s="229">
        <v>8.7800000000000003E-2</v>
      </c>
      <c r="DA131" s="228">
        <v>35.270000000000003</v>
      </c>
      <c r="DB131" s="228">
        <v>34.26</v>
      </c>
      <c r="DC131" s="228">
        <v>1.01</v>
      </c>
      <c r="DD131" s="228">
        <v>1.01</v>
      </c>
      <c r="DE131" s="228">
        <v>60.29</v>
      </c>
      <c r="DF131" s="228">
        <v>60.43</v>
      </c>
      <c r="DG131" s="228">
        <v>-25.02</v>
      </c>
      <c r="DH131" s="228">
        <v>-0.14000000000000001</v>
      </c>
      <c r="DI131" s="228">
        <v>35.42</v>
      </c>
      <c r="DJ131" s="228">
        <v>34.369999999999997</v>
      </c>
      <c r="DK131" s="228">
        <v>1.05</v>
      </c>
      <c r="DL131" s="228">
        <v>1.05</v>
      </c>
      <c r="DM131" s="228">
        <v>34.770000000000003</v>
      </c>
      <c r="DN131" s="228">
        <v>33.92</v>
      </c>
      <c r="DO131" s="228">
        <v>0.85</v>
      </c>
      <c r="DP131" s="228">
        <v>0.85</v>
      </c>
      <c r="DQ131" s="228">
        <v>0.56000000000000005</v>
      </c>
      <c r="DR131" s="228">
        <v>0.59</v>
      </c>
      <c r="DS131" s="228">
        <v>-0.03</v>
      </c>
      <c r="DT131" s="229">
        <v>-5.0799999999999998E-2</v>
      </c>
      <c r="DU131" s="231">
        <v>3000</v>
      </c>
      <c r="DV131" s="231">
        <v>2800</v>
      </c>
      <c r="DW131" s="228">
        <v>0.32</v>
      </c>
      <c r="DX131" s="228">
        <v>0.34</v>
      </c>
      <c r="DY131" s="228">
        <v>-0.02</v>
      </c>
      <c r="DZ131" s="229">
        <v>-5.8799999999999998E-2</v>
      </c>
      <c r="EA131" s="229">
        <v>5.7299999999999997E-2</v>
      </c>
      <c r="EB131" s="230">
        <v>162400</v>
      </c>
      <c r="EC131" s="229">
        <v>4.1000000000000003E-3</v>
      </c>
      <c r="ED131" s="229">
        <v>5.7299999999999997E-2</v>
      </c>
      <c r="EE131" s="228">
        <v>8.9600000000000009</v>
      </c>
      <c r="EF131" s="229">
        <v>3.0999999999999999E-3</v>
      </c>
      <c r="EG131" s="230">
        <v>236505</v>
      </c>
      <c r="EH131" s="230">
        <v>221146</v>
      </c>
      <c r="EI131" s="229">
        <v>6.9500000000000006E-2</v>
      </c>
      <c r="EJ131" s="229">
        <v>0.24709999999999999</v>
      </c>
      <c r="EK131" s="228">
        <v>991.11</v>
      </c>
      <c r="EL131" s="228">
        <v>300.29000000000002</v>
      </c>
      <c r="EM131" s="228">
        <v>221.48</v>
      </c>
      <c r="EN131" s="228">
        <v>32.450000000000003</v>
      </c>
      <c r="EO131" s="231">
        <v>1512.87</v>
      </c>
      <c r="EP131" s="231">
        <v>1390.73</v>
      </c>
      <c r="EQ131" s="228">
        <v>122.15</v>
      </c>
      <c r="ER131" s="229">
        <v>8.7800000000000003E-2</v>
      </c>
      <c r="ES131" s="228">
        <v>753.01</v>
      </c>
      <c r="ET131" s="228">
        <v>387.03</v>
      </c>
      <c r="EU131" s="231">
        <v>1054.54</v>
      </c>
      <c r="EV131" s="231">
        <v>11364224</v>
      </c>
      <c r="EW131" s="231">
        <v>2194.59</v>
      </c>
      <c r="EX131" s="231">
        <v>2024.47</v>
      </c>
      <c r="EY131" s="228">
        <v>170.12</v>
      </c>
      <c r="EZ131" s="229">
        <v>8.4000000000000005E-2</v>
      </c>
      <c r="FA131" s="229">
        <v>0.66210000000000002</v>
      </c>
      <c r="FB131" s="227" t="s">
        <v>567</v>
      </c>
      <c r="FC131">
        <f t="shared" ref="FC131:FC147" si="2">BY131-CC131</f>
        <v>60</v>
      </c>
    </row>
    <row r="132" spans="1:159" ht="17.25" thickBot="1" x14ac:dyDescent="0.3">
      <c r="A132" s="226">
        <v>45940</v>
      </c>
      <c r="B132" s="227" t="s">
        <v>175</v>
      </c>
      <c r="C132" s="227" t="s">
        <v>517</v>
      </c>
      <c r="D132" s="228">
        <v>125</v>
      </c>
      <c r="E132" s="228">
        <v>18</v>
      </c>
      <c r="F132" s="231">
        <v>8719.5</v>
      </c>
      <c r="G132" s="231">
        <v>8750.5</v>
      </c>
      <c r="H132" s="228">
        <v>-31</v>
      </c>
      <c r="I132" s="229">
        <v>-3.5000000000000001E-3</v>
      </c>
      <c r="J132" s="231">
        <v>8688.5</v>
      </c>
      <c r="K132" s="231">
        <v>8706</v>
      </c>
      <c r="L132" s="228">
        <v>-17.5</v>
      </c>
      <c r="M132" s="229">
        <v>-2E-3</v>
      </c>
      <c r="N132" s="231">
        <v>8719.5</v>
      </c>
      <c r="O132" s="231">
        <v>8750.5</v>
      </c>
      <c r="P132" s="228">
        <v>-31</v>
      </c>
      <c r="Q132" s="229">
        <v>-3.5000000000000001E-3</v>
      </c>
      <c r="R132" s="231">
        <v>8765</v>
      </c>
      <c r="S132" s="231">
        <v>8789.5</v>
      </c>
      <c r="T132" s="228">
        <v>-24.5</v>
      </c>
      <c r="U132" s="229">
        <v>-2.8E-3</v>
      </c>
      <c r="V132" s="231">
        <v>8797.5</v>
      </c>
      <c r="W132" s="231">
        <v>8834.5</v>
      </c>
      <c r="X132" s="228">
        <v>-37</v>
      </c>
      <c r="Y132" s="229">
        <v>-4.1999999999999997E-3</v>
      </c>
      <c r="Z132" s="228">
        <v>31</v>
      </c>
      <c r="AA132" s="228">
        <v>44.5</v>
      </c>
      <c r="AB132" s="228">
        <v>-13.5</v>
      </c>
      <c r="AC132" s="229">
        <v>3.5999999999999999E-3</v>
      </c>
      <c r="AD132" s="228">
        <v>31</v>
      </c>
      <c r="AE132" s="228">
        <v>44.5</v>
      </c>
      <c r="AF132" s="228">
        <v>-13.5</v>
      </c>
      <c r="AG132" s="229">
        <v>3.5999999999999999E-3</v>
      </c>
      <c r="AH132" s="228">
        <v>76.5</v>
      </c>
      <c r="AI132" s="228">
        <v>83.5</v>
      </c>
      <c r="AJ132" s="228">
        <v>-7</v>
      </c>
      <c r="AK132" s="229">
        <v>8.8000000000000005E-3</v>
      </c>
      <c r="AL132" s="228">
        <v>109</v>
      </c>
      <c r="AM132" s="228">
        <v>128.5</v>
      </c>
      <c r="AN132" s="228">
        <v>-19.5</v>
      </c>
      <c r="AO132" s="229">
        <v>1.2500000000000001E-2</v>
      </c>
      <c r="AP132" s="231">
        <v>8774.0400000000009</v>
      </c>
      <c r="AQ132" s="231">
        <v>8816.16</v>
      </c>
      <c r="AR132" s="228">
        <v>0</v>
      </c>
      <c r="AS132" s="230">
        <v>1029</v>
      </c>
      <c r="AT132" s="230">
        <v>1994</v>
      </c>
      <c r="AU132" s="228">
        <v>-964</v>
      </c>
      <c r="AV132" s="229">
        <v>-0.48380000000000001</v>
      </c>
      <c r="AW132" s="228">
        <v>954</v>
      </c>
      <c r="AX132" s="230">
        <v>1856</v>
      </c>
      <c r="AY132" s="228">
        <v>-901</v>
      </c>
      <c r="AZ132" s="229">
        <v>-0.48559999999999998</v>
      </c>
      <c r="BA132" s="228">
        <v>64</v>
      </c>
      <c r="BB132" s="228">
        <v>106</v>
      </c>
      <c r="BC132" s="228">
        <v>-43</v>
      </c>
      <c r="BD132" s="229">
        <v>-0.3992</v>
      </c>
      <c r="BE132" s="228">
        <v>11</v>
      </c>
      <c r="BF132" s="228">
        <v>31</v>
      </c>
      <c r="BG132" s="228">
        <v>-21</v>
      </c>
      <c r="BH132" s="229">
        <v>-0.66090000000000004</v>
      </c>
      <c r="BI132" s="230">
        <v>8107</v>
      </c>
      <c r="BJ132" s="230">
        <v>12849</v>
      </c>
      <c r="BK132" s="230">
        <v>-4742</v>
      </c>
      <c r="BL132" s="229">
        <v>-0.36899999999999999</v>
      </c>
      <c r="BM132" s="230">
        <v>3571</v>
      </c>
      <c r="BN132" s="230">
        <v>5939</v>
      </c>
      <c r="BO132" s="230">
        <v>-2368</v>
      </c>
      <c r="BP132" s="229">
        <v>-0.3987</v>
      </c>
      <c r="BQ132" s="230">
        <v>12707</v>
      </c>
      <c r="BR132" s="230">
        <v>20781</v>
      </c>
      <c r="BS132" s="230">
        <v>-8074</v>
      </c>
      <c r="BT132" s="229">
        <v>-0.38850000000000001</v>
      </c>
      <c r="BU132" s="230">
        <v>892298</v>
      </c>
      <c r="BV132" s="230">
        <v>1374766</v>
      </c>
      <c r="BW132" s="230">
        <v>-482468</v>
      </c>
      <c r="BX132" s="229">
        <v>-0.35089999999999999</v>
      </c>
      <c r="BY132" s="230">
        <v>2193</v>
      </c>
      <c r="BZ132" s="230">
        <v>2252</v>
      </c>
      <c r="CA132" s="228">
        <v>-59</v>
      </c>
      <c r="CB132" s="229">
        <v>-2.6200000000000001E-2</v>
      </c>
      <c r="CC132" s="230">
        <v>2121</v>
      </c>
      <c r="CD132" s="230">
        <v>2188</v>
      </c>
      <c r="CE132" s="228">
        <v>-67</v>
      </c>
      <c r="CF132" s="229">
        <v>-3.04E-2</v>
      </c>
      <c r="CG132" s="228">
        <v>56</v>
      </c>
      <c r="CH132" s="228">
        <v>50</v>
      </c>
      <c r="CI132" s="228">
        <v>6</v>
      </c>
      <c r="CJ132" s="229">
        <v>0.12640000000000001</v>
      </c>
      <c r="CK132" s="228">
        <v>16</v>
      </c>
      <c r="CL132" s="228">
        <v>15</v>
      </c>
      <c r="CM132" s="228">
        <v>1</v>
      </c>
      <c r="CN132" s="229">
        <v>8.8900000000000007E-2</v>
      </c>
      <c r="CO132" s="230">
        <v>1862</v>
      </c>
      <c r="CP132" s="230">
        <v>1479</v>
      </c>
      <c r="CQ132" s="228">
        <v>382</v>
      </c>
      <c r="CR132" s="229">
        <v>0.25840000000000002</v>
      </c>
      <c r="CS132" s="230">
        <v>1524</v>
      </c>
      <c r="CT132" s="230">
        <v>1415</v>
      </c>
      <c r="CU132" s="228">
        <v>110</v>
      </c>
      <c r="CV132" s="229">
        <v>7.7499999999999999E-2</v>
      </c>
      <c r="CW132" s="230">
        <v>5580</v>
      </c>
      <c r="CX132" s="230">
        <v>5147</v>
      </c>
      <c r="CY132" s="228">
        <v>433</v>
      </c>
      <c r="CZ132" s="229">
        <v>8.4099999999999994E-2</v>
      </c>
      <c r="DA132" s="228">
        <v>34.15</v>
      </c>
      <c r="DB132" s="228">
        <v>34.71</v>
      </c>
      <c r="DC132" s="228">
        <v>-0.56000000000000005</v>
      </c>
      <c r="DD132" s="228">
        <v>-0.56000000000000005</v>
      </c>
      <c r="DE132" s="228">
        <v>47.26</v>
      </c>
      <c r="DF132" s="228">
        <v>47.38</v>
      </c>
      <c r="DG132" s="228">
        <v>-13.11</v>
      </c>
      <c r="DH132" s="228">
        <v>-0.12</v>
      </c>
      <c r="DI132" s="228">
        <v>33.979999999999997</v>
      </c>
      <c r="DJ132" s="228">
        <v>34.06</v>
      </c>
      <c r="DK132" s="228">
        <v>-0.08</v>
      </c>
      <c r="DL132" s="228">
        <v>-0.08</v>
      </c>
      <c r="DM132" s="228">
        <v>34.54</v>
      </c>
      <c r="DN132" s="228">
        <v>36.119999999999997</v>
      </c>
      <c r="DO132" s="228">
        <v>-1.58</v>
      </c>
      <c r="DP132" s="228">
        <v>-1.58</v>
      </c>
      <c r="DQ132" s="228">
        <v>0.82</v>
      </c>
      <c r="DR132" s="228">
        <v>0.96</v>
      </c>
      <c r="DS132" s="228">
        <v>-0.14000000000000001</v>
      </c>
      <c r="DT132" s="229">
        <v>-0.14580000000000001</v>
      </c>
      <c r="DU132" s="231">
        <v>9000</v>
      </c>
      <c r="DV132" s="231">
        <v>8000</v>
      </c>
      <c r="DW132" s="228">
        <v>0.44</v>
      </c>
      <c r="DX132" s="228">
        <v>0.46</v>
      </c>
      <c r="DY132" s="228">
        <v>-0.02</v>
      </c>
      <c r="DZ132" s="229">
        <v>-4.3499999999999997E-2</v>
      </c>
      <c r="EA132" s="229">
        <v>3.3000000000000002E-2</v>
      </c>
      <c r="EB132" s="230">
        <v>74250</v>
      </c>
      <c r="EC132" s="229">
        <v>5.1999999999999998E-3</v>
      </c>
      <c r="ED132" s="229">
        <v>3.3000000000000002E-2</v>
      </c>
      <c r="EE132" s="228">
        <v>42.12</v>
      </c>
      <c r="EF132" s="229">
        <v>4.7999999999999996E-3</v>
      </c>
      <c r="EG132" s="230">
        <v>277873</v>
      </c>
      <c r="EH132" s="230">
        <v>357327</v>
      </c>
      <c r="EI132" s="229">
        <v>-0.22239999999999999</v>
      </c>
      <c r="EJ132" s="229">
        <v>0.31140000000000001</v>
      </c>
      <c r="EK132" s="231">
        <v>8615.35</v>
      </c>
      <c r="EL132" s="231">
        <v>3476.8</v>
      </c>
      <c r="EM132" s="231">
        <v>1035.97</v>
      </c>
      <c r="EN132" s="228">
        <v>79.959999999999994</v>
      </c>
      <c r="EO132" s="231">
        <v>13128.12</v>
      </c>
      <c r="EP132" s="231">
        <v>20929.52</v>
      </c>
      <c r="EQ132" s="231">
        <v>-7801.4</v>
      </c>
      <c r="ER132" s="229">
        <v>-0.37269999999999998</v>
      </c>
      <c r="ES132" s="231">
        <v>1902.82</v>
      </c>
      <c r="ET132" s="231">
        <v>1403.98</v>
      </c>
      <c r="EU132" s="231">
        <v>2193.7199999999998</v>
      </c>
      <c r="EV132" s="231">
        <v>7635422</v>
      </c>
      <c r="EW132" s="231">
        <v>5500.52</v>
      </c>
      <c r="EX132" s="231">
        <v>5047.07</v>
      </c>
      <c r="EY132" s="228">
        <v>453.45</v>
      </c>
      <c r="EZ132" s="229">
        <v>8.9800000000000005E-2</v>
      </c>
      <c r="FA132" s="229">
        <v>0.83809999999999996</v>
      </c>
      <c r="FB132" s="227" t="s">
        <v>568</v>
      </c>
      <c r="FC132">
        <f t="shared" si="2"/>
        <v>72</v>
      </c>
    </row>
    <row r="133" spans="1:159" ht="17.25" thickBot="1" x14ac:dyDescent="0.3">
      <c r="A133" s="226">
        <v>45940</v>
      </c>
      <c r="B133" s="227" t="s">
        <v>175</v>
      </c>
      <c r="C133" s="227" t="s">
        <v>257</v>
      </c>
      <c r="D133" s="228">
        <v>800</v>
      </c>
      <c r="E133" s="228">
        <v>18</v>
      </c>
      <c r="F133" s="231">
        <v>1590.1</v>
      </c>
      <c r="G133" s="231">
        <v>1601.4</v>
      </c>
      <c r="H133" s="228">
        <v>-11.3</v>
      </c>
      <c r="I133" s="229">
        <v>-7.1000000000000004E-3</v>
      </c>
      <c r="J133" s="231">
        <v>1581.7</v>
      </c>
      <c r="K133" s="231">
        <v>1596.2</v>
      </c>
      <c r="L133" s="228">
        <v>-14.5</v>
      </c>
      <c r="M133" s="229">
        <v>-9.1000000000000004E-3</v>
      </c>
      <c r="N133" s="231">
        <v>1590.1</v>
      </c>
      <c r="O133" s="231">
        <v>1601.4</v>
      </c>
      <c r="P133" s="228">
        <v>-11.3</v>
      </c>
      <c r="Q133" s="229">
        <v>-7.1000000000000004E-3</v>
      </c>
      <c r="R133" s="231">
        <v>1598.3</v>
      </c>
      <c r="S133" s="231">
        <v>1609.2</v>
      </c>
      <c r="T133" s="228">
        <v>-10.9</v>
      </c>
      <c r="U133" s="229">
        <v>-6.7999999999999996E-3</v>
      </c>
      <c r="V133" s="231">
        <v>1606</v>
      </c>
      <c r="W133" s="231">
        <v>1606</v>
      </c>
      <c r="X133" s="228">
        <v>0</v>
      </c>
      <c r="Y133" s="229">
        <v>0</v>
      </c>
      <c r="Z133" s="228">
        <v>8.4</v>
      </c>
      <c r="AA133" s="228">
        <v>5.2</v>
      </c>
      <c r="AB133" s="228">
        <v>3.2</v>
      </c>
      <c r="AC133" s="229">
        <v>5.3E-3</v>
      </c>
      <c r="AD133" s="228">
        <v>8.4</v>
      </c>
      <c r="AE133" s="228">
        <v>5.2</v>
      </c>
      <c r="AF133" s="228">
        <v>3.2</v>
      </c>
      <c r="AG133" s="229">
        <v>5.3E-3</v>
      </c>
      <c r="AH133" s="228">
        <v>16.600000000000001</v>
      </c>
      <c r="AI133" s="228">
        <v>13</v>
      </c>
      <c r="AJ133" s="228">
        <v>3.6</v>
      </c>
      <c r="AK133" s="229">
        <v>1.0500000000000001E-2</v>
      </c>
      <c r="AL133" s="228">
        <v>24.3</v>
      </c>
      <c r="AM133" s="228">
        <v>9.8000000000000007</v>
      </c>
      <c r="AN133" s="228">
        <v>14.5</v>
      </c>
      <c r="AO133" s="229">
        <v>1.54E-2</v>
      </c>
      <c r="AP133" s="231">
        <v>1599.84</v>
      </c>
      <c r="AQ133" s="231">
        <v>1608.75</v>
      </c>
      <c r="AR133" s="228">
        <v>0</v>
      </c>
      <c r="AS133" s="228">
        <v>152</v>
      </c>
      <c r="AT133" s="228">
        <v>148</v>
      </c>
      <c r="AU133" s="228">
        <v>3</v>
      </c>
      <c r="AV133" s="229">
        <v>2.1399999999999999E-2</v>
      </c>
      <c r="AW133" s="228">
        <v>148</v>
      </c>
      <c r="AX133" s="228">
        <v>146</v>
      </c>
      <c r="AY133" s="228">
        <v>3</v>
      </c>
      <c r="AZ133" s="229">
        <v>2.01E-2</v>
      </c>
      <c r="BA133" s="228">
        <v>3</v>
      </c>
      <c r="BB133" s="228">
        <v>3</v>
      </c>
      <c r="BC133" s="228">
        <v>0</v>
      </c>
      <c r="BD133" s="229">
        <v>0.13639999999999999</v>
      </c>
      <c r="BE133" s="228">
        <v>0</v>
      </c>
      <c r="BF133" s="228">
        <v>0</v>
      </c>
      <c r="BG133" s="228">
        <v>0</v>
      </c>
      <c r="BH133" s="229">
        <v>-1</v>
      </c>
      <c r="BI133" s="228">
        <v>155</v>
      </c>
      <c r="BJ133" s="228">
        <v>217</v>
      </c>
      <c r="BK133" s="228">
        <v>-62</v>
      </c>
      <c r="BL133" s="229">
        <v>-0.28699999999999998</v>
      </c>
      <c r="BM133" s="228">
        <v>54</v>
      </c>
      <c r="BN133" s="228">
        <v>97</v>
      </c>
      <c r="BO133" s="228">
        <v>-42</v>
      </c>
      <c r="BP133" s="229">
        <v>-0.43609999999999999</v>
      </c>
      <c r="BQ133" s="228">
        <v>361</v>
      </c>
      <c r="BR133" s="228">
        <v>462</v>
      </c>
      <c r="BS133" s="228">
        <v>-101</v>
      </c>
      <c r="BT133" s="229">
        <v>-0.219</v>
      </c>
      <c r="BU133" s="230">
        <v>535772</v>
      </c>
      <c r="BV133" s="230">
        <v>346142</v>
      </c>
      <c r="BW133" s="230">
        <v>189630</v>
      </c>
      <c r="BX133" s="229">
        <v>0.54779999999999995</v>
      </c>
      <c r="BY133" s="228">
        <v>944</v>
      </c>
      <c r="BZ133" s="228">
        <v>936</v>
      </c>
      <c r="CA133" s="228">
        <v>8</v>
      </c>
      <c r="CB133" s="229">
        <v>8.8000000000000005E-3</v>
      </c>
      <c r="CC133" s="228">
        <v>934</v>
      </c>
      <c r="CD133" s="228">
        <v>925</v>
      </c>
      <c r="CE133" s="228">
        <v>9</v>
      </c>
      <c r="CF133" s="229">
        <v>9.1999999999999998E-3</v>
      </c>
      <c r="CG133" s="228">
        <v>10</v>
      </c>
      <c r="CH133" s="228">
        <v>10</v>
      </c>
      <c r="CI133" s="228">
        <v>0</v>
      </c>
      <c r="CJ133" s="229">
        <v>-2.5600000000000001E-2</v>
      </c>
      <c r="CK133" s="228">
        <v>1</v>
      </c>
      <c r="CL133" s="228">
        <v>1</v>
      </c>
      <c r="CM133" s="228">
        <v>0</v>
      </c>
      <c r="CN133" s="229">
        <v>0</v>
      </c>
      <c r="CO133" s="228">
        <v>193</v>
      </c>
      <c r="CP133" s="228">
        <v>178</v>
      </c>
      <c r="CQ133" s="228">
        <v>15</v>
      </c>
      <c r="CR133" s="229">
        <v>8.3400000000000002E-2</v>
      </c>
      <c r="CS133" s="228">
        <v>119</v>
      </c>
      <c r="CT133" s="228">
        <v>117</v>
      </c>
      <c r="CU133" s="228">
        <v>2</v>
      </c>
      <c r="CV133" s="229">
        <v>2.07E-2</v>
      </c>
      <c r="CW133" s="230">
        <v>1257</v>
      </c>
      <c r="CX133" s="230">
        <v>1231</v>
      </c>
      <c r="CY133" s="228">
        <v>26</v>
      </c>
      <c r="CZ133" s="229">
        <v>2.0799999999999999E-2</v>
      </c>
      <c r="DA133" s="228">
        <v>24.12</v>
      </c>
      <c r="DB133" s="228">
        <v>24.62</v>
      </c>
      <c r="DC133" s="228">
        <v>-0.5</v>
      </c>
      <c r="DD133" s="228">
        <v>-0.5</v>
      </c>
      <c r="DE133" s="228">
        <v>30.54</v>
      </c>
      <c r="DF133" s="228">
        <v>30.6</v>
      </c>
      <c r="DG133" s="228">
        <v>-6.42</v>
      </c>
      <c r="DH133" s="228">
        <v>-0.06</v>
      </c>
      <c r="DI133" s="228">
        <v>24.08</v>
      </c>
      <c r="DJ133" s="228">
        <v>24.27</v>
      </c>
      <c r="DK133" s="228">
        <v>-0.19</v>
      </c>
      <c r="DL133" s="228">
        <v>-0.19</v>
      </c>
      <c r="DM133" s="228">
        <v>24.23</v>
      </c>
      <c r="DN133" s="228">
        <v>25.4</v>
      </c>
      <c r="DO133" s="228">
        <v>-1.17</v>
      </c>
      <c r="DP133" s="228">
        <v>-1.17</v>
      </c>
      <c r="DQ133" s="228">
        <v>0.62</v>
      </c>
      <c r="DR133" s="228">
        <v>0.65</v>
      </c>
      <c r="DS133" s="228">
        <v>-0.03</v>
      </c>
      <c r="DT133" s="229">
        <v>-4.6199999999999998E-2</v>
      </c>
      <c r="DU133" s="231">
        <v>1600</v>
      </c>
      <c r="DV133" s="231">
        <v>1500</v>
      </c>
      <c r="DW133" s="228">
        <v>0.35</v>
      </c>
      <c r="DX133" s="228">
        <v>0.45</v>
      </c>
      <c r="DY133" s="228">
        <v>-0.1</v>
      </c>
      <c r="DZ133" s="229">
        <v>-0.22220000000000001</v>
      </c>
      <c r="EA133" s="229">
        <v>1.09E-2</v>
      </c>
      <c r="EB133" s="230">
        <v>66400</v>
      </c>
      <c r="EC133" s="229">
        <v>5.1999999999999998E-3</v>
      </c>
      <c r="ED133" s="229">
        <v>1.09E-2</v>
      </c>
      <c r="EE133" s="228">
        <v>8.91</v>
      </c>
      <c r="EF133" s="229">
        <v>5.5999999999999999E-3</v>
      </c>
      <c r="EG133" s="230">
        <v>288777</v>
      </c>
      <c r="EH133" s="230">
        <v>169872</v>
      </c>
      <c r="EI133" s="229">
        <v>0.7</v>
      </c>
      <c r="EJ133" s="229">
        <v>0.53900000000000003</v>
      </c>
      <c r="EK133" s="228">
        <v>162.35</v>
      </c>
      <c r="EL133" s="228">
        <v>54.06</v>
      </c>
      <c r="EM133" s="228">
        <v>152.58000000000001</v>
      </c>
      <c r="EN133" s="228">
        <v>12.34</v>
      </c>
      <c r="EO133" s="228">
        <v>368.98</v>
      </c>
      <c r="EP133" s="228">
        <v>468.84</v>
      </c>
      <c r="EQ133" s="228">
        <v>-99.85</v>
      </c>
      <c r="ER133" s="229">
        <v>-0.21299999999999999</v>
      </c>
      <c r="ES133" s="228">
        <v>201.78</v>
      </c>
      <c r="ET133" s="228">
        <v>115.18</v>
      </c>
      <c r="EU133" s="228">
        <v>944.19</v>
      </c>
      <c r="EV133" s="231">
        <v>34712157</v>
      </c>
      <c r="EW133" s="231">
        <v>1261.1500000000001</v>
      </c>
      <c r="EX133" s="231">
        <v>1241.81</v>
      </c>
      <c r="EY133" s="228">
        <v>19.34</v>
      </c>
      <c r="EZ133" s="229">
        <v>1.5599999999999999E-2</v>
      </c>
      <c r="FA133" s="229">
        <v>0.22770000000000001</v>
      </c>
      <c r="FB133" s="227" t="s">
        <v>567</v>
      </c>
      <c r="FC133">
        <f t="shared" si="2"/>
        <v>10</v>
      </c>
    </row>
    <row r="134" spans="1:159" ht="17.25" thickBot="1" x14ac:dyDescent="0.3">
      <c r="A134" s="226">
        <v>45940</v>
      </c>
      <c r="B134" s="227" t="s">
        <v>181</v>
      </c>
      <c r="C134" s="227" t="s">
        <v>563</v>
      </c>
      <c r="D134" s="228">
        <v>140</v>
      </c>
      <c r="E134" s="228">
        <v>18</v>
      </c>
      <c r="F134" s="231">
        <v>13216.55</v>
      </c>
      <c r="G134" s="231">
        <v>13100.75</v>
      </c>
      <c r="H134" s="228">
        <v>115.8</v>
      </c>
      <c r="I134" s="229">
        <v>8.8000000000000005E-3</v>
      </c>
      <c r="J134" s="231">
        <v>13149.55</v>
      </c>
      <c r="K134" s="231">
        <v>13034.55</v>
      </c>
      <c r="L134" s="228">
        <v>115</v>
      </c>
      <c r="M134" s="229">
        <v>8.8000000000000005E-3</v>
      </c>
      <c r="N134" s="231">
        <v>13216.55</v>
      </c>
      <c r="O134" s="231">
        <v>13100.75</v>
      </c>
      <c r="P134" s="228">
        <v>115.8</v>
      </c>
      <c r="Q134" s="229">
        <v>8.8000000000000005E-3</v>
      </c>
      <c r="R134" s="231">
        <v>13272.2</v>
      </c>
      <c r="S134" s="231">
        <v>13157.1</v>
      </c>
      <c r="T134" s="228">
        <v>115.1</v>
      </c>
      <c r="U134" s="229">
        <v>8.6999999999999994E-3</v>
      </c>
      <c r="V134" s="231">
        <v>13329.5</v>
      </c>
      <c r="W134" s="231">
        <v>13210.9</v>
      </c>
      <c r="X134" s="228">
        <v>118.6</v>
      </c>
      <c r="Y134" s="229">
        <v>8.9999999999999993E-3</v>
      </c>
      <c r="Z134" s="228">
        <v>67</v>
      </c>
      <c r="AA134" s="228">
        <v>66.2</v>
      </c>
      <c r="AB134" s="228">
        <v>0.8</v>
      </c>
      <c r="AC134" s="229">
        <v>5.1000000000000004E-3</v>
      </c>
      <c r="AD134" s="228">
        <v>67</v>
      </c>
      <c r="AE134" s="228">
        <v>66.2</v>
      </c>
      <c r="AF134" s="228">
        <v>0.8</v>
      </c>
      <c r="AG134" s="229">
        <v>5.1000000000000004E-3</v>
      </c>
      <c r="AH134" s="228">
        <v>122.65</v>
      </c>
      <c r="AI134" s="228">
        <v>122.55</v>
      </c>
      <c r="AJ134" s="228">
        <v>0.1</v>
      </c>
      <c r="AK134" s="229">
        <v>9.2999999999999992E-3</v>
      </c>
      <c r="AL134" s="228">
        <v>179.95</v>
      </c>
      <c r="AM134" s="228">
        <v>176.35</v>
      </c>
      <c r="AN134" s="228">
        <v>3.6</v>
      </c>
      <c r="AO134" s="229">
        <v>1.37E-2</v>
      </c>
      <c r="AP134" s="231">
        <v>13208.43</v>
      </c>
      <c r="AQ134" s="231">
        <v>13256.52</v>
      </c>
      <c r="AR134" s="228">
        <v>0</v>
      </c>
      <c r="AS134" s="228">
        <v>678</v>
      </c>
      <c r="AT134" s="228">
        <v>673</v>
      </c>
      <c r="AU134" s="228">
        <v>6</v>
      </c>
      <c r="AV134" s="229">
        <v>8.5000000000000006E-3</v>
      </c>
      <c r="AW134" s="228">
        <v>621</v>
      </c>
      <c r="AX134" s="228">
        <v>631</v>
      </c>
      <c r="AY134" s="228">
        <v>-10</v>
      </c>
      <c r="AZ134" s="229">
        <v>-1.5800000000000002E-2</v>
      </c>
      <c r="BA134" s="228">
        <v>51</v>
      </c>
      <c r="BB134" s="228">
        <v>37</v>
      </c>
      <c r="BC134" s="228">
        <v>14</v>
      </c>
      <c r="BD134" s="229">
        <v>0.38500000000000001</v>
      </c>
      <c r="BE134" s="228">
        <v>6</v>
      </c>
      <c r="BF134" s="228">
        <v>4</v>
      </c>
      <c r="BG134" s="228">
        <v>1</v>
      </c>
      <c r="BH134" s="229">
        <v>0.3478</v>
      </c>
      <c r="BI134" s="230">
        <v>22805</v>
      </c>
      <c r="BJ134" s="230">
        <v>17046</v>
      </c>
      <c r="BK134" s="230">
        <v>5759</v>
      </c>
      <c r="BL134" s="229">
        <v>0.33789999999999998</v>
      </c>
      <c r="BM134" s="230">
        <v>23624</v>
      </c>
      <c r="BN134" s="230">
        <v>18719</v>
      </c>
      <c r="BO134" s="230">
        <v>4905</v>
      </c>
      <c r="BP134" s="229">
        <v>0.26200000000000001</v>
      </c>
      <c r="BQ134" s="230">
        <v>47107</v>
      </c>
      <c r="BR134" s="230">
        <v>36438</v>
      </c>
      <c r="BS134" s="230">
        <v>10670</v>
      </c>
      <c r="BT134" s="229">
        <v>0.2928</v>
      </c>
      <c r="BU134" s="228">
        <v>0</v>
      </c>
      <c r="BV134" s="228">
        <v>0</v>
      </c>
      <c r="BW134" s="228">
        <v>0</v>
      </c>
      <c r="BX134" s="229">
        <v>0</v>
      </c>
      <c r="BY134" s="230">
        <v>3564</v>
      </c>
      <c r="BZ134" s="230">
        <v>3621</v>
      </c>
      <c r="CA134" s="228">
        <v>-56</v>
      </c>
      <c r="CB134" s="229">
        <v>-1.55E-2</v>
      </c>
      <c r="CC134" s="230">
        <v>3440</v>
      </c>
      <c r="CD134" s="230">
        <v>3495</v>
      </c>
      <c r="CE134" s="228">
        <v>-55</v>
      </c>
      <c r="CF134" s="229">
        <v>-1.5800000000000002E-2</v>
      </c>
      <c r="CG134" s="228">
        <v>118</v>
      </c>
      <c r="CH134" s="228">
        <v>121</v>
      </c>
      <c r="CI134" s="228">
        <v>-3</v>
      </c>
      <c r="CJ134" s="229">
        <v>-2.29E-2</v>
      </c>
      <c r="CK134" s="228">
        <v>6</v>
      </c>
      <c r="CL134" s="228">
        <v>5</v>
      </c>
      <c r="CM134" s="228">
        <v>2</v>
      </c>
      <c r="CN134" s="229">
        <v>0.4</v>
      </c>
      <c r="CO134" s="230">
        <v>7901</v>
      </c>
      <c r="CP134" s="230">
        <v>7745</v>
      </c>
      <c r="CQ134" s="228">
        <v>156</v>
      </c>
      <c r="CR134" s="229">
        <v>2.01E-2</v>
      </c>
      <c r="CS134" s="230">
        <v>10158</v>
      </c>
      <c r="CT134" s="230">
        <v>9703</v>
      </c>
      <c r="CU134" s="228">
        <v>455</v>
      </c>
      <c r="CV134" s="229">
        <v>4.6899999999999997E-2</v>
      </c>
      <c r="CW134" s="230">
        <v>21623</v>
      </c>
      <c r="CX134" s="230">
        <v>21068</v>
      </c>
      <c r="CY134" s="228">
        <v>555</v>
      </c>
      <c r="CZ134" s="229">
        <v>2.63E-2</v>
      </c>
      <c r="DA134" s="228">
        <v>14.72</v>
      </c>
      <c r="DB134" s="228">
        <v>14.97</v>
      </c>
      <c r="DC134" s="228">
        <v>-0.25</v>
      </c>
      <c r="DD134" s="228">
        <v>-0.25</v>
      </c>
      <c r="DE134" s="228">
        <v>22.98</v>
      </c>
      <c r="DF134" s="228">
        <v>23.01</v>
      </c>
      <c r="DG134" s="228">
        <v>-8.26</v>
      </c>
      <c r="DH134" s="228">
        <v>-0.03</v>
      </c>
      <c r="DI134" s="228">
        <v>13.29</v>
      </c>
      <c r="DJ134" s="228">
        <v>13.99</v>
      </c>
      <c r="DK134" s="228">
        <v>-0.7</v>
      </c>
      <c r="DL134" s="228">
        <v>-0.7</v>
      </c>
      <c r="DM134" s="228">
        <v>16.100000000000001</v>
      </c>
      <c r="DN134" s="228">
        <v>15.86</v>
      </c>
      <c r="DO134" s="228">
        <v>0.24</v>
      </c>
      <c r="DP134" s="228">
        <v>0.24</v>
      </c>
      <c r="DQ134" s="228">
        <v>1.29</v>
      </c>
      <c r="DR134" s="228">
        <v>1.25</v>
      </c>
      <c r="DS134" s="228">
        <v>0.04</v>
      </c>
      <c r="DT134" s="229">
        <v>3.2000000000000001E-2</v>
      </c>
      <c r="DU134" s="231">
        <v>14000</v>
      </c>
      <c r="DV134" s="231">
        <v>13000</v>
      </c>
      <c r="DW134" s="228">
        <v>1.04</v>
      </c>
      <c r="DX134" s="228">
        <v>1.1000000000000001</v>
      </c>
      <c r="DY134" s="228">
        <v>-0.06</v>
      </c>
      <c r="DZ134" s="229">
        <v>-5.45E-2</v>
      </c>
      <c r="EA134" s="229">
        <v>3.5000000000000003E-2</v>
      </c>
      <c r="EB134" s="230">
        <v>95200</v>
      </c>
      <c r="EC134" s="229">
        <v>4.1999999999999997E-3</v>
      </c>
      <c r="ED134" s="229">
        <v>3.5000000000000003E-2</v>
      </c>
      <c r="EE134" s="228">
        <v>48.09</v>
      </c>
      <c r="EF134" s="229">
        <v>3.5999999999999999E-3</v>
      </c>
      <c r="EG134" s="228">
        <v>0</v>
      </c>
      <c r="EH134" s="228">
        <v>0</v>
      </c>
      <c r="EI134" s="229">
        <v>0</v>
      </c>
      <c r="EJ134" s="229">
        <v>0</v>
      </c>
      <c r="EK134" s="231">
        <v>23277.439999999999</v>
      </c>
      <c r="EL134" s="231">
        <v>22953.77</v>
      </c>
      <c r="EM134" s="228">
        <v>678.14</v>
      </c>
      <c r="EN134" s="228">
        <v>0</v>
      </c>
      <c r="EO134" s="231">
        <v>46909.36</v>
      </c>
      <c r="EP134" s="231">
        <v>36066.480000000003</v>
      </c>
      <c r="EQ134" s="231">
        <v>10842.88</v>
      </c>
      <c r="ER134" s="229">
        <v>0.30059999999999998</v>
      </c>
      <c r="ES134" s="231">
        <v>7968.91</v>
      </c>
      <c r="ET134" s="231">
        <v>9687.27</v>
      </c>
      <c r="EU134" s="231">
        <v>3565</v>
      </c>
      <c r="EV134" s="228">
        <v>0</v>
      </c>
      <c r="EW134" s="231">
        <v>21221.18</v>
      </c>
      <c r="EX134" s="231">
        <v>20579.23</v>
      </c>
      <c r="EY134" s="228">
        <v>641.95000000000005</v>
      </c>
      <c r="EZ134" s="229">
        <v>3.1199999999999999E-2</v>
      </c>
      <c r="FA134" s="229">
        <v>0</v>
      </c>
      <c r="FB134" s="227" t="s">
        <v>556</v>
      </c>
      <c r="FC134">
        <f t="shared" si="2"/>
        <v>124</v>
      </c>
    </row>
    <row r="135" spans="1:159" ht="17.25" thickBot="1" x14ac:dyDescent="0.3">
      <c r="A135" s="226">
        <v>45940</v>
      </c>
      <c r="B135" s="227" t="s">
        <v>162</v>
      </c>
      <c r="C135" s="227" t="s">
        <v>559</v>
      </c>
      <c r="D135" s="228">
        <v>6150</v>
      </c>
      <c r="E135" s="228">
        <v>18</v>
      </c>
      <c r="F135" s="228">
        <v>104.64</v>
      </c>
      <c r="G135" s="228">
        <v>103.91</v>
      </c>
      <c r="H135" s="228">
        <v>0.73</v>
      </c>
      <c r="I135" s="229">
        <v>7.0000000000000001E-3</v>
      </c>
      <c r="J135" s="228">
        <v>104.1</v>
      </c>
      <c r="K135" s="228">
        <v>103.44</v>
      </c>
      <c r="L135" s="228">
        <v>0.66</v>
      </c>
      <c r="M135" s="229">
        <v>6.4000000000000003E-3</v>
      </c>
      <c r="N135" s="228">
        <v>104.64</v>
      </c>
      <c r="O135" s="228">
        <v>103.91</v>
      </c>
      <c r="P135" s="228">
        <v>0.73</v>
      </c>
      <c r="Q135" s="229">
        <v>7.0000000000000001E-3</v>
      </c>
      <c r="R135" s="228">
        <v>105.28</v>
      </c>
      <c r="S135" s="228">
        <v>104.43</v>
      </c>
      <c r="T135" s="228">
        <v>0.85</v>
      </c>
      <c r="U135" s="229">
        <v>8.0999999999999996E-3</v>
      </c>
      <c r="V135" s="228">
        <v>105.8</v>
      </c>
      <c r="W135" s="228">
        <v>105.03</v>
      </c>
      <c r="X135" s="228">
        <v>0.77</v>
      </c>
      <c r="Y135" s="229">
        <v>7.3000000000000001E-3</v>
      </c>
      <c r="Z135" s="228">
        <v>0.54</v>
      </c>
      <c r="AA135" s="228">
        <v>0.47</v>
      </c>
      <c r="AB135" s="228">
        <v>7.0000000000000007E-2</v>
      </c>
      <c r="AC135" s="229">
        <v>5.1999999999999998E-3</v>
      </c>
      <c r="AD135" s="228">
        <v>0.54</v>
      </c>
      <c r="AE135" s="228">
        <v>0.47</v>
      </c>
      <c r="AF135" s="228">
        <v>7.0000000000000007E-2</v>
      </c>
      <c r="AG135" s="229">
        <v>5.1999999999999998E-3</v>
      </c>
      <c r="AH135" s="228">
        <v>1.18</v>
      </c>
      <c r="AI135" s="228">
        <v>0.99</v>
      </c>
      <c r="AJ135" s="228">
        <v>0.19</v>
      </c>
      <c r="AK135" s="229">
        <v>1.1299999999999999E-2</v>
      </c>
      <c r="AL135" s="228">
        <v>1.7</v>
      </c>
      <c r="AM135" s="228">
        <v>1.59</v>
      </c>
      <c r="AN135" s="228">
        <v>0.11</v>
      </c>
      <c r="AO135" s="229">
        <v>1.6299999999999999E-2</v>
      </c>
      <c r="AP135" s="228">
        <v>104.72</v>
      </c>
      <c r="AQ135" s="228">
        <v>105.21</v>
      </c>
      <c r="AR135" s="228">
        <v>0</v>
      </c>
      <c r="AS135" s="228">
        <v>225</v>
      </c>
      <c r="AT135" s="228">
        <v>269</v>
      </c>
      <c r="AU135" s="228">
        <v>-44</v>
      </c>
      <c r="AV135" s="229">
        <v>-0.16500000000000001</v>
      </c>
      <c r="AW135" s="228">
        <v>214</v>
      </c>
      <c r="AX135" s="228">
        <v>249</v>
      </c>
      <c r="AY135" s="228">
        <v>-35</v>
      </c>
      <c r="AZ135" s="229">
        <v>-0.1419</v>
      </c>
      <c r="BA135" s="228">
        <v>10</v>
      </c>
      <c r="BB135" s="228">
        <v>19</v>
      </c>
      <c r="BC135" s="228">
        <v>-9</v>
      </c>
      <c r="BD135" s="229">
        <v>-0.48110000000000003</v>
      </c>
      <c r="BE135" s="228">
        <v>1</v>
      </c>
      <c r="BF135" s="228">
        <v>2</v>
      </c>
      <c r="BG135" s="228">
        <v>0</v>
      </c>
      <c r="BH135" s="229">
        <v>-4.1700000000000001E-2</v>
      </c>
      <c r="BI135" s="228">
        <v>509</v>
      </c>
      <c r="BJ135" s="228">
        <v>529</v>
      </c>
      <c r="BK135" s="228">
        <v>-20</v>
      </c>
      <c r="BL135" s="229">
        <v>-3.7999999999999999E-2</v>
      </c>
      <c r="BM135" s="228">
        <v>147</v>
      </c>
      <c r="BN135" s="228">
        <v>255</v>
      </c>
      <c r="BO135" s="228">
        <v>-108</v>
      </c>
      <c r="BP135" s="229">
        <v>-0.4219</v>
      </c>
      <c r="BQ135" s="228">
        <v>881</v>
      </c>
      <c r="BR135" s="230">
        <v>1053</v>
      </c>
      <c r="BS135" s="228">
        <v>-172</v>
      </c>
      <c r="BT135" s="229">
        <v>-0.16339999999999999</v>
      </c>
      <c r="BU135" s="230">
        <v>10306119</v>
      </c>
      <c r="BV135" s="230">
        <v>14046051</v>
      </c>
      <c r="BW135" s="230">
        <v>-3739932</v>
      </c>
      <c r="BX135" s="229">
        <v>-0.26629999999999998</v>
      </c>
      <c r="BY135" s="230">
        <v>1733</v>
      </c>
      <c r="BZ135" s="230">
        <v>1729</v>
      </c>
      <c r="CA135" s="228">
        <v>4</v>
      </c>
      <c r="CB135" s="229">
        <v>2.2000000000000001E-3</v>
      </c>
      <c r="CC135" s="230">
        <v>1662</v>
      </c>
      <c r="CD135" s="230">
        <v>1659</v>
      </c>
      <c r="CE135" s="228">
        <v>3</v>
      </c>
      <c r="CF135" s="229">
        <v>1.6000000000000001E-3</v>
      </c>
      <c r="CG135" s="228">
        <v>65</v>
      </c>
      <c r="CH135" s="228">
        <v>64</v>
      </c>
      <c r="CI135" s="228">
        <v>1</v>
      </c>
      <c r="CJ135" s="229">
        <v>2.1100000000000001E-2</v>
      </c>
      <c r="CK135" s="228">
        <v>6</v>
      </c>
      <c r="CL135" s="228">
        <v>6</v>
      </c>
      <c r="CM135" s="228">
        <v>0</v>
      </c>
      <c r="CN135" s="229">
        <v>-0.04</v>
      </c>
      <c r="CO135" s="228">
        <v>609</v>
      </c>
      <c r="CP135" s="228">
        <v>594</v>
      </c>
      <c r="CQ135" s="228">
        <v>14</v>
      </c>
      <c r="CR135" s="229">
        <v>2.4199999999999999E-2</v>
      </c>
      <c r="CS135" s="228">
        <v>315</v>
      </c>
      <c r="CT135" s="228">
        <v>305</v>
      </c>
      <c r="CU135" s="228">
        <v>10</v>
      </c>
      <c r="CV135" s="229">
        <v>3.2899999999999999E-2</v>
      </c>
      <c r="CW135" s="230">
        <v>2657</v>
      </c>
      <c r="CX135" s="230">
        <v>2628</v>
      </c>
      <c r="CY135" s="228">
        <v>28</v>
      </c>
      <c r="CZ135" s="229">
        <v>1.0699999999999999E-2</v>
      </c>
      <c r="DA135" s="228">
        <v>31.49</v>
      </c>
      <c r="DB135" s="228">
        <v>32.58</v>
      </c>
      <c r="DC135" s="228">
        <v>-1.0900000000000001</v>
      </c>
      <c r="DD135" s="228">
        <v>-1.0900000000000001</v>
      </c>
      <c r="DE135" s="228">
        <v>41.32</v>
      </c>
      <c r="DF135" s="228">
        <v>41.41</v>
      </c>
      <c r="DG135" s="228">
        <v>-9.83</v>
      </c>
      <c r="DH135" s="228">
        <v>-0.09</v>
      </c>
      <c r="DI135" s="228">
        <v>31.74</v>
      </c>
      <c r="DJ135" s="228">
        <v>32.61</v>
      </c>
      <c r="DK135" s="228">
        <v>-0.87</v>
      </c>
      <c r="DL135" s="228">
        <v>-0.87</v>
      </c>
      <c r="DM135" s="228">
        <v>30.64</v>
      </c>
      <c r="DN135" s="228">
        <v>32.51</v>
      </c>
      <c r="DO135" s="228">
        <v>-1.87</v>
      </c>
      <c r="DP135" s="228">
        <v>-1.87</v>
      </c>
      <c r="DQ135" s="228">
        <v>0.52</v>
      </c>
      <c r="DR135" s="228">
        <v>0.51</v>
      </c>
      <c r="DS135" s="228">
        <v>0.01</v>
      </c>
      <c r="DT135" s="229">
        <v>1.9599999999999999E-2</v>
      </c>
      <c r="DU135" s="228">
        <v>110</v>
      </c>
      <c r="DV135" s="228">
        <v>100</v>
      </c>
      <c r="DW135" s="228">
        <v>0.28999999999999998</v>
      </c>
      <c r="DX135" s="228">
        <v>0.48</v>
      </c>
      <c r="DY135" s="228">
        <v>-0.19</v>
      </c>
      <c r="DZ135" s="229">
        <v>-0.39579999999999999</v>
      </c>
      <c r="EA135" s="229">
        <v>4.1200000000000001E-2</v>
      </c>
      <c r="EB135" s="230">
        <v>6721950</v>
      </c>
      <c r="EC135" s="229">
        <v>6.1000000000000004E-3</v>
      </c>
      <c r="ED135" s="229">
        <v>4.1200000000000001E-2</v>
      </c>
      <c r="EE135" s="228">
        <v>0.49</v>
      </c>
      <c r="EF135" s="229">
        <v>4.7000000000000002E-3</v>
      </c>
      <c r="EG135" s="230">
        <v>4451498</v>
      </c>
      <c r="EH135" s="230">
        <v>7698953</v>
      </c>
      <c r="EI135" s="229">
        <v>-0.42180000000000001</v>
      </c>
      <c r="EJ135" s="229">
        <v>0.43190000000000001</v>
      </c>
      <c r="EK135" s="228">
        <v>540.15</v>
      </c>
      <c r="EL135" s="228">
        <v>146.76</v>
      </c>
      <c r="EM135" s="228">
        <v>225.03</v>
      </c>
      <c r="EN135" s="228">
        <v>34.9</v>
      </c>
      <c r="EO135" s="228">
        <v>911.93</v>
      </c>
      <c r="EP135" s="231">
        <v>1068.46</v>
      </c>
      <c r="EQ135" s="228">
        <v>-156.52000000000001</v>
      </c>
      <c r="ER135" s="229">
        <v>-0.14649999999999999</v>
      </c>
      <c r="ES135" s="228">
        <v>647.32000000000005</v>
      </c>
      <c r="ET135" s="228">
        <v>307.16000000000003</v>
      </c>
      <c r="EU135" s="231">
        <v>1733.7</v>
      </c>
      <c r="EV135" s="231">
        <v>542522848</v>
      </c>
      <c r="EW135" s="231">
        <v>2688.18</v>
      </c>
      <c r="EX135" s="231">
        <v>2647.07</v>
      </c>
      <c r="EY135" s="228">
        <v>41.11</v>
      </c>
      <c r="EZ135" s="229">
        <v>1.55E-2</v>
      </c>
      <c r="FA135" s="229">
        <v>0.46789999999999998</v>
      </c>
      <c r="FB135" s="227" t="s">
        <v>555</v>
      </c>
      <c r="FC135">
        <f t="shared" si="2"/>
        <v>71</v>
      </c>
    </row>
    <row r="136" spans="1:159" ht="17.25" thickBot="1" x14ac:dyDescent="0.3">
      <c r="A136" s="226">
        <v>45940</v>
      </c>
      <c r="B136" s="227" t="s">
        <v>221</v>
      </c>
      <c r="C136" s="227" t="s">
        <v>487</v>
      </c>
      <c r="D136" s="228">
        <v>275</v>
      </c>
      <c r="E136" s="228">
        <v>18</v>
      </c>
      <c r="F136" s="231">
        <v>2794.9</v>
      </c>
      <c r="G136" s="231">
        <v>2822.6</v>
      </c>
      <c r="H136" s="228">
        <v>-27.7</v>
      </c>
      <c r="I136" s="229">
        <v>-9.7999999999999997E-3</v>
      </c>
      <c r="J136" s="231">
        <v>2783.2</v>
      </c>
      <c r="K136" s="231">
        <v>2807.2</v>
      </c>
      <c r="L136" s="228">
        <v>-24</v>
      </c>
      <c r="M136" s="229">
        <v>-8.5000000000000006E-3</v>
      </c>
      <c r="N136" s="231">
        <v>2794.9</v>
      </c>
      <c r="O136" s="231">
        <v>2822.6</v>
      </c>
      <c r="P136" s="228">
        <v>-27.7</v>
      </c>
      <c r="Q136" s="229">
        <v>-9.7999999999999997E-3</v>
      </c>
      <c r="R136" s="231">
        <v>2809.8</v>
      </c>
      <c r="S136" s="231">
        <v>2834.9</v>
      </c>
      <c r="T136" s="228">
        <v>-25.1</v>
      </c>
      <c r="U136" s="229">
        <v>-8.8999999999999999E-3</v>
      </c>
      <c r="V136" s="231">
        <v>2825.3</v>
      </c>
      <c r="W136" s="231">
        <v>2842.2</v>
      </c>
      <c r="X136" s="228">
        <v>-16.899999999999999</v>
      </c>
      <c r="Y136" s="229">
        <v>-5.8999999999999999E-3</v>
      </c>
      <c r="Z136" s="228">
        <v>11.7</v>
      </c>
      <c r="AA136" s="228">
        <v>15.4</v>
      </c>
      <c r="AB136" s="228">
        <v>-3.7</v>
      </c>
      <c r="AC136" s="229">
        <v>4.1999999999999997E-3</v>
      </c>
      <c r="AD136" s="228">
        <v>11.7</v>
      </c>
      <c r="AE136" s="228">
        <v>15.4</v>
      </c>
      <c r="AF136" s="228">
        <v>-3.7</v>
      </c>
      <c r="AG136" s="229">
        <v>4.1999999999999997E-3</v>
      </c>
      <c r="AH136" s="228">
        <v>26.6</v>
      </c>
      <c r="AI136" s="228">
        <v>27.7</v>
      </c>
      <c r="AJ136" s="228">
        <v>-1.1000000000000001</v>
      </c>
      <c r="AK136" s="229">
        <v>9.5999999999999992E-3</v>
      </c>
      <c r="AL136" s="228">
        <v>42.1</v>
      </c>
      <c r="AM136" s="228">
        <v>35</v>
      </c>
      <c r="AN136" s="228">
        <v>7.1</v>
      </c>
      <c r="AO136" s="229">
        <v>1.5100000000000001E-2</v>
      </c>
      <c r="AP136" s="231">
        <v>2798.5</v>
      </c>
      <c r="AQ136" s="231">
        <v>2815.95</v>
      </c>
      <c r="AR136" s="228">
        <v>0</v>
      </c>
      <c r="AS136" s="228">
        <v>198</v>
      </c>
      <c r="AT136" s="228">
        <v>228</v>
      </c>
      <c r="AU136" s="228">
        <v>-30</v>
      </c>
      <c r="AV136" s="229">
        <v>-0.13039999999999999</v>
      </c>
      <c r="AW136" s="228">
        <v>190</v>
      </c>
      <c r="AX136" s="228">
        <v>221</v>
      </c>
      <c r="AY136" s="228">
        <v>-31</v>
      </c>
      <c r="AZ136" s="229">
        <v>-0.14219999999999999</v>
      </c>
      <c r="BA136" s="228">
        <v>8</v>
      </c>
      <c r="BB136" s="228">
        <v>6</v>
      </c>
      <c r="BC136" s="228">
        <v>2</v>
      </c>
      <c r="BD136" s="229">
        <v>0.3836</v>
      </c>
      <c r="BE136" s="228">
        <v>0</v>
      </c>
      <c r="BF136" s="228">
        <v>1</v>
      </c>
      <c r="BG136" s="228">
        <v>0</v>
      </c>
      <c r="BH136" s="229">
        <v>-0.5</v>
      </c>
      <c r="BI136" s="228">
        <v>380</v>
      </c>
      <c r="BJ136" s="228">
        <v>348</v>
      </c>
      <c r="BK136" s="228">
        <v>32</v>
      </c>
      <c r="BL136" s="229">
        <v>9.1399999999999995E-2</v>
      </c>
      <c r="BM136" s="228">
        <v>181</v>
      </c>
      <c r="BN136" s="228">
        <v>119</v>
      </c>
      <c r="BO136" s="228">
        <v>62</v>
      </c>
      <c r="BP136" s="229">
        <v>0.5242</v>
      </c>
      <c r="BQ136" s="228">
        <v>759</v>
      </c>
      <c r="BR136" s="228">
        <v>695</v>
      </c>
      <c r="BS136" s="228">
        <v>64</v>
      </c>
      <c r="BT136" s="229">
        <v>9.2799999999999994E-2</v>
      </c>
      <c r="BU136" s="230">
        <v>306255</v>
      </c>
      <c r="BV136" s="230">
        <v>481305</v>
      </c>
      <c r="BW136" s="230">
        <v>-175050</v>
      </c>
      <c r="BX136" s="229">
        <v>-0.36370000000000002</v>
      </c>
      <c r="BY136" s="230">
        <v>1197</v>
      </c>
      <c r="BZ136" s="230">
        <v>1187</v>
      </c>
      <c r="CA136" s="228">
        <v>10</v>
      </c>
      <c r="CB136" s="229">
        <v>8.6999999999999994E-3</v>
      </c>
      <c r="CC136" s="230">
        <v>1180</v>
      </c>
      <c r="CD136" s="230">
        <v>1171</v>
      </c>
      <c r="CE136" s="228">
        <v>9</v>
      </c>
      <c r="CF136" s="229">
        <v>7.4999999999999997E-3</v>
      </c>
      <c r="CG136" s="228">
        <v>17</v>
      </c>
      <c r="CH136" s="228">
        <v>15</v>
      </c>
      <c r="CI136" s="228">
        <v>2</v>
      </c>
      <c r="CJ136" s="229">
        <v>0.1</v>
      </c>
      <c r="CK136" s="228">
        <v>1</v>
      </c>
      <c r="CL136" s="228">
        <v>1</v>
      </c>
      <c r="CM136" s="228">
        <v>0</v>
      </c>
      <c r="CN136" s="229">
        <v>0.1429</v>
      </c>
      <c r="CO136" s="228">
        <v>302</v>
      </c>
      <c r="CP136" s="228">
        <v>294</v>
      </c>
      <c r="CQ136" s="228">
        <v>8</v>
      </c>
      <c r="CR136" s="229">
        <v>2.8199999999999999E-2</v>
      </c>
      <c r="CS136" s="228">
        <v>176</v>
      </c>
      <c r="CT136" s="228">
        <v>177</v>
      </c>
      <c r="CU136" s="228">
        <v>-1</v>
      </c>
      <c r="CV136" s="229">
        <v>-8.2000000000000007E-3</v>
      </c>
      <c r="CW136" s="230">
        <v>1676</v>
      </c>
      <c r="CX136" s="230">
        <v>1658</v>
      </c>
      <c r="CY136" s="228">
        <v>17</v>
      </c>
      <c r="CZ136" s="229">
        <v>1.04E-2</v>
      </c>
      <c r="DA136" s="228">
        <v>29.33</v>
      </c>
      <c r="DB136" s="228">
        <v>30.15</v>
      </c>
      <c r="DC136" s="228">
        <v>-0.82</v>
      </c>
      <c r="DD136" s="228">
        <v>-0.82</v>
      </c>
      <c r="DE136" s="228">
        <v>37.82</v>
      </c>
      <c r="DF136" s="228">
        <v>37.89</v>
      </c>
      <c r="DG136" s="228">
        <v>-8.49</v>
      </c>
      <c r="DH136" s="228">
        <v>-7.0000000000000007E-2</v>
      </c>
      <c r="DI136" s="228">
        <v>29.11</v>
      </c>
      <c r="DJ136" s="228">
        <v>30.04</v>
      </c>
      <c r="DK136" s="228">
        <v>-0.93</v>
      </c>
      <c r="DL136" s="228">
        <v>-0.93</v>
      </c>
      <c r="DM136" s="228">
        <v>29.8</v>
      </c>
      <c r="DN136" s="228">
        <v>30.46</v>
      </c>
      <c r="DO136" s="228">
        <v>-0.66</v>
      </c>
      <c r="DP136" s="228">
        <v>-0.66</v>
      </c>
      <c r="DQ136" s="228">
        <v>0.57999999999999996</v>
      </c>
      <c r="DR136" s="228">
        <v>0.6</v>
      </c>
      <c r="DS136" s="228">
        <v>-0.02</v>
      </c>
      <c r="DT136" s="229">
        <v>-3.3300000000000003E-2</v>
      </c>
      <c r="DU136" s="231">
        <v>2900</v>
      </c>
      <c r="DV136" s="231">
        <v>2600</v>
      </c>
      <c r="DW136" s="228">
        <v>0.48</v>
      </c>
      <c r="DX136" s="228">
        <v>0.34</v>
      </c>
      <c r="DY136" s="228">
        <v>0.14000000000000001</v>
      </c>
      <c r="DZ136" s="229">
        <v>0.4118</v>
      </c>
      <c r="EA136" s="229">
        <v>1.46E-2</v>
      </c>
      <c r="EB136" s="230">
        <v>56925</v>
      </c>
      <c r="EC136" s="229">
        <v>5.3E-3</v>
      </c>
      <c r="ED136" s="229">
        <v>1.46E-2</v>
      </c>
      <c r="EE136" s="228">
        <v>17.45</v>
      </c>
      <c r="EF136" s="229">
        <v>6.1999999999999998E-3</v>
      </c>
      <c r="EG136" s="230">
        <v>124962</v>
      </c>
      <c r="EH136" s="230">
        <v>309982</v>
      </c>
      <c r="EI136" s="229">
        <v>-0.59689999999999999</v>
      </c>
      <c r="EJ136" s="229">
        <v>0.40799999999999997</v>
      </c>
      <c r="EK136" s="228">
        <v>398.04</v>
      </c>
      <c r="EL136" s="228">
        <v>177.97</v>
      </c>
      <c r="EM136" s="228">
        <v>198.14</v>
      </c>
      <c r="EN136" s="228">
        <v>30.44</v>
      </c>
      <c r="EO136" s="228">
        <v>774.15</v>
      </c>
      <c r="EP136" s="228">
        <v>717.62</v>
      </c>
      <c r="EQ136" s="228">
        <v>56.53</v>
      </c>
      <c r="ER136" s="229">
        <v>7.8799999999999995E-2</v>
      </c>
      <c r="ES136" s="228">
        <v>317.89999999999998</v>
      </c>
      <c r="ET136" s="228">
        <v>167.13</v>
      </c>
      <c r="EU136" s="231">
        <v>1197.49</v>
      </c>
      <c r="EV136" s="231">
        <v>14652855</v>
      </c>
      <c r="EW136" s="231">
        <v>1682.53</v>
      </c>
      <c r="EX136" s="231">
        <v>1676.81</v>
      </c>
      <c r="EY136" s="228">
        <v>5.72</v>
      </c>
      <c r="EZ136" s="229">
        <v>3.3999999999999998E-3</v>
      </c>
      <c r="FA136" s="229">
        <v>0.40910000000000002</v>
      </c>
      <c r="FB136" s="227" t="s">
        <v>567</v>
      </c>
      <c r="FC136">
        <f t="shared" si="2"/>
        <v>17</v>
      </c>
    </row>
    <row r="137" spans="1:159" ht="17.25" thickBot="1" x14ac:dyDescent="0.3">
      <c r="A137" s="226">
        <v>45940</v>
      </c>
      <c r="B137" s="227" t="s">
        <v>175</v>
      </c>
      <c r="C137" s="227" t="s">
        <v>262</v>
      </c>
      <c r="D137" s="228">
        <v>275</v>
      </c>
      <c r="E137" s="228">
        <v>18</v>
      </c>
      <c r="F137" s="231">
        <v>3175</v>
      </c>
      <c r="G137" s="231">
        <v>3254.5</v>
      </c>
      <c r="H137" s="228">
        <v>-79.5</v>
      </c>
      <c r="I137" s="229">
        <v>-2.4400000000000002E-2</v>
      </c>
      <c r="J137" s="231">
        <v>3156.9</v>
      </c>
      <c r="K137" s="231">
        <v>3249.5</v>
      </c>
      <c r="L137" s="228">
        <v>-92.6</v>
      </c>
      <c r="M137" s="229">
        <v>-2.8500000000000001E-2</v>
      </c>
      <c r="N137" s="231">
        <v>3175</v>
      </c>
      <c r="O137" s="231">
        <v>3254.5</v>
      </c>
      <c r="P137" s="228">
        <v>-79.5</v>
      </c>
      <c r="Q137" s="229">
        <v>-2.4400000000000002E-2</v>
      </c>
      <c r="R137" s="231">
        <v>3184.3</v>
      </c>
      <c r="S137" s="231">
        <v>3258.9</v>
      </c>
      <c r="T137" s="228">
        <v>-74.599999999999994</v>
      </c>
      <c r="U137" s="229">
        <v>-2.29E-2</v>
      </c>
      <c r="V137" s="231">
        <v>3191.1</v>
      </c>
      <c r="W137" s="231">
        <v>3260</v>
      </c>
      <c r="X137" s="228">
        <v>-68.900000000000006</v>
      </c>
      <c r="Y137" s="229">
        <v>-2.1100000000000001E-2</v>
      </c>
      <c r="Z137" s="228">
        <v>18.100000000000001</v>
      </c>
      <c r="AA137" s="228">
        <v>5</v>
      </c>
      <c r="AB137" s="228">
        <v>13.1</v>
      </c>
      <c r="AC137" s="229">
        <v>5.7000000000000002E-3</v>
      </c>
      <c r="AD137" s="228">
        <v>18.100000000000001</v>
      </c>
      <c r="AE137" s="228">
        <v>5</v>
      </c>
      <c r="AF137" s="228">
        <v>13.1</v>
      </c>
      <c r="AG137" s="229">
        <v>5.7000000000000002E-3</v>
      </c>
      <c r="AH137" s="228">
        <v>27.4</v>
      </c>
      <c r="AI137" s="228">
        <v>9.4</v>
      </c>
      <c r="AJ137" s="228">
        <v>18</v>
      </c>
      <c r="AK137" s="229">
        <v>8.6999999999999994E-3</v>
      </c>
      <c r="AL137" s="228">
        <v>34.200000000000003</v>
      </c>
      <c r="AM137" s="228">
        <v>10.5</v>
      </c>
      <c r="AN137" s="228">
        <v>23.7</v>
      </c>
      <c r="AO137" s="229">
        <v>1.0800000000000001E-2</v>
      </c>
      <c r="AP137" s="231">
        <v>3190.06</v>
      </c>
      <c r="AQ137" s="231">
        <v>3198.58</v>
      </c>
      <c r="AR137" s="228">
        <v>0</v>
      </c>
      <c r="AS137" s="228">
        <v>403</v>
      </c>
      <c r="AT137" s="228">
        <v>178</v>
      </c>
      <c r="AU137" s="228">
        <v>225</v>
      </c>
      <c r="AV137" s="229">
        <v>1.27</v>
      </c>
      <c r="AW137" s="228">
        <v>377</v>
      </c>
      <c r="AX137" s="228">
        <v>166</v>
      </c>
      <c r="AY137" s="228">
        <v>211</v>
      </c>
      <c r="AZ137" s="229">
        <v>1.2692000000000001</v>
      </c>
      <c r="BA137" s="228">
        <v>22</v>
      </c>
      <c r="BB137" s="228">
        <v>10</v>
      </c>
      <c r="BC137" s="228">
        <v>12</v>
      </c>
      <c r="BD137" s="229">
        <v>1.1879999999999999</v>
      </c>
      <c r="BE137" s="228">
        <v>4</v>
      </c>
      <c r="BF137" s="228">
        <v>1</v>
      </c>
      <c r="BG137" s="228">
        <v>3</v>
      </c>
      <c r="BH137" s="229">
        <v>2.0714000000000001</v>
      </c>
      <c r="BI137" s="230">
        <v>1343</v>
      </c>
      <c r="BJ137" s="228">
        <v>552</v>
      </c>
      <c r="BK137" s="228">
        <v>792</v>
      </c>
      <c r="BL137" s="229">
        <v>1.4347000000000001</v>
      </c>
      <c r="BM137" s="228">
        <v>849</v>
      </c>
      <c r="BN137" s="228">
        <v>368</v>
      </c>
      <c r="BO137" s="228">
        <v>481</v>
      </c>
      <c r="BP137" s="229">
        <v>1.3088</v>
      </c>
      <c r="BQ137" s="230">
        <v>2595</v>
      </c>
      <c r="BR137" s="230">
        <v>1097</v>
      </c>
      <c r="BS137" s="230">
        <v>1498</v>
      </c>
      <c r="BT137" s="229">
        <v>1.3658999999999999</v>
      </c>
      <c r="BU137" s="230">
        <v>571507</v>
      </c>
      <c r="BV137" s="230">
        <v>373406</v>
      </c>
      <c r="BW137" s="230">
        <v>198101</v>
      </c>
      <c r="BX137" s="229">
        <v>0.53049999999999997</v>
      </c>
      <c r="BY137" s="228">
        <v>864</v>
      </c>
      <c r="BZ137" s="228">
        <v>862</v>
      </c>
      <c r="CA137" s="228">
        <v>1</v>
      </c>
      <c r="CB137" s="229">
        <v>1.6000000000000001E-3</v>
      </c>
      <c r="CC137" s="228">
        <v>825</v>
      </c>
      <c r="CD137" s="228">
        <v>821</v>
      </c>
      <c r="CE137" s="228">
        <v>4</v>
      </c>
      <c r="CF137" s="229">
        <v>5.3E-3</v>
      </c>
      <c r="CG137" s="228">
        <v>31</v>
      </c>
      <c r="CH137" s="228">
        <v>34</v>
      </c>
      <c r="CI137" s="228">
        <v>-3</v>
      </c>
      <c r="CJ137" s="229">
        <v>-7.5300000000000006E-2</v>
      </c>
      <c r="CK137" s="228">
        <v>7</v>
      </c>
      <c r="CL137" s="228">
        <v>8</v>
      </c>
      <c r="CM137" s="228">
        <v>0</v>
      </c>
      <c r="CN137" s="229">
        <v>-5.62E-2</v>
      </c>
      <c r="CO137" s="228">
        <v>703</v>
      </c>
      <c r="CP137" s="228">
        <v>640</v>
      </c>
      <c r="CQ137" s="228">
        <v>63</v>
      </c>
      <c r="CR137" s="229">
        <v>9.8199999999999996E-2</v>
      </c>
      <c r="CS137" s="228">
        <v>436</v>
      </c>
      <c r="CT137" s="228">
        <v>453</v>
      </c>
      <c r="CU137" s="228">
        <v>-17</v>
      </c>
      <c r="CV137" s="229">
        <v>-3.8399999999999997E-2</v>
      </c>
      <c r="CW137" s="230">
        <v>2002</v>
      </c>
      <c r="CX137" s="230">
        <v>1955</v>
      </c>
      <c r="CY137" s="228">
        <v>47</v>
      </c>
      <c r="CZ137" s="229">
        <v>2.4E-2</v>
      </c>
      <c r="DA137" s="228">
        <v>26.09</v>
      </c>
      <c r="DB137" s="228">
        <v>25.9</v>
      </c>
      <c r="DC137" s="228">
        <v>0.19</v>
      </c>
      <c r="DD137" s="228">
        <v>0.19</v>
      </c>
      <c r="DE137" s="228">
        <v>36.29</v>
      </c>
      <c r="DF137" s="228">
        <v>36.22</v>
      </c>
      <c r="DG137" s="228">
        <v>-10.199999999999999</v>
      </c>
      <c r="DH137" s="228">
        <v>7.0000000000000007E-2</v>
      </c>
      <c r="DI137" s="228">
        <v>25.97</v>
      </c>
      <c r="DJ137" s="228">
        <v>25.04</v>
      </c>
      <c r="DK137" s="228">
        <v>0.93</v>
      </c>
      <c r="DL137" s="228">
        <v>0.93</v>
      </c>
      <c r="DM137" s="228">
        <v>26.28</v>
      </c>
      <c r="DN137" s="228">
        <v>27.2</v>
      </c>
      <c r="DO137" s="228">
        <v>-0.92</v>
      </c>
      <c r="DP137" s="228">
        <v>-0.92</v>
      </c>
      <c r="DQ137" s="228">
        <v>0.62</v>
      </c>
      <c r="DR137" s="228">
        <v>0.71</v>
      </c>
      <c r="DS137" s="228">
        <v>-0.09</v>
      </c>
      <c r="DT137" s="229">
        <v>-0.1268</v>
      </c>
      <c r="DU137" s="231">
        <v>3200</v>
      </c>
      <c r="DV137" s="231">
        <v>3200</v>
      </c>
      <c r="DW137" s="228">
        <v>0.63</v>
      </c>
      <c r="DX137" s="228">
        <v>0.67</v>
      </c>
      <c r="DY137" s="228">
        <v>-0.04</v>
      </c>
      <c r="DZ137" s="229">
        <v>-5.9700000000000003E-2</v>
      </c>
      <c r="EA137" s="229">
        <v>4.4499999999999998E-2</v>
      </c>
      <c r="EB137" s="230">
        <v>130350</v>
      </c>
      <c r="EC137" s="229">
        <v>2.8999999999999998E-3</v>
      </c>
      <c r="ED137" s="229">
        <v>4.4499999999999998E-2</v>
      </c>
      <c r="EE137" s="228">
        <v>8.52</v>
      </c>
      <c r="EF137" s="229">
        <v>2.7000000000000001E-3</v>
      </c>
      <c r="EG137" s="230">
        <v>281243</v>
      </c>
      <c r="EH137" s="230">
        <v>208994</v>
      </c>
      <c r="EI137" s="229">
        <v>0.34570000000000001</v>
      </c>
      <c r="EJ137" s="229">
        <v>0.49209999999999998</v>
      </c>
      <c r="EK137" s="231">
        <v>1414.9</v>
      </c>
      <c r="EL137" s="228">
        <v>843.55</v>
      </c>
      <c r="EM137" s="228">
        <v>404.93</v>
      </c>
      <c r="EN137" s="228">
        <v>26.65</v>
      </c>
      <c r="EO137" s="231">
        <v>2663.38</v>
      </c>
      <c r="EP137" s="231">
        <v>1141.25</v>
      </c>
      <c r="EQ137" s="231">
        <v>1522.12</v>
      </c>
      <c r="ER137" s="229">
        <v>1.3337000000000001</v>
      </c>
      <c r="ES137" s="228">
        <v>714.69</v>
      </c>
      <c r="ET137" s="228">
        <v>416.48</v>
      </c>
      <c r="EU137" s="228">
        <v>863.82</v>
      </c>
      <c r="EV137" s="231">
        <v>16050690</v>
      </c>
      <c r="EW137" s="231">
        <v>1994.99</v>
      </c>
      <c r="EX137" s="231">
        <v>1970.43</v>
      </c>
      <c r="EY137" s="228">
        <v>24.56</v>
      </c>
      <c r="EZ137" s="229">
        <v>1.2500000000000001E-2</v>
      </c>
      <c r="FA137" s="229">
        <v>0.39290000000000003</v>
      </c>
      <c r="FB137" s="227" t="s">
        <v>567</v>
      </c>
      <c r="FC137">
        <f t="shared" si="2"/>
        <v>39</v>
      </c>
    </row>
    <row r="138" spans="1:159" ht="17.25" thickBot="1" x14ac:dyDescent="0.3">
      <c r="A138" s="226">
        <v>45940</v>
      </c>
      <c r="B138" s="227" t="s">
        <v>227</v>
      </c>
      <c r="C138" s="227" t="s">
        <v>263</v>
      </c>
      <c r="D138" s="228">
        <v>3750</v>
      </c>
      <c r="E138" s="228">
        <v>18</v>
      </c>
      <c r="F138" s="228">
        <v>225.25</v>
      </c>
      <c r="G138" s="228">
        <v>230.75</v>
      </c>
      <c r="H138" s="228">
        <v>-5.5</v>
      </c>
      <c r="I138" s="229">
        <v>-2.3800000000000002E-2</v>
      </c>
      <c r="J138" s="228">
        <v>224.3</v>
      </c>
      <c r="K138" s="228">
        <v>229.55</v>
      </c>
      <c r="L138" s="228">
        <v>-5.25</v>
      </c>
      <c r="M138" s="229">
        <v>-2.29E-2</v>
      </c>
      <c r="N138" s="228">
        <v>225.25</v>
      </c>
      <c r="O138" s="228">
        <v>230.75</v>
      </c>
      <c r="P138" s="228">
        <v>-5.5</v>
      </c>
      <c r="Q138" s="229">
        <v>-2.3800000000000002E-2</v>
      </c>
      <c r="R138" s="228">
        <v>225.36</v>
      </c>
      <c r="S138" s="228">
        <v>231.13</v>
      </c>
      <c r="T138" s="228">
        <v>-5.77</v>
      </c>
      <c r="U138" s="229">
        <v>-2.5000000000000001E-2</v>
      </c>
      <c r="V138" s="228">
        <v>226.13</v>
      </c>
      <c r="W138" s="228">
        <v>231.54</v>
      </c>
      <c r="X138" s="228">
        <v>-5.41</v>
      </c>
      <c r="Y138" s="229">
        <v>-2.3400000000000001E-2</v>
      </c>
      <c r="Z138" s="228">
        <v>0.95</v>
      </c>
      <c r="AA138" s="228">
        <v>1.2</v>
      </c>
      <c r="AB138" s="228">
        <v>-0.25</v>
      </c>
      <c r="AC138" s="229">
        <v>4.1999999999999997E-3</v>
      </c>
      <c r="AD138" s="228">
        <v>0.95</v>
      </c>
      <c r="AE138" s="228">
        <v>1.2</v>
      </c>
      <c r="AF138" s="228">
        <v>-0.25</v>
      </c>
      <c r="AG138" s="229">
        <v>4.1999999999999997E-3</v>
      </c>
      <c r="AH138" s="228">
        <v>1.06</v>
      </c>
      <c r="AI138" s="228">
        <v>1.58</v>
      </c>
      <c r="AJ138" s="228">
        <v>-0.52</v>
      </c>
      <c r="AK138" s="229">
        <v>4.7000000000000002E-3</v>
      </c>
      <c r="AL138" s="228">
        <v>1.83</v>
      </c>
      <c r="AM138" s="228">
        <v>1.99</v>
      </c>
      <c r="AN138" s="228">
        <v>-0.16</v>
      </c>
      <c r="AO138" s="229">
        <v>8.2000000000000007E-3</v>
      </c>
      <c r="AP138" s="228">
        <v>225.94</v>
      </c>
      <c r="AQ138" s="228">
        <v>226.13</v>
      </c>
      <c r="AR138" s="228">
        <v>0</v>
      </c>
      <c r="AS138" s="228">
        <v>510</v>
      </c>
      <c r="AT138" s="228">
        <v>770</v>
      </c>
      <c r="AU138" s="228">
        <v>-259</v>
      </c>
      <c r="AV138" s="229">
        <v>-0.3367</v>
      </c>
      <c r="AW138" s="228">
        <v>468</v>
      </c>
      <c r="AX138" s="228">
        <v>708</v>
      </c>
      <c r="AY138" s="228">
        <v>-241</v>
      </c>
      <c r="AZ138" s="229">
        <v>-0.34</v>
      </c>
      <c r="BA138" s="228">
        <v>39</v>
      </c>
      <c r="BB138" s="228">
        <v>54</v>
      </c>
      <c r="BC138" s="228">
        <v>-15</v>
      </c>
      <c r="BD138" s="229">
        <v>-0.27789999999999998</v>
      </c>
      <c r="BE138" s="228">
        <v>4</v>
      </c>
      <c r="BF138" s="228">
        <v>7</v>
      </c>
      <c r="BG138" s="228">
        <v>-3</v>
      </c>
      <c r="BH138" s="229">
        <v>-0.45450000000000002</v>
      </c>
      <c r="BI138" s="230">
        <v>1297</v>
      </c>
      <c r="BJ138" s="230">
        <v>2926</v>
      </c>
      <c r="BK138" s="230">
        <v>-1629</v>
      </c>
      <c r="BL138" s="229">
        <v>-0.55689999999999995</v>
      </c>
      <c r="BM138" s="228">
        <v>703</v>
      </c>
      <c r="BN138" s="230">
        <v>1618</v>
      </c>
      <c r="BO138" s="228">
        <v>-915</v>
      </c>
      <c r="BP138" s="229">
        <v>-0.56559999999999999</v>
      </c>
      <c r="BQ138" s="230">
        <v>2510</v>
      </c>
      <c r="BR138" s="230">
        <v>5314</v>
      </c>
      <c r="BS138" s="230">
        <v>-2804</v>
      </c>
      <c r="BT138" s="229">
        <v>-0.52769999999999995</v>
      </c>
      <c r="BU138" s="230">
        <v>10142827</v>
      </c>
      <c r="BV138" s="230">
        <v>22910262</v>
      </c>
      <c r="BW138" s="230">
        <v>-12767435</v>
      </c>
      <c r="BX138" s="229">
        <v>-0.55730000000000002</v>
      </c>
      <c r="BY138" s="230">
        <v>1820</v>
      </c>
      <c r="BZ138" s="230">
        <v>1791</v>
      </c>
      <c r="CA138" s="228">
        <v>29</v>
      </c>
      <c r="CB138" s="229">
        <v>1.6299999999999999E-2</v>
      </c>
      <c r="CC138" s="230">
        <v>1745</v>
      </c>
      <c r="CD138" s="230">
        <v>1727</v>
      </c>
      <c r="CE138" s="228">
        <v>18</v>
      </c>
      <c r="CF138" s="229">
        <v>1.03E-2</v>
      </c>
      <c r="CG138" s="228">
        <v>66</v>
      </c>
      <c r="CH138" s="228">
        <v>57</v>
      </c>
      <c r="CI138" s="228">
        <v>9</v>
      </c>
      <c r="CJ138" s="229">
        <v>0.16470000000000001</v>
      </c>
      <c r="CK138" s="228">
        <v>9</v>
      </c>
      <c r="CL138" s="228">
        <v>7</v>
      </c>
      <c r="CM138" s="228">
        <v>2</v>
      </c>
      <c r="CN138" s="229">
        <v>0.30769999999999997</v>
      </c>
      <c r="CO138" s="228">
        <v>717</v>
      </c>
      <c r="CP138" s="228">
        <v>658</v>
      </c>
      <c r="CQ138" s="228">
        <v>59</v>
      </c>
      <c r="CR138" s="229">
        <v>8.9899999999999994E-2</v>
      </c>
      <c r="CS138" s="228">
        <v>567</v>
      </c>
      <c r="CT138" s="228">
        <v>588</v>
      </c>
      <c r="CU138" s="228">
        <v>-20</v>
      </c>
      <c r="CV138" s="229">
        <v>-3.4500000000000003E-2</v>
      </c>
      <c r="CW138" s="230">
        <v>3104</v>
      </c>
      <c r="CX138" s="230">
        <v>3036</v>
      </c>
      <c r="CY138" s="228">
        <v>68</v>
      </c>
      <c r="CZ138" s="229">
        <v>2.24E-2</v>
      </c>
      <c r="DA138" s="228">
        <v>31.91</v>
      </c>
      <c r="DB138" s="228">
        <v>31.42</v>
      </c>
      <c r="DC138" s="228">
        <v>0.49</v>
      </c>
      <c r="DD138" s="228">
        <v>0.49</v>
      </c>
      <c r="DE138" s="228">
        <v>48.07</v>
      </c>
      <c r="DF138" s="228">
        <v>48.09</v>
      </c>
      <c r="DG138" s="228">
        <v>-16.16</v>
      </c>
      <c r="DH138" s="228">
        <v>-0.02</v>
      </c>
      <c r="DI138" s="228">
        <v>31.94</v>
      </c>
      <c r="DJ138" s="228">
        <v>30.92</v>
      </c>
      <c r="DK138" s="228">
        <v>1.02</v>
      </c>
      <c r="DL138" s="228">
        <v>1.02</v>
      </c>
      <c r="DM138" s="228">
        <v>31.84</v>
      </c>
      <c r="DN138" s="228">
        <v>32.340000000000003</v>
      </c>
      <c r="DO138" s="228">
        <v>-0.5</v>
      </c>
      <c r="DP138" s="228">
        <v>-0.5</v>
      </c>
      <c r="DQ138" s="228">
        <v>0.79</v>
      </c>
      <c r="DR138" s="228">
        <v>0.89</v>
      </c>
      <c r="DS138" s="228">
        <v>-0.1</v>
      </c>
      <c r="DT138" s="229">
        <v>-0.1124</v>
      </c>
      <c r="DU138" s="228">
        <v>230</v>
      </c>
      <c r="DV138" s="228">
        <v>220</v>
      </c>
      <c r="DW138" s="228">
        <v>0.54</v>
      </c>
      <c r="DX138" s="228">
        <v>0.55000000000000004</v>
      </c>
      <c r="DY138" s="228">
        <v>-0.01</v>
      </c>
      <c r="DZ138" s="229">
        <v>-1.8200000000000001E-2</v>
      </c>
      <c r="EA138" s="229">
        <v>4.1200000000000001E-2</v>
      </c>
      <c r="EB138" s="230">
        <v>2820000</v>
      </c>
      <c r="EC138" s="229">
        <v>5.0000000000000001E-4</v>
      </c>
      <c r="ED138" s="229">
        <v>4.1200000000000001E-2</v>
      </c>
      <c r="EE138" s="228">
        <v>0.19</v>
      </c>
      <c r="EF138" s="229">
        <v>8.0000000000000004E-4</v>
      </c>
      <c r="EG138" s="230">
        <v>3789599</v>
      </c>
      <c r="EH138" s="230">
        <v>6311960</v>
      </c>
      <c r="EI138" s="229">
        <v>-0.39960000000000001</v>
      </c>
      <c r="EJ138" s="229">
        <v>0.37359999999999999</v>
      </c>
      <c r="EK138" s="231">
        <v>1363.66</v>
      </c>
      <c r="EL138" s="228">
        <v>703.89</v>
      </c>
      <c r="EM138" s="228">
        <v>512.05999999999995</v>
      </c>
      <c r="EN138" s="228">
        <v>77.97</v>
      </c>
      <c r="EO138" s="231">
        <v>2579.6</v>
      </c>
      <c r="EP138" s="231">
        <v>5512.13</v>
      </c>
      <c r="EQ138" s="231">
        <v>-2932.53</v>
      </c>
      <c r="ER138" s="229">
        <v>-0.53200000000000003</v>
      </c>
      <c r="ES138" s="228">
        <v>731.01</v>
      </c>
      <c r="ET138" s="228">
        <v>539.21</v>
      </c>
      <c r="EU138" s="231">
        <v>1820.11</v>
      </c>
      <c r="EV138" s="231">
        <v>134225816</v>
      </c>
      <c r="EW138" s="231">
        <v>3090.33</v>
      </c>
      <c r="EX138" s="231">
        <v>3062.65</v>
      </c>
      <c r="EY138" s="228">
        <v>27.68</v>
      </c>
      <c r="EZ138" s="229">
        <v>8.9999999999999993E-3</v>
      </c>
      <c r="FA138" s="229">
        <v>1.0266999999999999</v>
      </c>
      <c r="FB138" s="227" t="s">
        <v>567</v>
      </c>
      <c r="FC138">
        <f t="shared" si="2"/>
        <v>75</v>
      </c>
    </row>
    <row r="139" spans="1:159" ht="17.25" thickBot="1" x14ac:dyDescent="0.3">
      <c r="A139" s="226">
        <v>45940</v>
      </c>
      <c r="B139" s="227" t="s">
        <v>616</v>
      </c>
      <c r="C139" s="227" t="s">
        <v>264</v>
      </c>
      <c r="D139" s="228">
        <v>375</v>
      </c>
      <c r="E139" s="228">
        <v>18</v>
      </c>
      <c r="F139" s="231">
        <v>1339.4</v>
      </c>
      <c r="G139" s="231">
        <v>1351.8</v>
      </c>
      <c r="H139" s="228">
        <v>-12.4</v>
      </c>
      <c r="I139" s="229">
        <v>-9.1999999999999998E-3</v>
      </c>
      <c r="J139" s="231">
        <v>1333.1</v>
      </c>
      <c r="K139" s="231">
        <v>1346.5</v>
      </c>
      <c r="L139" s="228">
        <v>-13.4</v>
      </c>
      <c r="M139" s="229">
        <v>-0.01</v>
      </c>
      <c r="N139" s="231">
        <v>1339.4</v>
      </c>
      <c r="O139" s="231">
        <v>1351.8</v>
      </c>
      <c r="P139" s="228">
        <v>-12.4</v>
      </c>
      <c r="Q139" s="229">
        <v>-9.1999999999999998E-3</v>
      </c>
      <c r="R139" s="231">
        <v>1345.6</v>
      </c>
      <c r="S139" s="231">
        <v>1355.8</v>
      </c>
      <c r="T139" s="228">
        <v>-10.199999999999999</v>
      </c>
      <c r="U139" s="229">
        <v>-7.4999999999999997E-3</v>
      </c>
      <c r="V139" s="231">
        <v>1351</v>
      </c>
      <c r="W139" s="231">
        <v>1362.7</v>
      </c>
      <c r="X139" s="228">
        <v>-11.7</v>
      </c>
      <c r="Y139" s="229">
        <v>-8.6E-3</v>
      </c>
      <c r="Z139" s="228">
        <v>6.3</v>
      </c>
      <c r="AA139" s="228">
        <v>5.3</v>
      </c>
      <c r="AB139" s="228">
        <v>1</v>
      </c>
      <c r="AC139" s="229">
        <v>4.7000000000000002E-3</v>
      </c>
      <c r="AD139" s="228">
        <v>6.3</v>
      </c>
      <c r="AE139" s="228">
        <v>5.3</v>
      </c>
      <c r="AF139" s="228">
        <v>1</v>
      </c>
      <c r="AG139" s="229">
        <v>4.7000000000000002E-3</v>
      </c>
      <c r="AH139" s="228">
        <v>12.5</v>
      </c>
      <c r="AI139" s="228">
        <v>9.3000000000000007</v>
      </c>
      <c r="AJ139" s="228">
        <v>3.2</v>
      </c>
      <c r="AK139" s="229">
        <v>9.4000000000000004E-3</v>
      </c>
      <c r="AL139" s="228">
        <v>17.899999999999999</v>
      </c>
      <c r="AM139" s="228">
        <v>16.2</v>
      </c>
      <c r="AN139" s="228">
        <v>1.7</v>
      </c>
      <c r="AO139" s="229">
        <v>1.34E-2</v>
      </c>
      <c r="AP139" s="231">
        <v>1345.28</v>
      </c>
      <c r="AQ139" s="231">
        <v>1350.85</v>
      </c>
      <c r="AR139" s="228">
        <v>0</v>
      </c>
      <c r="AS139" s="228">
        <v>128</v>
      </c>
      <c r="AT139" s="228">
        <v>361</v>
      </c>
      <c r="AU139" s="228">
        <v>-233</v>
      </c>
      <c r="AV139" s="229">
        <v>-0.64529999999999998</v>
      </c>
      <c r="AW139" s="228">
        <v>119</v>
      </c>
      <c r="AX139" s="228">
        <v>349</v>
      </c>
      <c r="AY139" s="228">
        <v>-230</v>
      </c>
      <c r="AZ139" s="229">
        <v>-0.65969999999999995</v>
      </c>
      <c r="BA139" s="228">
        <v>8</v>
      </c>
      <c r="BB139" s="228">
        <v>10</v>
      </c>
      <c r="BC139" s="228">
        <v>-2</v>
      </c>
      <c r="BD139" s="229">
        <v>-0.19139999999999999</v>
      </c>
      <c r="BE139" s="228">
        <v>1</v>
      </c>
      <c r="BF139" s="228">
        <v>1</v>
      </c>
      <c r="BG139" s="228">
        <v>-1</v>
      </c>
      <c r="BH139" s="229">
        <v>-0.44440000000000002</v>
      </c>
      <c r="BI139" s="228">
        <v>222</v>
      </c>
      <c r="BJ139" s="228">
        <v>761</v>
      </c>
      <c r="BK139" s="228">
        <v>-539</v>
      </c>
      <c r="BL139" s="229">
        <v>-0.70850000000000002</v>
      </c>
      <c r="BM139" s="228">
        <v>70</v>
      </c>
      <c r="BN139" s="228">
        <v>340</v>
      </c>
      <c r="BO139" s="228">
        <v>-270</v>
      </c>
      <c r="BP139" s="229">
        <v>-0.79510000000000003</v>
      </c>
      <c r="BQ139" s="228">
        <v>420</v>
      </c>
      <c r="BR139" s="230">
        <v>1462</v>
      </c>
      <c r="BS139" s="230">
        <v>-1043</v>
      </c>
      <c r="BT139" s="229">
        <v>-0.71299999999999997</v>
      </c>
      <c r="BU139" s="230">
        <v>475625</v>
      </c>
      <c r="BV139" s="230">
        <v>2248841</v>
      </c>
      <c r="BW139" s="230">
        <v>-1773216</v>
      </c>
      <c r="BX139" s="229">
        <v>-0.78849999999999998</v>
      </c>
      <c r="BY139" s="230">
        <v>1396</v>
      </c>
      <c r="BZ139" s="230">
        <v>1375</v>
      </c>
      <c r="CA139" s="228">
        <v>21</v>
      </c>
      <c r="CB139" s="229">
        <v>1.52E-2</v>
      </c>
      <c r="CC139" s="230">
        <v>1377</v>
      </c>
      <c r="CD139" s="230">
        <v>1361</v>
      </c>
      <c r="CE139" s="228">
        <v>17</v>
      </c>
      <c r="CF139" s="229">
        <v>1.23E-2</v>
      </c>
      <c r="CG139" s="228">
        <v>16</v>
      </c>
      <c r="CH139" s="228">
        <v>13</v>
      </c>
      <c r="CI139" s="228">
        <v>4</v>
      </c>
      <c r="CJ139" s="229">
        <v>0.28060000000000002</v>
      </c>
      <c r="CK139" s="228">
        <v>2</v>
      </c>
      <c r="CL139" s="228">
        <v>2</v>
      </c>
      <c r="CM139" s="228">
        <v>1</v>
      </c>
      <c r="CN139" s="229">
        <v>0.26319999999999999</v>
      </c>
      <c r="CO139" s="228">
        <v>273</v>
      </c>
      <c r="CP139" s="228">
        <v>255</v>
      </c>
      <c r="CQ139" s="228">
        <v>18</v>
      </c>
      <c r="CR139" s="229">
        <v>6.9599999999999995E-2</v>
      </c>
      <c r="CS139" s="228">
        <v>148</v>
      </c>
      <c r="CT139" s="228">
        <v>146</v>
      </c>
      <c r="CU139" s="228">
        <v>3</v>
      </c>
      <c r="CV139" s="229">
        <v>1.7899999999999999E-2</v>
      </c>
      <c r="CW139" s="230">
        <v>1817</v>
      </c>
      <c r="CX139" s="230">
        <v>1776</v>
      </c>
      <c r="CY139" s="228">
        <v>41</v>
      </c>
      <c r="CZ139" s="229">
        <v>2.3199999999999998E-2</v>
      </c>
      <c r="DA139" s="228">
        <v>27.75</v>
      </c>
      <c r="DB139" s="228">
        <v>27.46</v>
      </c>
      <c r="DC139" s="228">
        <v>0.28999999999999998</v>
      </c>
      <c r="DD139" s="228">
        <v>0.28999999999999998</v>
      </c>
      <c r="DE139" s="228">
        <v>38.42</v>
      </c>
      <c r="DF139" s="228">
        <v>38.5</v>
      </c>
      <c r="DG139" s="228">
        <v>-10.67</v>
      </c>
      <c r="DH139" s="228">
        <v>-0.08</v>
      </c>
      <c r="DI139" s="228">
        <v>27.96</v>
      </c>
      <c r="DJ139" s="228">
        <v>27.45</v>
      </c>
      <c r="DK139" s="228">
        <v>0.51</v>
      </c>
      <c r="DL139" s="228">
        <v>0.51</v>
      </c>
      <c r="DM139" s="228">
        <v>27.07</v>
      </c>
      <c r="DN139" s="228">
        <v>27.49</v>
      </c>
      <c r="DO139" s="228">
        <v>-0.42</v>
      </c>
      <c r="DP139" s="228">
        <v>-0.42</v>
      </c>
      <c r="DQ139" s="228">
        <v>0.54</v>
      </c>
      <c r="DR139" s="228">
        <v>0.56999999999999995</v>
      </c>
      <c r="DS139" s="228">
        <v>-0.03</v>
      </c>
      <c r="DT139" s="229">
        <v>-5.2600000000000001E-2</v>
      </c>
      <c r="DU139" s="231">
        <v>1400</v>
      </c>
      <c r="DV139" s="231">
        <v>1340</v>
      </c>
      <c r="DW139" s="228">
        <v>0.31</v>
      </c>
      <c r="DX139" s="228">
        <v>0.45</v>
      </c>
      <c r="DY139" s="228">
        <v>-0.14000000000000001</v>
      </c>
      <c r="DZ139" s="229">
        <v>-0.31109999999999999</v>
      </c>
      <c r="EA139" s="229">
        <v>1.34E-2</v>
      </c>
      <c r="EB139" s="230">
        <v>109125</v>
      </c>
      <c r="EC139" s="229">
        <v>4.5999999999999999E-3</v>
      </c>
      <c r="ED139" s="229">
        <v>1.34E-2</v>
      </c>
      <c r="EE139" s="228">
        <v>5.57</v>
      </c>
      <c r="EF139" s="229">
        <v>4.1000000000000003E-3</v>
      </c>
      <c r="EG139" s="230">
        <v>247633</v>
      </c>
      <c r="EH139" s="230">
        <v>1315722</v>
      </c>
      <c r="EI139" s="229">
        <v>-0.81179999999999997</v>
      </c>
      <c r="EJ139" s="229">
        <v>0.52059999999999995</v>
      </c>
      <c r="EK139" s="228">
        <v>233.01</v>
      </c>
      <c r="EL139" s="228">
        <v>69.2</v>
      </c>
      <c r="EM139" s="228">
        <v>128.68</v>
      </c>
      <c r="EN139" s="228">
        <v>31.25</v>
      </c>
      <c r="EO139" s="228">
        <v>430.89</v>
      </c>
      <c r="EP139" s="231">
        <v>1516.09</v>
      </c>
      <c r="EQ139" s="231">
        <v>-1085.2</v>
      </c>
      <c r="ER139" s="229">
        <v>-0.71579999999999999</v>
      </c>
      <c r="ES139" s="228">
        <v>287.94</v>
      </c>
      <c r="ET139" s="228">
        <v>146.66</v>
      </c>
      <c r="EU139" s="231">
        <v>1396.22</v>
      </c>
      <c r="EV139" s="231">
        <v>60530911</v>
      </c>
      <c r="EW139" s="231">
        <v>1830.83</v>
      </c>
      <c r="EX139" s="231">
        <v>1802.08</v>
      </c>
      <c r="EY139" s="228">
        <v>28.75</v>
      </c>
      <c r="EZ139" s="229">
        <v>1.6E-2</v>
      </c>
      <c r="FA139" s="229">
        <v>0.22409999999999999</v>
      </c>
      <c r="FB139" s="227" t="s">
        <v>567</v>
      </c>
      <c r="FC139">
        <f t="shared" si="2"/>
        <v>19</v>
      </c>
    </row>
    <row r="140" spans="1:159" ht="17.25" thickBot="1" x14ac:dyDescent="0.3">
      <c r="A140" s="226">
        <v>45940</v>
      </c>
      <c r="B140" s="227" t="s">
        <v>206</v>
      </c>
      <c r="C140" s="227" t="s">
        <v>550</v>
      </c>
      <c r="D140" s="228">
        <v>6500</v>
      </c>
      <c r="E140" s="228">
        <v>18</v>
      </c>
      <c r="F140" s="228">
        <v>113.27</v>
      </c>
      <c r="G140" s="228">
        <v>114.34</v>
      </c>
      <c r="H140" s="228">
        <v>-1.07</v>
      </c>
      <c r="I140" s="229">
        <v>-9.4000000000000004E-3</v>
      </c>
      <c r="J140" s="228">
        <v>112.66</v>
      </c>
      <c r="K140" s="228">
        <v>113.65</v>
      </c>
      <c r="L140" s="228">
        <v>-0.99</v>
      </c>
      <c r="M140" s="229">
        <v>-8.6999999999999994E-3</v>
      </c>
      <c r="N140" s="228">
        <v>113.27</v>
      </c>
      <c r="O140" s="228">
        <v>114.34</v>
      </c>
      <c r="P140" s="228">
        <v>-1.07</v>
      </c>
      <c r="Q140" s="229">
        <v>-9.4000000000000004E-3</v>
      </c>
      <c r="R140" s="228">
        <v>113.99</v>
      </c>
      <c r="S140" s="228">
        <v>114.93</v>
      </c>
      <c r="T140" s="228">
        <v>-0.94</v>
      </c>
      <c r="U140" s="229">
        <v>-8.2000000000000007E-3</v>
      </c>
      <c r="V140" s="228">
        <v>115.02</v>
      </c>
      <c r="W140" s="228">
        <v>115.88</v>
      </c>
      <c r="X140" s="228">
        <v>-0.86</v>
      </c>
      <c r="Y140" s="229">
        <v>-7.4000000000000003E-3</v>
      </c>
      <c r="Z140" s="228">
        <v>0.61</v>
      </c>
      <c r="AA140" s="228">
        <v>0.69</v>
      </c>
      <c r="AB140" s="228">
        <v>-0.08</v>
      </c>
      <c r="AC140" s="229">
        <v>5.4000000000000003E-3</v>
      </c>
      <c r="AD140" s="228">
        <v>0.61</v>
      </c>
      <c r="AE140" s="228">
        <v>0.69</v>
      </c>
      <c r="AF140" s="228">
        <v>-0.08</v>
      </c>
      <c r="AG140" s="229">
        <v>5.4000000000000003E-3</v>
      </c>
      <c r="AH140" s="228">
        <v>1.33</v>
      </c>
      <c r="AI140" s="228">
        <v>1.28</v>
      </c>
      <c r="AJ140" s="228">
        <v>0.05</v>
      </c>
      <c r="AK140" s="229">
        <v>1.18E-2</v>
      </c>
      <c r="AL140" s="228">
        <v>2.36</v>
      </c>
      <c r="AM140" s="228">
        <v>2.23</v>
      </c>
      <c r="AN140" s="228">
        <v>0.13</v>
      </c>
      <c r="AO140" s="229">
        <v>2.0899999999999998E-2</v>
      </c>
      <c r="AP140" s="228">
        <v>114.59</v>
      </c>
      <c r="AQ140" s="228">
        <v>115.31</v>
      </c>
      <c r="AR140" s="228">
        <v>0</v>
      </c>
      <c r="AS140" s="228">
        <v>143</v>
      </c>
      <c r="AT140" s="228">
        <v>141</v>
      </c>
      <c r="AU140" s="228">
        <v>2</v>
      </c>
      <c r="AV140" s="229">
        <v>1.41E-2</v>
      </c>
      <c r="AW140" s="228">
        <v>126</v>
      </c>
      <c r="AX140" s="228">
        <v>131</v>
      </c>
      <c r="AY140" s="228">
        <v>-6</v>
      </c>
      <c r="AZ140" s="229">
        <v>-4.2000000000000003E-2</v>
      </c>
      <c r="BA140" s="228">
        <v>15</v>
      </c>
      <c r="BB140" s="228">
        <v>8</v>
      </c>
      <c r="BC140" s="228">
        <v>7</v>
      </c>
      <c r="BD140" s="229">
        <v>0.82299999999999995</v>
      </c>
      <c r="BE140" s="228">
        <v>2</v>
      </c>
      <c r="BF140" s="228">
        <v>1</v>
      </c>
      <c r="BG140" s="228">
        <v>1</v>
      </c>
      <c r="BH140" s="229">
        <v>0.75</v>
      </c>
      <c r="BI140" s="228">
        <v>363</v>
      </c>
      <c r="BJ140" s="228">
        <v>504</v>
      </c>
      <c r="BK140" s="228">
        <v>-141</v>
      </c>
      <c r="BL140" s="229">
        <v>-0.28000000000000003</v>
      </c>
      <c r="BM140" s="228">
        <v>104</v>
      </c>
      <c r="BN140" s="228">
        <v>87</v>
      </c>
      <c r="BO140" s="228">
        <v>17</v>
      </c>
      <c r="BP140" s="229">
        <v>0.1915</v>
      </c>
      <c r="BQ140" s="228">
        <v>609</v>
      </c>
      <c r="BR140" s="228">
        <v>731</v>
      </c>
      <c r="BS140" s="228">
        <v>-122</v>
      </c>
      <c r="BT140" s="229">
        <v>-0.16739999999999999</v>
      </c>
      <c r="BU140" s="230">
        <v>9323649</v>
      </c>
      <c r="BV140" s="230">
        <v>9775760</v>
      </c>
      <c r="BW140" s="230">
        <v>-452111</v>
      </c>
      <c r="BX140" s="229">
        <v>-4.6199999999999998E-2</v>
      </c>
      <c r="BY140" s="228">
        <v>703</v>
      </c>
      <c r="BZ140" s="228">
        <v>695</v>
      </c>
      <c r="CA140" s="228">
        <v>8</v>
      </c>
      <c r="CB140" s="229">
        <v>1.1299999999999999E-2</v>
      </c>
      <c r="CC140" s="228">
        <v>677</v>
      </c>
      <c r="CD140" s="228">
        <v>673</v>
      </c>
      <c r="CE140" s="228">
        <v>4</v>
      </c>
      <c r="CF140" s="229">
        <v>6.1000000000000004E-3</v>
      </c>
      <c r="CG140" s="228">
        <v>24</v>
      </c>
      <c r="CH140" s="228">
        <v>20</v>
      </c>
      <c r="CI140" s="228">
        <v>4</v>
      </c>
      <c r="CJ140" s="229">
        <v>0.1875</v>
      </c>
      <c r="CK140" s="228">
        <v>2</v>
      </c>
      <c r="CL140" s="228">
        <v>2</v>
      </c>
      <c r="CM140" s="228">
        <v>0</v>
      </c>
      <c r="CN140" s="229">
        <v>0</v>
      </c>
      <c r="CO140" s="228">
        <v>332</v>
      </c>
      <c r="CP140" s="228">
        <v>318</v>
      </c>
      <c r="CQ140" s="228">
        <v>13</v>
      </c>
      <c r="CR140" s="229">
        <v>4.19E-2</v>
      </c>
      <c r="CS140" s="228">
        <v>164</v>
      </c>
      <c r="CT140" s="228">
        <v>143</v>
      </c>
      <c r="CU140" s="228">
        <v>21</v>
      </c>
      <c r="CV140" s="229">
        <v>0.15010000000000001</v>
      </c>
      <c r="CW140" s="230">
        <v>1198</v>
      </c>
      <c r="CX140" s="230">
        <v>1156</v>
      </c>
      <c r="CY140" s="228">
        <v>43</v>
      </c>
      <c r="CZ140" s="229">
        <v>3.6900000000000002E-2</v>
      </c>
      <c r="DA140" s="228">
        <v>35.520000000000003</v>
      </c>
      <c r="DB140" s="228">
        <v>36.380000000000003</v>
      </c>
      <c r="DC140" s="228">
        <v>-0.86</v>
      </c>
      <c r="DD140" s="228">
        <v>-0.86</v>
      </c>
      <c r="DE140" s="228">
        <v>53.02</v>
      </c>
      <c r="DF140" s="228">
        <v>53.13</v>
      </c>
      <c r="DG140" s="228">
        <v>-17.5</v>
      </c>
      <c r="DH140" s="228">
        <v>-0.11</v>
      </c>
      <c r="DI140" s="228">
        <v>35.97</v>
      </c>
      <c r="DJ140" s="228">
        <v>36.31</v>
      </c>
      <c r="DK140" s="228">
        <v>-0.34</v>
      </c>
      <c r="DL140" s="228">
        <v>-0.34</v>
      </c>
      <c r="DM140" s="228">
        <v>33.950000000000003</v>
      </c>
      <c r="DN140" s="228">
        <v>36.75</v>
      </c>
      <c r="DO140" s="228">
        <v>-2.8</v>
      </c>
      <c r="DP140" s="228">
        <v>-2.8</v>
      </c>
      <c r="DQ140" s="228">
        <v>0.5</v>
      </c>
      <c r="DR140" s="228">
        <v>0.45</v>
      </c>
      <c r="DS140" s="228">
        <v>0.05</v>
      </c>
      <c r="DT140" s="229">
        <v>0.1111</v>
      </c>
      <c r="DU140" s="228">
        <v>115</v>
      </c>
      <c r="DV140" s="228">
        <v>110</v>
      </c>
      <c r="DW140" s="228">
        <v>0.28999999999999998</v>
      </c>
      <c r="DX140" s="228">
        <v>0.17</v>
      </c>
      <c r="DY140" s="228">
        <v>0.12</v>
      </c>
      <c r="DZ140" s="229">
        <v>0.70589999999999997</v>
      </c>
      <c r="EA140" s="229">
        <v>3.6700000000000003E-2</v>
      </c>
      <c r="EB140" s="230">
        <v>1943500</v>
      </c>
      <c r="EC140" s="229">
        <v>6.4000000000000003E-3</v>
      </c>
      <c r="ED140" s="229">
        <v>3.6700000000000003E-2</v>
      </c>
      <c r="EE140" s="228">
        <v>0.72</v>
      </c>
      <c r="EF140" s="229">
        <v>6.3E-3</v>
      </c>
      <c r="EG140" s="230">
        <v>3630325</v>
      </c>
      <c r="EH140" s="230">
        <v>4653344</v>
      </c>
      <c r="EI140" s="229">
        <v>-0.2198</v>
      </c>
      <c r="EJ140" s="229">
        <v>0.38940000000000002</v>
      </c>
      <c r="EK140" s="228">
        <v>383.76</v>
      </c>
      <c r="EL140" s="228">
        <v>101.85</v>
      </c>
      <c r="EM140" s="228">
        <v>144.46</v>
      </c>
      <c r="EN140" s="228">
        <v>16.8</v>
      </c>
      <c r="EO140" s="228">
        <v>630.08000000000004</v>
      </c>
      <c r="EP140" s="228">
        <v>752.22</v>
      </c>
      <c r="EQ140" s="228">
        <v>-122.14</v>
      </c>
      <c r="ER140" s="229">
        <v>-0.16239999999999999</v>
      </c>
      <c r="ES140" s="228">
        <v>341.71</v>
      </c>
      <c r="ET140" s="228">
        <v>156.5</v>
      </c>
      <c r="EU140" s="228">
        <v>702.94</v>
      </c>
      <c r="EV140" s="231">
        <v>154894704</v>
      </c>
      <c r="EW140" s="231">
        <v>1201.1500000000001</v>
      </c>
      <c r="EX140" s="231">
        <v>1164.6300000000001</v>
      </c>
      <c r="EY140" s="228">
        <v>36.520000000000003</v>
      </c>
      <c r="EZ140" s="229">
        <v>3.1399999999999997E-2</v>
      </c>
      <c r="FA140" s="229">
        <v>0.68310000000000004</v>
      </c>
      <c r="FB140" s="227" t="s">
        <v>567</v>
      </c>
      <c r="FC140">
        <f t="shared" si="2"/>
        <v>26</v>
      </c>
    </row>
    <row r="141" spans="1:159" ht="17.25" thickBot="1" x14ac:dyDescent="0.3">
      <c r="A141" s="226">
        <v>45940</v>
      </c>
      <c r="B141" s="227" t="s">
        <v>215</v>
      </c>
      <c r="C141" s="227" t="s">
        <v>592</v>
      </c>
      <c r="D141" s="228">
        <v>2700</v>
      </c>
      <c r="E141" s="228">
        <v>18</v>
      </c>
      <c r="F141" s="228">
        <v>211.88</v>
      </c>
      <c r="G141" s="228">
        <v>210.94</v>
      </c>
      <c r="H141" s="228">
        <v>0.94</v>
      </c>
      <c r="I141" s="229">
        <v>4.4999999999999997E-3</v>
      </c>
      <c r="J141" s="228">
        <v>210.78</v>
      </c>
      <c r="K141" s="228">
        <v>209.61</v>
      </c>
      <c r="L141" s="228">
        <v>1.17</v>
      </c>
      <c r="M141" s="229">
        <v>5.5999999999999999E-3</v>
      </c>
      <c r="N141" s="228">
        <v>211.88</v>
      </c>
      <c r="O141" s="228">
        <v>210.94</v>
      </c>
      <c r="P141" s="228">
        <v>0.94</v>
      </c>
      <c r="Q141" s="229">
        <v>4.4999999999999997E-3</v>
      </c>
      <c r="R141" s="228">
        <v>212.88</v>
      </c>
      <c r="S141" s="228">
        <v>211.98</v>
      </c>
      <c r="T141" s="228">
        <v>0.9</v>
      </c>
      <c r="U141" s="229">
        <v>4.1999999999999997E-3</v>
      </c>
      <c r="V141" s="228">
        <v>214.27</v>
      </c>
      <c r="W141" s="228">
        <v>213.04</v>
      </c>
      <c r="X141" s="228">
        <v>1.23</v>
      </c>
      <c r="Y141" s="229">
        <v>5.7999999999999996E-3</v>
      </c>
      <c r="Z141" s="228">
        <v>1.1000000000000001</v>
      </c>
      <c r="AA141" s="228">
        <v>1.33</v>
      </c>
      <c r="AB141" s="228">
        <v>-0.23</v>
      </c>
      <c r="AC141" s="229">
        <v>5.1999999999999998E-3</v>
      </c>
      <c r="AD141" s="228">
        <v>1.1000000000000001</v>
      </c>
      <c r="AE141" s="228">
        <v>1.33</v>
      </c>
      <c r="AF141" s="228">
        <v>-0.23</v>
      </c>
      <c r="AG141" s="229">
        <v>5.1999999999999998E-3</v>
      </c>
      <c r="AH141" s="228">
        <v>2.1</v>
      </c>
      <c r="AI141" s="228">
        <v>2.37</v>
      </c>
      <c r="AJ141" s="228">
        <v>-0.27</v>
      </c>
      <c r="AK141" s="229">
        <v>0.01</v>
      </c>
      <c r="AL141" s="228">
        <v>3.49</v>
      </c>
      <c r="AM141" s="228">
        <v>3.43</v>
      </c>
      <c r="AN141" s="228">
        <v>0.06</v>
      </c>
      <c r="AO141" s="229">
        <v>1.66E-2</v>
      </c>
      <c r="AP141" s="228">
        <v>212.44</v>
      </c>
      <c r="AQ141" s="228">
        <v>213.45</v>
      </c>
      <c r="AR141" s="228">
        <v>0</v>
      </c>
      <c r="AS141" s="228">
        <v>52</v>
      </c>
      <c r="AT141" s="228">
        <v>57</v>
      </c>
      <c r="AU141" s="228">
        <v>-6</v>
      </c>
      <c r="AV141" s="229">
        <v>-9.7000000000000003E-2</v>
      </c>
      <c r="AW141" s="228">
        <v>47</v>
      </c>
      <c r="AX141" s="228">
        <v>51</v>
      </c>
      <c r="AY141" s="228">
        <v>-5</v>
      </c>
      <c r="AZ141" s="229">
        <v>-8.7900000000000006E-2</v>
      </c>
      <c r="BA141" s="228">
        <v>4</v>
      </c>
      <c r="BB141" s="228">
        <v>5</v>
      </c>
      <c r="BC141" s="228">
        <v>-1</v>
      </c>
      <c r="BD141" s="229">
        <v>-0.21179999999999999</v>
      </c>
      <c r="BE141" s="228">
        <v>1</v>
      </c>
      <c r="BF141" s="228">
        <v>1</v>
      </c>
      <c r="BG141" s="228">
        <v>0</v>
      </c>
      <c r="BH141" s="229">
        <v>0</v>
      </c>
      <c r="BI141" s="228">
        <v>112</v>
      </c>
      <c r="BJ141" s="228">
        <v>74</v>
      </c>
      <c r="BK141" s="228">
        <v>39</v>
      </c>
      <c r="BL141" s="229">
        <v>0.52600000000000002</v>
      </c>
      <c r="BM141" s="228">
        <v>30</v>
      </c>
      <c r="BN141" s="228">
        <v>43</v>
      </c>
      <c r="BO141" s="228">
        <v>-13</v>
      </c>
      <c r="BP141" s="229">
        <v>-0.3019</v>
      </c>
      <c r="BQ141" s="228">
        <v>194</v>
      </c>
      <c r="BR141" s="228">
        <v>174</v>
      </c>
      <c r="BS141" s="228">
        <v>20</v>
      </c>
      <c r="BT141" s="229">
        <v>0.1162</v>
      </c>
      <c r="BU141" s="230">
        <v>1231013</v>
      </c>
      <c r="BV141" s="230">
        <v>1658448</v>
      </c>
      <c r="BW141" s="230">
        <v>-427435</v>
      </c>
      <c r="BX141" s="229">
        <v>-0.25769999999999998</v>
      </c>
      <c r="BY141" s="228">
        <v>387</v>
      </c>
      <c r="BZ141" s="228">
        <v>389</v>
      </c>
      <c r="CA141" s="228">
        <v>-2</v>
      </c>
      <c r="CB141" s="229">
        <v>-4.5999999999999999E-3</v>
      </c>
      <c r="CC141" s="228">
        <v>367</v>
      </c>
      <c r="CD141" s="228">
        <v>369</v>
      </c>
      <c r="CE141" s="228">
        <v>-2</v>
      </c>
      <c r="CF141" s="229">
        <v>-5.0000000000000001E-3</v>
      </c>
      <c r="CG141" s="228">
        <v>18</v>
      </c>
      <c r="CH141" s="228">
        <v>18</v>
      </c>
      <c r="CI141" s="228">
        <v>0</v>
      </c>
      <c r="CJ141" s="229">
        <v>1.26E-2</v>
      </c>
      <c r="CK141" s="228">
        <v>1</v>
      </c>
      <c r="CL141" s="228">
        <v>1</v>
      </c>
      <c r="CM141" s="228">
        <v>0</v>
      </c>
      <c r="CN141" s="229">
        <v>-0.1154</v>
      </c>
      <c r="CO141" s="228">
        <v>133</v>
      </c>
      <c r="CP141" s="228">
        <v>124</v>
      </c>
      <c r="CQ141" s="228">
        <v>9</v>
      </c>
      <c r="CR141" s="229">
        <v>6.8500000000000005E-2</v>
      </c>
      <c r="CS141" s="228">
        <v>78</v>
      </c>
      <c r="CT141" s="228">
        <v>79</v>
      </c>
      <c r="CU141" s="228">
        <v>-1</v>
      </c>
      <c r="CV141" s="229">
        <v>-1.37E-2</v>
      </c>
      <c r="CW141" s="228">
        <v>599</v>
      </c>
      <c r="CX141" s="228">
        <v>593</v>
      </c>
      <c r="CY141" s="228">
        <v>6</v>
      </c>
      <c r="CZ141" s="229">
        <v>9.5999999999999992E-3</v>
      </c>
      <c r="DA141" s="228">
        <v>25.89</v>
      </c>
      <c r="DB141" s="228">
        <v>26.99</v>
      </c>
      <c r="DC141" s="228">
        <v>-1.1000000000000001</v>
      </c>
      <c r="DD141" s="228">
        <v>-1.1000000000000001</v>
      </c>
      <c r="DE141" s="228">
        <v>47.43</v>
      </c>
      <c r="DF141" s="228">
        <v>47.54</v>
      </c>
      <c r="DG141" s="228">
        <v>-21.54</v>
      </c>
      <c r="DH141" s="228">
        <v>-0.11</v>
      </c>
      <c r="DI141" s="228">
        <v>25.78</v>
      </c>
      <c r="DJ141" s="228">
        <v>27.09</v>
      </c>
      <c r="DK141" s="228">
        <v>-1.31</v>
      </c>
      <c r="DL141" s="228">
        <v>-1.31</v>
      </c>
      <c r="DM141" s="228">
        <v>26.32</v>
      </c>
      <c r="DN141" s="228">
        <v>26.81</v>
      </c>
      <c r="DO141" s="228">
        <v>-0.49</v>
      </c>
      <c r="DP141" s="228">
        <v>-0.49</v>
      </c>
      <c r="DQ141" s="228">
        <v>0.59</v>
      </c>
      <c r="DR141" s="228">
        <v>0.64</v>
      </c>
      <c r="DS141" s="228">
        <v>-0.05</v>
      </c>
      <c r="DT141" s="229">
        <v>-7.8100000000000003E-2</v>
      </c>
      <c r="DU141" s="228">
        <v>210</v>
      </c>
      <c r="DV141" s="228">
        <v>210</v>
      </c>
      <c r="DW141" s="228">
        <v>0.27</v>
      </c>
      <c r="DX141" s="228">
        <v>0.57999999999999996</v>
      </c>
      <c r="DY141" s="228">
        <v>-0.31</v>
      </c>
      <c r="DZ141" s="229">
        <v>-0.53449999999999998</v>
      </c>
      <c r="EA141" s="229">
        <v>5.0799999999999998E-2</v>
      </c>
      <c r="EB141" s="230">
        <v>926100</v>
      </c>
      <c r="EC141" s="229">
        <v>4.7000000000000002E-3</v>
      </c>
      <c r="ED141" s="229">
        <v>5.0799999999999998E-2</v>
      </c>
      <c r="EE141" s="228">
        <v>1.01</v>
      </c>
      <c r="EF141" s="229">
        <v>4.7999999999999996E-3</v>
      </c>
      <c r="EG141" s="230">
        <v>601449</v>
      </c>
      <c r="EH141" s="230">
        <v>757705</v>
      </c>
      <c r="EI141" s="229">
        <v>-0.20619999999999999</v>
      </c>
      <c r="EJ141" s="229">
        <v>0.48859999999999998</v>
      </c>
      <c r="EK141" s="228">
        <v>116.01</v>
      </c>
      <c r="EL141" s="228">
        <v>30.1</v>
      </c>
      <c r="EM141" s="228">
        <v>51.82</v>
      </c>
      <c r="EN141" s="228">
        <v>8.1300000000000008</v>
      </c>
      <c r="EO141" s="228">
        <v>197.93</v>
      </c>
      <c r="EP141" s="228">
        <v>174.88</v>
      </c>
      <c r="EQ141" s="228">
        <v>23.05</v>
      </c>
      <c r="ER141" s="229">
        <v>0.1318</v>
      </c>
      <c r="ES141" s="228">
        <v>136.61000000000001</v>
      </c>
      <c r="ET141" s="228">
        <v>77.099999999999994</v>
      </c>
      <c r="EU141" s="228">
        <v>387.23</v>
      </c>
      <c r="EV141" s="231">
        <v>72342848</v>
      </c>
      <c r="EW141" s="228">
        <v>600.92999999999995</v>
      </c>
      <c r="EX141" s="228">
        <v>593.04999999999995</v>
      </c>
      <c r="EY141" s="228">
        <v>7.88</v>
      </c>
      <c r="EZ141" s="229">
        <v>1.3299999999999999E-2</v>
      </c>
      <c r="FA141" s="229">
        <v>0.39050000000000001</v>
      </c>
      <c r="FB141" s="227" t="s">
        <v>556</v>
      </c>
      <c r="FC141">
        <f t="shared" si="2"/>
        <v>20</v>
      </c>
    </row>
    <row r="142" spans="1:159" ht="17.25" thickBot="1" x14ac:dyDescent="0.3">
      <c r="A142" s="226">
        <v>45940</v>
      </c>
      <c r="B142" s="227" t="s">
        <v>168</v>
      </c>
      <c r="C142" s="227" t="s">
        <v>265</v>
      </c>
      <c r="D142" s="228">
        <v>500</v>
      </c>
      <c r="E142" s="228">
        <v>18</v>
      </c>
      <c r="F142" s="231">
        <v>1202.5999999999999</v>
      </c>
      <c r="G142" s="231">
        <v>1191</v>
      </c>
      <c r="H142" s="228">
        <v>11.6</v>
      </c>
      <c r="I142" s="229">
        <v>9.7000000000000003E-3</v>
      </c>
      <c r="J142" s="231">
        <v>1199.5</v>
      </c>
      <c r="K142" s="231">
        <v>1187.8</v>
      </c>
      <c r="L142" s="228">
        <v>11.7</v>
      </c>
      <c r="M142" s="229">
        <v>9.9000000000000008E-3</v>
      </c>
      <c r="N142" s="231">
        <v>1202.5999999999999</v>
      </c>
      <c r="O142" s="231">
        <v>1191</v>
      </c>
      <c r="P142" s="228">
        <v>11.6</v>
      </c>
      <c r="Q142" s="229">
        <v>9.7000000000000003E-3</v>
      </c>
      <c r="R142" s="231">
        <v>1208.9000000000001</v>
      </c>
      <c r="S142" s="231">
        <v>1196.8</v>
      </c>
      <c r="T142" s="228">
        <v>12.1</v>
      </c>
      <c r="U142" s="229">
        <v>1.01E-2</v>
      </c>
      <c r="V142" s="231">
        <v>1216.5</v>
      </c>
      <c r="W142" s="231">
        <v>1202</v>
      </c>
      <c r="X142" s="228">
        <v>14.5</v>
      </c>
      <c r="Y142" s="229">
        <v>1.21E-2</v>
      </c>
      <c r="Z142" s="228">
        <v>3.1</v>
      </c>
      <c r="AA142" s="228">
        <v>3.2</v>
      </c>
      <c r="AB142" s="228">
        <v>-0.1</v>
      </c>
      <c r="AC142" s="229">
        <v>2.5999999999999999E-3</v>
      </c>
      <c r="AD142" s="228">
        <v>3.1</v>
      </c>
      <c r="AE142" s="228">
        <v>3.2</v>
      </c>
      <c r="AF142" s="228">
        <v>-0.1</v>
      </c>
      <c r="AG142" s="229">
        <v>2.5999999999999999E-3</v>
      </c>
      <c r="AH142" s="228">
        <v>9.4</v>
      </c>
      <c r="AI142" s="228">
        <v>9</v>
      </c>
      <c r="AJ142" s="228">
        <v>0.4</v>
      </c>
      <c r="AK142" s="229">
        <v>7.7999999999999996E-3</v>
      </c>
      <c r="AL142" s="228">
        <v>17</v>
      </c>
      <c r="AM142" s="228">
        <v>14.2</v>
      </c>
      <c r="AN142" s="228">
        <v>2.8</v>
      </c>
      <c r="AO142" s="229">
        <v>1.4200000000000001E-2</v>
      </c>
      <c r="AP142" s="231">
        <v>1199.31</v>
      </c>
      <c r="AQ142" s="231">
        <v>1204.23</v>
      </c>
      <c r="AR142" s="228">
        <v>0</v>
      </c>
      <c r="AS142" s="228">
        <v>258</v>
      </c>
      <c r="AT142" s="228">
        <v>189</v>
      </c>
      <c r="AU142" s="228">
        <v>69</v>
      </c>
      <c r="AV142" s="229">
        <v>0.3644</v>
      </c>
      <c r="AW142" s="228">
        <v>243</v>
      </c>
      <c r="AX142" s="228">
        <v>181</v>
      </c>
      <c r="AY142" s="228">
        <v>61</v>
      </c>
      <c r="AZ142" s="229">
        <v>0.33750000000000002</v>
      </c>
      <c r="BA142" s="228">
        <v>12</v>
      </c>
      <c r="BB142" s="228">
        <v>8</v>
      </c>
      <c r="BC142" s="228">
        <v>5</v>
      </c>
      <c r="BD142" s="229">
        <v>0.60160000000000002</v>
      </c>
      <c r="BE142" s="228">
        <v>3</v>
      </c>
      <c r="BF142" s="228">
        <v>0</v>
      </c>
      <c r="BG142" s="228">
        <v>3</v>
      </c>
      <c r="BH142" s="229">
        <v>13</v>
      </c>
      <c r="BI142" s="228">
        <v>507</v>
      </c>
      <c r="BJ142" s="228">
        <v>285</v>
      </c>
      <c r="BK142" s="228">
        <v>222</v>
      </c>
      <c r="BL142" s="229">
        <v>0.77800000000000002</v>
      </c>
      <c r="BM142" s="228">
        <v>269</v>
      </c>
      <c r="BN142" s="228">
        <v>140</v>
      </c>
      <c r="BO142" s="228">
        <v>129</v>
      </c>
      <c r="BP142" s="229">
        <v>0.92379999999999995</v>
      </c>
      <c r="BQ142" s="230">
        <v>1034</v>
      </c>
      <c r="BR142" s="228">
        <v>614</v>
      </c>
      <c r="BS142" s="228">
        <v>420</v>
      </c>
      <c r="BT142" s="229">
        <v>0.68369999999999997</v>
      </c>
      <c r="BU142" s="230">
        <v>1176068</v>
      </c>
      <c r="BV142" s="230">
        <v>1078290</v>
      </c>
      <c r="BW142" s="230">
        <v>97778</v>
      </c>
      <c r="BX142" s="229">
        <v>9.0700000000000003E-2</v>
      </c>
      <c r="BY142" s="230">
        <v>2240</v>
      </c>
      <c r="BZ142" s="230">
        <v>2166</v>
      </c>
      <c r="CA142" s="228">
        <v>74</v>
      </c>
      <c r="CB142" s="229">
        <v>3.4299999999999997E-2</v>
      </c>
      <c r="CC142" s="230">
        <v>2194</v>
      </c>
      <c r="CD142" s="230">
        <v>2125</v>
      </c>
      <c r="CE142" s="228">
        <v>69</v>
      </c>
      <c r="CF142" s="229">
        <v>3.2599999999999997E-2</v>
      </c>
      <c r="CG142" s="228">
        <v>43</v>
      </c>
      <c r="CH142" s="228">
        <v>40</v>
      </c>
      <c r="CI142" s="228">
        <v>4</v>
      </c>
      <c r="CJ142" s="229">
        <v>9.1200000000000003E-2</v>
      </c>
      <c r="CK142" s="228">
        <v>3</v>
      </c>
      <c r="CL142" s="228">
        <v>2</v>
      </c>
      <c r="CM142" s="228">
        <v>1</v>
      </c>
      <c r="CN142" s="229">
        <v>0.76670000000000005</v>
      </c>
      <c r="CO142" s="228">
        <v>395</v>
      </c>
      <c r="CP142" s="228">
        <v>365</v>
      </c>
      <c r="CQ142" s="228">
        <v>30</v>
      </c>
      <c r="CR142" s="229">
        <v>8.2600000000000007E-2</v>
      </c>
      <c r="CS142" s="228">
        <v>327</v>
      </c>
      <c r="CT142" s="228">
        <v>283</v>
      </c>
      <c r="CU142" s="228">
        <v>45</v>
      </c>
      <c r="CV142" s="229">
        <v>0.158</v>
      </c>
      <c r="CW142" s="230">
        <v>2962</v>
      </c>
      <c r="CX142" s="230">
        <v>2813</v>
      </c>
      <c r="CY142" s="228">
        <v>149</v>
      </c>
      <c r="CZ142" s="229">
        <v>5.2999999999999999E-2</v>
      </c>
      <c r="DA142" s="228">
        <v>20.63</v>
      </c>
      <c r="DB142" s="228">
        <v>20.260000000000002</v>
      </c>
      <c r="DC142" s="228">
        <v>0.37</v>
      </c>
      <c r="DD142" s="228">
        <v>0.37</v>
      </c>
      <c r="DE142" s="228">
        <v>23.41</v>
      </c>
      <c r="DF142" s="228">
        <v>23.43</v>
      </c>
      <c r="DG142" s="228">
        <v>-2.78</v>
      </c>
      <c r="DH142" s="228">
        <v>-0.02</v>
      </c>
      <c r="DI142" s="228">
        <v>20.21</v>
      </c>
      <c r="DJ142" s="228">
        <v>19.82</v>
      </c>
      <c r="DK142" s="228">
        <v>0.39</v>
      </c>
      <c r="DL142" s="228">
        <v>0.39</v>
      </c>
      <c r="DM142" s="228">
        <v>21.42</v>
      </c>
      <c r="DN142" s="228">
        <v>21.16</v>
      </c>
      <c r="DO142" s="228">
        <v>0.26</v>
      </c>
      <c r="DP142" s="228">
        <v>0.26</v>
      </c>
      <c r="DQ142" s="228">
        <v>0.83</v>
      </c>
      <c r="DR142" s="228">
        <v>0.78</v>
      </c>
      <c r="DS142" s="228">
        <v>0.05</v>
      </c>
      <c r="DT142" s="229">
        <v>6.4100000000000004E-2</v>
      </c>
      <c r="DU142" s="231">
        <v>1200</v>
      </c>
      <c r="DV142" s="231">
        <v>1180</v>
      </c>
      <c r="DW142" s="228">
        <v>0.53</v>
      </c>
      <c r="DX142" s="228">
        <v>0.49</v>
      </c>
      <c r="DY142" s="228">
        <v>0.04</v>
      </c>
      <c r="DZ142" s="229">
        <v>8.1600000000000006E-2</v>
      </c>
      <c r="EA142" s="229">
        <v>2.07E-2</v>
      </c>
      <c r="EB142" s="230">
        <v>344000</v>
      </c>
      <c r="EC142" s="229">
        <v>5.1999999999999998E-3</v>
      </c>
      <c r="ED142" s="229">
        <v>2.07E-2</v>
      </c>
      <c r="EE142" s="228">
        <v>4.92</v>
      </c>
      <c r="EF142" s="229">
        <v>4.1000000000000003E-3</v>
      </c>
      <c r="EG142" s="230">
        <v>663440</v>
      </c>
      <c r="EH142" s="230">
        <v>629206</v>
      </c>
      <c r="EI142" s="229">
        <v>5.4399999999999997E-2</v>
      </c>
      <c r="EJ142" s="229">
        <v>0.56410000000000005</v>
      </c>
      <c r="EK142" s="228">
        <v>518.57000000000005</v>
      </c>
      <c r="EL142" s="228">
        <v>267.5</v>
      </c>
      <c r="EM142" s="228">
        <v>257.64</v>
      </c>
      <c r="EN142" s="228">
        <v>29.56</v>
      </c>
      <c r="EO142" s="231">
        <v>1043.71</v>
      </c>
      <c r="EP142" s="228">
        <v>613.07000000000005</v>
      </c>
      <c r="EQ142" s="228">
        <v>430.64</v>
      </c>
      <c r="ER142" s="229">
        <v>0.70240000000000002</v>
      </c>
      <c r="ES142" s="228">
        <v>398.32</v>
      </c>
      <c r="ET142" s="228">
        <v>314.10000000000002</v>
      </c>
      <c r="EU142" s="231">
        <v>2240.5300000000002</v>
      </c>
      <c r="EV142" s="231">
        <v>71801274</v>
      </c>
      <c r="EW142" s="231">
        <v>2952.94</v>
      </c>
      <c r="EX142" s="231">
        <v>2782.21</v>
      </c>
      <c r="EY142" s="228">
        <v>170.73</v>
      </c>
      <c r="EZ142" s="229">
        <v>6.1400000000000003E-2</v>
      </c>
      <c r="FA142" s="229">
        <v>0.34310000000000002</v>
      </c>
      <c r="FB142" s="227" t="s">
        <v>555</v>
      </c>
      <c r="FC142">
        <f t="shared" si="2"/>
        <v>46</v>
      </c>
    </row>
    <row r="143" spans="1:159" ht="17.25" thickBot="1" x14ac:dyDescent="0.3">
      <c r="A143" s="226">
        <v>45940</v>
      </c>
      <c r="B143" s="227" t="s">
        <v>161</v>
      </c>
      <c r="C143" s="227" t="s">
        <v>586</v>
      </c>
      <c r="D143" s="228">
        <v>6400</v>
      </c>
      <c r="E143" s="228">
        <v>18</v>
      </c>
      <c r="F143" s="228">
        <v>87.39</v>
      </c>
      <c r="G143" s="228">
        <v>87.16</v>
      </c>
      <c r="H143" s="228">
        <v>0.23</v>
      </c>
      <c r="I143" s="229">
        <v>2.5999999999999999E-3</v>
      </c>
      <c r="J143" s="228">
        <v>86.94</v>
      </c>
      <c r="K143" s="228">
        <v>86.67</v>
      </c>
      <c r="L143" s="228">
        <v>0.27</v>
      </c>
      <c r="M143" s="229">
        <v>3.0999999999999999E-3</v>
      </c>
      <c r="N143" s="228">
        <v>87.39</v>
      </c>
      <c r="O143" s="228">
        <v>87.16</v>
      </c>
      <c r="P143" s="228">
        <v>0.23</v>
      </c>
      <c r="Q143" s="229">
        <v>2.5999999999999999E-3</v>
      </c>
      <c r="R143" s="228">
        <v>87.77</v>
      </c>
      <c r="S143" s="228">
        <v>87.56</v>
      </c>
      <c r="T143" s="228">
        <v>0.21</v>
      </c>
      <c r="U143" s="229">
        <v>2.3999999999999998E-3</v>
      </c>
      <c r="V143" s="228">
        <v>88.46</v>
      </c>
      <c r="W143" s="228">
        <v>88.18</v>
      </c>
      <c r="X143" s="228">
        <v>0.28000000000000003</v>
      </c>
      <c r="Y143" s="229">
        <v>3.2000000000000002E-3</v>
      </c>
      <c r="Z143" s="228">
        <v>0.45</v>
      </c>
      <c r="AA143" s="228">
        <v>0.49</v>
      </c>
      <c r="AB143" s="228">
        <v>-0.04</v>
      </c>
      <c r="AC143" s="229">
        <v>5.1999999999999998E-3</v>
      </c>
      <c r="AD143" s="228">
        <v>0.45</v>
      </c>
      <c r="AE143" s="228">
        <v>0.49</v>
      </c>
      <c r="AF143" s="228">
        <v>-0.04</v>
      </c>
      <c r="AG143" s="229">
        <v>5.1999999999999998E-3</v>
      </c>
      <c r="AH143" s="228">
        <v>0.83</v>
      </c>
      <c r="AI143" s="228">
        <v>0.89</v>
      </c>
      <c r="AJ143" s="228">
        <v>-0.06</v>
      </c>
      <c r="AK143" s="229">
        <v>9.4999999999999998E-3</v>
      </c>
      <c r="AL143" s="228">
        <v>1.52</v>
      </c>
      <c r="AM143" s="228">
        <v>1.51</v>
      </c>
      <c r="AN143" s="228">
        <v>0.01</v>
      </c>
      <c r="AO143" s="229">
        <v>1.7500000000000002E-2</v>
      </c>
      <c r="AP143" s="228">
        <v>87.4</v>
      </c>
      <c r="AQ143" s="228">
        <v>87.86</v>
      </c>
      <c r="AR143" s="228">
        <v>0</v>
      </c>
      <c r="AS143" s="228">
        <v>45</v>
      </c>
      <c r="AT143" s="228">
        <v>100</v>
      </c>
      <c r="AU143" s="228">
        <v>-55</v>
      </c>
      <c r="AV143" s="229">
        <v>-0.54700000000000004</v>
      </c>
      <c r="AW143" s="228">
        <v>41</v>
      </c>
      <c r="AX143" s="228">
        <v>92</v>
      </c>
      <c r="AY143" s="228">
        <v>-51</v>
      </c>
      <c r="AZ143" s="229">
        <v>-0.55330000000000001</v>
      </c>
      <c r="BA143" s="228">
        <v>3</v>
      </c>
      <c r="BB143" s="228">
        <v>7</v>
      </c>
      <c r="BC143" s="228">
        <v>-4</v>
      </c>
      <c r="BD143" s="229">
        <v>-0.52800000000000002</v>
      </c>
      <c r="BE143" s="228">
        <v>1</v>
      </c>
      <c r="BF143" s="228">
        <v>1</v>
      </c>
      <c r="BG143" s="228">
        <v>0</v>
      </c>
      <c r="BH143" s="229">
        <v>0.18179999999999999</v>
      </c>
      <c r="BI143" s="228">
        <v>77</v>
      </c>
      <c r="BJ143" s="228">
        <v>144</v>
      </c>
      <c r="BK143" s="228">
        <v>-67</v>
      </c>
      <c r="BL143" s="229">
        <v>-0.46700000000000003</v>
      </c>
      <c r="BM143" s="228">
        <v>43</v>
      </c>
      <c r="BN143" s="228">
        <v>83</v>
      </c>
      <c r="BO143" s="228">
        <v>-40</v>
      </c>
      <c r="BP143" s="229">
        <v>-0.48420000000000002</v>
      </c>
      <c r="BQ143" s="228">
        <v>165</v>
      </c>
      <c r="BR143" s="228">
        <v>327</v>
      </c>
      <c r="BS143" s="228">
        <v>-162</v>
      </c>
      <c r="BT143" s="229">
        <v>-0.49580000000000002</v>
      </c>
      <c r="BU143" s="230">
        <v>7787368</v>
      </c>
      <c r="BV143" s="230">
        <v>13794467</v>
      </c>
      <c r="BW143" s="230">
        <v>-6007099</v>
      </c>
      <c r="BX143" s="229">
        <v>-0.4355</v>
      </c>
      <c r="BY143" s="228">
        <v>416</v>
      </c>
      <c r="BZ143" s="228">
        <v>420</v>
      </c>
      <c r="CA143" s="228">
        <v>-4</v>
      </c>
      <c r="CB143" s="229">
        <v>-8.8999999999999999E-3</v>
      </c>
      <c r="CC143" s="228">
        <v>401</v>
      </c>
      <c r="CD143" s="228">
        <v>405</v>
      </c>
      <c r="CE143" s="228">
        <v>-4</v>
      </c>
      <c r="CF143" s="229">
        <v>-1.0500000000000001E-2</v>
      </c>
      <c r="CG143" s="228">
        <v>13</v>
      </c>
      <c r="CH143" s="228">
        <v>13</v>
      </c>
      <c r="CI143" s="228">
        <v>0</v>
      </c>
      <c r="CJ143" s="229">
        <v>0</v>
      </c>
      <c r="CK143" s="228">
        <v>2</v>
      </c>
      <c r="CL143" s="228">
        <v>2</v>
      </c>
      <c r="CM143" s="228">
        <v>1</v>
      </c>
      <c r="CN143" s="229">
        <v>0.33329999999999999</v>
      </c>
      <c r="CO143" s="228">
        <v>147</v>
      </c>
      <c r="CP143" s="228">
        <v>144</v>
      </c>
      <c r="CQ143" s="228">
        <v>3</v>
      </c>
      <c r="CR143" s="229">
        <v>2.41E-2</v>
      </c>
      <c r="CS143" s="228">
        <v>82</v>
      </c>
      <c r="CT143" s="228">
        <v>73</v>
      </c>
      <c r="CU143" s="228">
        <v>9</v>
      </c>
      <c r="CV143" s="229">
        <v>0.1205</v>
      </c>
      <c r="CW143" s="228">
        <v>646</v>
      </c>
      <c r="CX143" s="228">
        <v>637</v>
      </c>
      <c r="CY143" s="228">
        <v>9</v>
      </c>
      <c r="CZ143" s="229">
        <v>1.34E-2</v>
      </c>
      <c r="DA143" s="228">
        <v>27.37</v>
      </c>
      <c r="DB143" s="228">
        <v>28</v>
      </c>
      <c r="DC143" s="228">
        <v>-0.63</v>
      </c>
      <c r="DD143" s="228">
        <v>-0.63</v>
      </c>
      <c r="DE143" s="228">
        <v>39.96</v>
      </c>
      <c r="DF143" s="228">
        <v>40.06</v>
      </c>
      <c r="DG143" s="228">
        <v>-12.59</v>
      </c>
      <c r="DH143" s="228">
        <v>-0.1</v>
      </c>
      <c r="DI143" s="228">
        <v>27.77</v>
      </c>
      <c r="DJ143" s="228">
        <v>28.49</v>
      </c>
      <c r="DK143" s="228">
        <v>-0.72</v>
      </c>
      <c r="DL143" s="228">
        <v>-0.72</v>
      </c>
      <c r="DM143" s="228">
        <v>26.64</v>
      </c>
      <c r="DN143" s="228">
        <v>27.14</v>
      </c>
      <c r="DO143" s="228">
        <v>-0.5</v>
      </c>
      <c r="DP143" s="228">
        <v>-0.5</v>
      </c>
      <c r="DQ143" s="228">
        <v>0.56000000000000005</v>
      </c>
      <c r="DR143" s="228">
        <v>0.51</v>
      </c>
      <c r="DS143" s="228">
        <v>0.05</v>
      </c>
      <c r="DT143" s="229">
        <v>9.8000000000000004E-2</v>
      </c>
      <c r="DU143" s="228">
        <v>90</v>
      </c>
      <c r="DV143" s="228">
        <v>85</v>
      </c>
      <c r="DW143" s="228">
        <v>0.56000000000000005</v>
      </c>
      <c r="DX143" s="228">
        <v>0.57999999999999996</v>
      </c>
      <c r="DY143" s="228">
        <v>-0.02</v>
      </c>
      <c r="DZ143" s="229">
        <v>-3.4500000000000003E-2</v>
      </c>
      <c r="EA143" s="229">
        <v>3.7199999999999997E-2</v>
      </c>
      <c r="EB143" s="230">
        <v>1715200</v>
      </c>
      <c r="EC143" s="229">
        <v>4.3E-3</v>
      </c>
      <c r="ED143" s="229">
        <v>3.7199999999999997E-2</v>
      </c>
      <c r="EE143" s="228">
        <v>0.46</v>
      </c>
      <c r="EF143" s="229">
        <v>5.3E-3</v>
      </c>
      <c r="EG143" s="230">
        <v>4554028</v>
      </c>
      <c r="EH143" s="230">
        <v>7807830</v>
      </c>
      <c r="EI143" s="229">
        <v>-0.41670000000000001</v>
      </c>
      <c r="EJ143" s="229">
        <v>0.58479999999999999</v>
      </c>
      <c r="EK143" s="228">
        <v>80.150000000000006</v>
      </c>
      <c r="EL143" s="228">
        <v>41.16</v>
      </c>
      <c r="EM143" s="228">
        <v>45.33</v>
      </c>
      <c r="EN143" s="228">
        <v>10.89</v>
      </c>
      <c r="EO143" s="228">
        <v>166.65</v>
      </c>
      <c r="EP143" s="228">
        <v>330.42</v>
      </c>
      <c r="EQ143" s="228">
        <v>-163.77000000000001</v>
      </c>
      <c r="ER143" s="229">
        <v>-0.49559999999999998</v>
      </c>
      <c r="ES143" s="228">
        <v>152.77000000000001</v>
      </c>
      <c r="ET143" s="228">
        <v>78.84</v>
      </c>
      <c r="EU143" s="228">
        <v>416.26</v>
      </c>
      <c r="EV143" s="231">
        <v>398201603</v>
      </c>
      <c r="EW143" s="228">
        <v>647.86</v>
      </c>
      <c r="EX143" s="228">
        <v>638.08000000000004</v>
      </c>
      <c r="EY143" s="228">
        <v>9.7799999999999994</v>
      </c>
      <c r="EZ143" s="229">
        <v>1.5299999999999999E-2</v>
      </c>
      <c r="FA143" s="229">
        <v>0.1855</v>
      </c>
      <c r="FB143" s="227" t="s">
        <v>556</v>
      </c>
      <c r="FC143">
        <f t="shared" si="2"/>
        <v>15</v>
      </c>
    </row>
    <row r="144" spans="1:159" ht="17.25" thickBot="1" x14ac:dyDescent="0.3">
      <c r="A144" s="226">
        <v>45940</v>
      </c>
      <c r="B144" s="227" t="s">
        <v>181</v>
      </c>
      <c r="C144" s="227" t="s">
        <v>266</v>
      </c>
      <c r="D144" s="228">
        <v>75</v>
      </c>
      <c r="E144" s="228">
        <v>18</v>
      </c>
      <c r="F144" s="231">
        <v>25411</v>
      </c>
      <c r="G144" s="231">
        <v>25273.8</v>
      </c>
      <c r="H144" s="228">
        <v>137.19999999999999</v>
      </c>
      <c r="I144" s="229">
        <v>5.4000000000000003E-3</v>
      </c>
      <c r="J144" s="231">
        <v>25285.35</v>
      </c>
      <c r="K144" s="231">
        <v>25181.8</v>
      </c>
      <c r="L144" s="228">
        <v>103.55</v>
      </c>
      <c r="M144" s="229">
        <v>4.1000000000000003E-3</v>
      </c>
      <c r="N144" s="231">
        <v>25411</v>
      </c>
      <c r="O144" s="231">
        <v>25273.8</v>
      </c>
      <c r="P144" s="228">
        <v>137.19999999999999</v>
      </c>
      <c r="Q144" s="229">
        <v>5.4000000000000003E-3</v>
      </c>
      <c r="R144" s="231">
        <v>25540.1</v>
      </c>
      <c r="S144" s="231">
        <v>25403</v>
      </c>
      <c r="T144" s="228">
        <v>137.1</v>
      </c>
      <c r="U144" s="229">
        <v>5.4000000000000003E-3</v>
      </c>
      <c r="V144" s="231">
        <v>25701.9</v>
      </c>
      <c r="W144" s="231">
        <v>25561.4</v>
      </c>
      <c r="X144" s="228">
        <v>140.5</v>
      </c>
      <c r="Y144" s="229">
        <v>5.4999999999999997E-3</v>
      </c>
      <c r="Z144" s="228">
        <v>125.65</v>
      </c>
      <c r="AA144" s="228">
        <v>92</v>
      </c>
      <c r="AB144" s="228">
        <v>33.65</v>
      </c>
      <c r="AC144" s="229">
        <v>5.0000000000000001E-3</v>
      </c>
      <c r="AD144" s="228">
        <v>125.65</v>
      </c>
      <c r="AE144" s="228">
        <v>92</v>
      </c>
      <c r="AF144" s="228">
        <v>33.65</v>
      </c>
      <c r="AG144" s="229">
        <v>5.0000000000000001E-3</v>
      </c>
      <c r="AH144" s="228">
        <v>254.75</v>
      </c>
      <c r="AI144" s="228">
        <v>221.2</v>
      </c>
      <c r="AJ144" s="228">
        <v>33.549999999999997</v>
      </c>
      <c r="AK144" s="229">
        <v>1.01E-2</v>
      </c>
      <c r="AL144" s="228">
        <v>416.55</v>
      </c>
      <c r="AM144" s="228">
        <v>379.6</v>
      </c>
      <c r="AN144" s="228">
        <v>36.950000000000003</v>
      </c>
      <c r="AO144" s="229">
        <v>1.6500000000000001E-2</v>
      </c>
      <c r="AP144" s="231">
        <v>25396.17</v>
      </c>
      <c r="AQ144" s="231">
        <v>25525.919999999998</v>
      </c>
      <c r="AR144" s="228">
        <v>0</v>
      </c>
      <c r="AS144" s="230">
        <v>12606</v>
      </c>
      <c r="AT144" s="230">
        <v>13732</v>
      </c>
      <c r="AU144" s="230">
        <v>-1126</v>
      </c>
      <c r="AV144" s="229">
        <v>-8.2000000000000003E-2</v>
      </c>
      <c r="AW144" s="230">
        <v>11236</v>
      </c>
      <c r="AX144" s="230">
        <v>12823</v>
      </c>
      <c r="AY144" s="230">
        <v>-1587</v>
      </c>
      <c r="AZ144" s="229">
        <v>-0.1237</v>
      </c>
      <c r="BA144" s="230">
        <v>1024</v>
      </c>
      <c r="BB144" s="228">
        <v>629</v>
      </c>
      <c r="BC144" s="228">
        <v>395</v>
      </c>
      <c r="BD144" s="229">
        <v>0.62780000000000002</v>
      </c>
      <c r="BE144" s="228">
        <v>345</v>
      </c>
      <c r="BF144" s="228">
        <v>280</v>
      </c>
      <c r="BG144" s="228">
        <v>65</v>
      </c>
      <c r="BH144" s="229">
        <v>0.23280000000000001</v>
      </c>
      <c r="BI144" s="230">
        <v>9679498</v>
      </c>
      <c r="BJ144" s="230">
        <v>6789479</v>
      </c>
      <c r="BK144" s="230">
        <v>2890020</v>
      </c>
      <c r="BL144" s="229">
        <v>0.42570000000000002</v>
      </c>
      <c r="BM144" s="230">
        <v>9045143</v>
      </c>
      <c r="BN144" s="230">
        <v>6072624</v>
      </c>
      <c r="BO144" s="230">
        <v>2972519</v>
      </c>
      <c r="BP144" s="229">
        <v>0.48949999999999999</v>
      </c>
      <c r="BQ144" s="230">
        <v>18737247</v>
      </c>
      <c r="BR144" s="230">
        <v>12875834</v>
      </c>
      <c r="BS144" s="230">
        <v>5861413</v>
      </c>
      <c r="BT144" s="229">
        <v>0.45519999999999999</v>
      </c>
      <c r="BU144" s="228">
        <v>0</v>
      </c>
      <c r="BV144" s="228">
        <v>0</v>
      </c>
      <c r="BW144" s="228">
        <v>0</v>
      </c>
      <c r="BX144" s="229">
        <v>0</v>
      </c>
      <c r="BY144" s="230">
        <v>47824</v>
      </c>
      <c r="BZ144" s="230">
        <v>48069</v>
      </c>
      <c r="CA144" s="228">
        <v>-245</v>
      </c>
      <c r="CB144" s="229">
        <v>-5.1000000000000004E-3</v>
      </c>
      <c r="CC144" s="230">
        <v>43933</v>
      </c>
      <c r="CD144" s="230">
        <v>44495</v>
      </c>
      <c r="CE144" s="228">
        <v>-562</v>
      </c>
      <c r="CF144" s="229">
        <v>-1.26E-2</v>
      </c>
      <c r="CG144" s="230">
        <v>3165</v>
      </c>
      <c r="CH144" s="230">
        <v>2915</v>
      </c>
      <c r="CI144" s="228">
        <v>250</v>
      </c>
      <c r="CJ144" s="229">
        <v>8.5699999999999998E-2</v>
      </c>
      <c r="CK144" s="228">
        <v>726</v>
      </c>
      <c r="CL144" s="228">
        <v>659</v>
      </c>
      <c r="CM144" s="228">
        <v>67</v>
      </c>
      <c r="CN144" s="229">
        <v>0.10150000000000001</v>
      </c>
      <c r="CO144" s="230">
        <v>610958</v>
      </c>
      <c r="CP144" s="230">
        <v>593854</v>
      </c>
      <c r="CQ144" s="230">
        <v>17104</v>
      </c>
      <c r="CR144" s="229">
        <v>2.8799999999999999E-2</v>
      </c>
      <c r="CS144" s="230">
        <v>806312</v>
      </c>
      <c r="CT144" s="230">
        <v>628639</v>
      </c>
      <c r="CU144" s="230">
        <v>177673</v>
      </c>
      <c r="CV144" s="229">
        <v>0.28260000000000002</v>
      </c>
      <c r="CW144" s="230">
        <v>1465094</v>
      </c>
      <c r="CX144" s="230">
        <v>1270562</v>
      </c>
      <c r="CY144" s="230">
        <v>194532</v>
      </c>
      <c r="CZ144" s="229">
        <v>0.15310000000000001</v>
      </c>
      <c r="DA144" s="228">
        <v>9.58</v>
      </c>
      <c r="DB144" s="228">
        <v>9.57</v>
      </c>
      <c r="DC144" s="228">
        <v>0.01</v>
      </c>
      <c r="DD144" s="228">
        <v>0.01</v>
      </c>
      <c r="DE144" s="228">
        <v>15.13</v>
      </c>
      <c r="DF144" s="228">
        <v>15.16</v>
      </c>
      <c r="DG144" s="228">
        <v>-5.55</v>
      </c>
      <c r="DH144" s="228">
        <v>-0.03</v>
      </c>
      <c r="DI144" s="228">
        <v>8.61</v>
      </c>
      <c r="DJ144" s="228">
        <v>8.83</v>
      </c>
      <c r="DK144" s="228">
        <v>-0.22</v>
      </c>
      <c r="DL144" s="228">
        <v>-0.22</v>
      </c>
      <c r="DM144" s="228">
        <v>10.64</v>
      </c>
      <c r="DN144" s="228">
        <v>10.39</v>
      </c>
      <c r="DO144" s="228">
        <v>0.25</v>
      </c>
      <c r="DP144" s="228">
        <v>0.25</v>
      </c>
      <c r="DQ144" s="228">
        <v>1.32</v>
      </c>
      <c r="DR144" s="228">
        <v>1.06</v>
      </c>
      <c r="DS144" s="228">
        <v>0.26</v>
      </c>
      <c r="DT144" s="229">
        <v>0.24529999999999999</v>
      </c>
      <c r="DU144" s="231">
        <v>26000</v>
      </c>
      <c r="DV144" s="231">
        <v>25200</v>
      </c>
      <c r="DW144" s="228">
        <v>0.93</v>
      </c>
      <c r="DX144" s="228">
        <v>0.89</v>
      </c>
      <c r="DY144" s="228">
        <v>0.04</v>
      </c>
      <c r="DZ144" s="229">
        <v>4.4900000000000002E-2</v>
      </c>
      <c r="EA144" s="229">
        <v>8.1299999999999997E-2</v>
      </c>
      <c r="EB144" s="230">
        <v>1406325</v>
      </c>
      <c r="EC144" s="229">
        <v>5.1000000000000004E-3</v>
      </c>
      <c r="ED144" s="229">
        <v>8.1299999999999997E-2</v>
      </c>
      <c r="EE144" s="228">
        <v>129.75</v>
      </c>
      <c r="EF144" s="229">
        <v>5.1000000000000004E-3</v>
      </c>
      <c r="EG144" s="228">
        <v>0</v>
      </c>
      <c r="EH144" s="228">
        <v>0</v>
      </c>
      <c r="EI144" s="229">
        <v>0</v>
      </c>
      <c r="EJ144" s="229">
        <v>0</v>
      </c>
      <c r="EK144" s="231">
        <v>9730570.8399999999</v>
      </c>
      <c r="EL144" s="231">
        <v>8888689.5199999996</v>
      </c>
      <c r="EM144" s="231">
        <v>12607.65</v>
      </c>
      <c r="EN144" s="228">
        <v>735.6</v>
      </c>
      <c r="EO144" s="231">
        <v>18631868.02</v>
      </c>
      <c r="EP144" s="231">
        <v>12757845.859999999</v>
      </c>
      <c r="EQ144" s="231">
        <v>5874022.1500000004</v>
      </c>
      <c r="ER144" s="229">
        <v>0.46039999999999998</v>
      </c>
      <c r="ES144" s="231">
        <v>619068.53</v>
      </c>
      <c r="ET144" s="231">
        <v>779076.93</v>
      </c>
      <c r="EU144" s="231">
        <v>47848.01</v>
      </c>
      <c r="EV144" s="228">
        <v>0</v>
      </c>
      <c r="EW144" s="231">
        <v>1445993.47</v>
      </c>
      <c r="EX144" s="231">
        <v>1253962.01</v>
      </c>
      <c r="EY144" s="231">
        <v>192031.46</v>
      </c>
      <c r="EZ144" s="229">
        <v>0.15310000000000001</v>
      </c>
      <c r="FA144" s="229">
        <v>0</v>
      </c>
      <c r="FB144" s="227" t="s">
        <v>556</v>
      </c>
      <c r="FC144">
        <f t="shared" si="2"/>
        <v>3891</v>
      </c>
    </row>
    <row r="145" spans="1:159" ht="17.25" thickBot="1" x14ac:dyDescent="0.3">
      <c r="A145" s="226">
        <v>45940</v>
      </c>
      <c r="B145" s="227" t="s">
        <v>181</v>
      </c>
      <c r="C145" s="227" t="s">
        <v>566</v>
      </c>
      <c r="D145" s="228">
        <v>25</v>
      </c>
      <c r="E145" s="228">
        <v>18</v>
      </c>
      <c r="F145" s="231">
        <v>68958.600000000006</v>
      </c>
      <c r="G145" s="231">
        <v>68778</v>
      </c>
      <c r="H145" s="228">
        <v>180.6</v>
      </c>
      <c r="I145" s="229">
        <v>2.5999999999999999E-3</v>
      </c>
      <c r="J145" s="231">
        <v>68687.25</v>
      </c>
      <c r="K145" s="231">
        <v>68520.25</v>
      </c>
      <c r="L145" s="228">
        <v>167</v>
      </c>
      <c r="M145" s="229">
        <v>2.3999999999999998E-3</v>
      </c>
      <c r="N145" s="231">
        <v>68958.600000000006</v>
      </c>
      <c r="O145" s="231">
        <v>68778</v>
      </c>
      <c r="P145" s="228">
        <v>180.6</v>
      </c>
      <c r="Q145" s="229">
        <v>2.5999999999999999E-3</v>
      </c>
      <c r="R145" s="231">
        <v>69401</v>
      </c>
      <c r="S145" s="231">
        <v>69149.8</v>
      </c>
      <c r="T145" s="228">
        <v>251.2</v>
      </c>
      <c r="U145" s="229">
        <v>3.5999999999999999E-3</v>
      </c>
      <c r="V145" s="231">
        <v>69500</v>
      </c>
      <c r="W145" s="231">
        <v>69500</v>
      </c>
      <c r="X145" s="228">
        <v>0</v>
      </c>
      <c r="Y145" s="229">
        <v>0</v>
      </c>
      <c r="Z145" s="228">
        <v>271.35000000000002</v>
      </c>
      <c r="AA145" s="228">
        <v>257.75</v>
      </c>
      <c r="AB145" s="228">
        <v>13.6</v>
      </c>
      <c r="AC145" s="229">
        <v>4.0000000000000001E-3</v>
      </c>
      <c r="AD145" s="228">
        <v>271.35000000000002</v>
      </c>
      <c r="AE145" s="228">
        <v>257.75</v>
      </c>
      <c r="AF145" s="228">
        <v>13.6</v>
      </c>
      <c r="AG145" s="229">
        <v>4.0000000000000001E-3</v>
      </c>
      <c r="AH145" s="228">
        <v>713.75</v>
      </c>
      <c r="AI145" s="228">
        <v>629.54999999999995</v>
      </c>
      <c r="AJ145" s="228">
        <v>84.2</v>
      </c>
      <c r="AK145" s="229">
        <v>1.04E-2</v>
      </c>
      <c r="AL145" s="228">
        <v>812.75</v>
      </c>
      <c r="AM145" s="228">
        <v>979.75</v>
      </c>
      <c r="AN145" s="228">
        <v>-167</v>
      </c>
      <c r="AO145" s="229">
        <v>1.18E-2</v>
      </c>
      <c r="AP145" s="231">
        <v>69031.520000000004</v>
      </c>
      <c r="AQ145" s="231">
        <v>69493.91</v>
      </c>
      <c r="AR145" s="228">
        <v>0</v>
      </c>
      <c r="AS145" s="228">
        <v>56</v>
      </c>
      <c r="AT145" s="228">
        <v>29</v>
      </c>
      <c r="AU145" s="228">
        <v>27</v>
      </c>
      <c r="AV145" s="229">
        <v>0.92310000000000003</v>
      </c>
      <c r="AW145" s="228">
        <v>52</v>
      </c>
      <c r="AX145" s="228">
        <v>28</v>
      </c>
      <c r="AY145" s="228">
        <v>24</v>
      </c>
      <c r="AZ145" s="229">
        <v>0.8528</v>
      </c>
      <c r="BA145" s="228">
        <v>4</v>
      </c>
      <c r="BB145" s="228">
        <v>1</v>
      </c>
      <c r="BC145" s="228">
        <v>3</v>
      </c>
      <c r="BD145" s="229">
        <v>2.8332999999999999</v>
      </c>
      <c r="BE145" s="228">
        <v>0</v>
      </c>
      <c r="BF145" s="228">
        <v>0</v>
      </c>
      <c r="BG145" s="228">
        <v>0</v>
      </c>
      <c r="BH145" s="229">
        <v>0</v>
      </c>
      <c r="BI145" s="228">
        <v>46</v>
      </c>
      <c r="BJ145" s="228">
        <v>28</v>
      </c>
      <c r="BK145" s="228">
        <v>18</v>
      </c>
      <c r="BL145" s="229">
        <v>0.6341</v>
      </c>
      <c r="BM145" s="228">
        <v>13</v>
      </c>
      <c r="BN145" s="228">
        <v>18</v>
      </c>
      <c r="BO145" s="228">
        <v>-5</v>
      </c>
      <c r="BP145" s="229">
        <v>-0.27179999999999999</v>
      </c>
      <c r="BQ145" s="228">
        <v>115</v>
      </c>
      <c r="BR145" s="228">
        <v>75</v>
      </c>
      <c r="BS145" s="228">
        <v>40</v>
      </c>
      <c r="BT145" s="229">
        <v>0.53210000000000002</v>
      </c>
      <c r="BU145" s="228">
        <v>0</v>
      </c>
      <c r="BV145" s="228">
        <v>0</v>
      </c>
      <c r="BW145" s="228">
        <v>0</v>
      </c>
      <c r="BX145" s="229">
        <v>0</v>
      </c>
      <c r="BY145" s="228">
        <v>164</v>
      </c>
      <c r="BZ145" s="228">
        <v>172</v>
      </c>
      <c r="CA145" s="228">
        <v>-8</v>
      </c>
      <c r="CB145" s="229">
        <v>-4.4200000000000003E-2</v>
      </c>
      <c r="CC145" s="228">
        <v>142</v>
      </c>
      <c r="CD145" s="228">
        <v>151</v>
      </c>
      <c r="CE145" s="228">
        <v>-9</v>
      </c>
      <c r="CF145" s="229">
        <v>-6.0400000000000002E-2</v>
      </c>
      <c r="CG145" s="228">
        <v>22</v>
      </c>
      <c r="CH145" s="228">
        <v>20</v>
      </c>
      <c r="CI145" s="228">
        <v>2</v>
      </c>
      <c r="CJ145" s="229">
        <v>7.7600000000000002E-2</v>
      </c>
      <c r="CK145" s="228">
        <v>1</v>
      </c>
      <c r="CL145" s="228">
        <v>1</v>
      </c>
      <c r="CM145" s="228">
        <v>0</v>
      </c>
      <c r="CN145" s="229">
        <v>0</v>
      </c>
      <c r="CO145" s="228">
        <v>44</v>
      </c>
      <c r="CP145" s="228">
        <v>32</v>
      </c>
      <c r="CQ145" s="228">
        <v>12</v>
      </c>
      <c r="CR145" s="229">
        <v>0.35639999999999999</v>
      </c>
      <c r="CS145" s="228">
        <v>15</v>
      </c>
      <c r="CT145" s="228">
        <v>14</v>
      </c>
      <c r="CU145" s="228">
        <v>1</v>
      </c>
      <c r="CV145" s="229">
        <v>6.0999999999999999E-2</v>
      </c>
      <c r="CW145" s="228">
        <v>223</v>
      </c>
      <c r="CX145" s="228">
        <v>218</v>
      </c>
      <c r="CY145" s="228">
        <v>5</v>
      </c>
      <c r="CZ145" s="229">
        <v>2.2100000000000002E-2</v>
      </c>
      <c r="DA145" s="228">
        <v>13.08</v>
      </c>
      <c r="DB145" s="228">
        <v>12.42</v>
      </c>
      <c r="DC145" s="228">
        <v>0.66</v>
      </c>
      <c r="DD145" s="228">
        <v>0.66</v>
      </c>
      <c r="DE145" s="228">
        <v>21.38</v>
      </c>
      <c r="DF145" s="228">
        <v>21.44</v>
      </c>
      <c r="DG145" s="228">
        <v>-8.3000000000000007</v>
      </c>
      <c r="DH145" s="228">
        <v>-0.06</v>
      </c>
      <c r="DI145" s="228">
        <v>13.44</v>
      </c>
      <c r="DJ145" s="228">
        <v>12.29</v>
      </c>
      <c r="DK145" s="228">
        <v>1.1499999999999999</v>
      </c>
      <c r="DL145" s="228">
        <v>1.1499999999999999</v>
      </c>
      <c r="DM145" s="228">
        <v>11.78</v>
      </c>
      <c r="DN145" s="228">
        <v>12.64</v>
      </c>
      <c r="DO145" s="228">
        <v>-0.86</v>
      </c>
      <c r="DP145" s="228">
        <v>-0.86</v>
      </c>
      <c r="DQ145" s="228">
        <v>0.34</v>
      </c>
      <c r="DR145" s="228">
        <v>0.44</v>
      </c>
      <c r="DS145" s="228">
        <v>-0.1</v>
      </c>
      <c r="DT145" s="229">
        <v>-0.2273</v>
      </c>
      <c r="DU145" s="231">
        <v>68000</v>
      </c>
      <c r="DV145" s="231">
        <v>67500</v>
      </c>
      <c r="DW145" s="228">
        <v>0.28000000000000003</v>
      </c>
      <c r="DX145" s="228">
        <v>0.63</v>
      </c>
      <c r="DY145" s="228">
        <v>-0.35</v>
      </c>
      <c r="DZ145" s="229">
        <v>-0.55559999999999998</v>
      </c>
      <c r="EA145" s="229">
        <v>0.13450000000000001</v>
      </c>
      <c r="EB145" s="230">
        <v>2975</v>
      </c>
      <c r="EC145" s="229">
        <v>6.4000000000000003E-3</v>
      </c>
      <c r="ED145" s="229">
        <v>0.13450000000000001</v>
      </c>
      <c r="EE145" s="228">
        <v>462.39</v>
      </c>
      <c r="EF145" s="229">
        <v>6.7000000000000002E-3</v>
      </c>
      <c r="EG145" s="228">
        <v>0</v>
      </c>
      <c r="EH145" s="228">
        <v>0</v>
      </c>
      <c r="EI145" s="229">
        <v>0</v>
      </c>
      <c r="EJ145" s="229">
        <v>0</v>
      </c>
      <c r="EK145" s="228">
        <v>46.64</v>
      </c>
      <c r="EL145" s="228">
        <v>12.92</v>
      </c>
      <c r="EM145" s="228">
        <v>56.11</v>
      </c>
      <c r="EN145" s="228">
        <v>0</v>
      </c>
      <c r="EO145" s="228">
        <v>115.67</v>
      </c>
      <c r="EP145" s="228">
        <v>75.19</v>
      </c>
      <c r="EQ145" s="228">
        <v>40.479999999999997</v>
      </c>
      <c r="ER145" s="229">
        <v>0.53839999999999999</v>
      </c>
      <c r="ES145" s="228">
        <v>43.52</v>
      </c>
      <c r="ET145" s="228">
        <v>14.71</v>
      </c>
      <c r="EU145" s="228">
        <v>164.26</v>
      </c>
      <c r="EV145" s="228">
        <v>0</v>
      </c>
      <c r="EW145" s="228">
        <v>222.5</v>
      </c>
      <c r="EX145" s="228">
        <v>217.31</v>
      </c>
      <c r="EY145" s="228">
        <v>5.19</v>
      </c>
      <c r="EZ145" s="229">
        <v>2.3900000000000001E-2</v>
      </c>
      <c r="FA145" s="229">
        <v>0</v>
      </c>
      <c r="FB145" s="227" t="s">
        <v>556</v>
      </c>
      <c r="FC145">
        <f t="shared" si="2"/>
        <v>22</v>
      </c>
    </row>
    <row r="146" spans="1:159" ht="17.25" thickBot="1" x14ac:dyDescent="0.3">
      <c r="A146" s="226">
        <v>45940</v>
      </c>
      <c r="B146" s="227" t="s">
        <v>227</v>
      </c>
      <c r="C146" s="227" t="s">
        <v>267</v>
      </c>
      <c r="D146" s="228">
        <v>13500</v>
      </c>
      <c r="E146" s="228">
        <v>18</v>
      </c>
      <c r="F146" s="228">
        <v>77.36</v>
      </c>
      <c r="G146" s="228">
        <v>79.11</v>
      </c>
      <c r="H146" s="228">
        <v>-1.75</v>
      </c>
      <c r="I146" s="229">
        <v>-2.2100000000000002E-2</v>
      </c>
      <c r="J146" s="228">
        <v>77.13</v>
      </c>
      <c r="K146" s="228">
        <v>78.8</v>
      </c>
      <c r="L146" s="228">
        <v>-1.67</v>
      </c>
      <c r="M146" s="229">
        <v>-2.12E-2</v>
      </c>
      <c r="N146" s="228">
        <v>77.36</v>
      </c>
      <c r="O146" s="228">
        <v>79.11</v>
      </c>
      <c r="P146" s="228">
        <v>-1.75</v>
      </c>
      <c r="Q146" s="229">
        <v>-2.2100000000000002E-2</v>
      </c>
      <c r="R146" s="228">
        <v>77.790000000000006</v>
      </c>
      <c r="S146" s="228">
        <v>79.55</v>
      </c>
      <c r="T146" s="228">
        <v>-1.76</v>
      </c>
      <c r="U146" s="229">
        <v>-2.2100000000000002E-2</v>
      </c>
      <c r="V146" s="228">
        <v>78.290000000000006</v>
      </c>
      <c r="W146" s="228">
        <v>79.98</v>
      </c>
      <c r="X146" s="228">
        <v>-1.69</v>
      </c>
      <c r="Y146" s="229">
        <v>-2.1100000000000001E-2</v>
      </c>
      <c r="Z146" s="228">
        <v>0.23</v>
      </c>
      <c r="AA146" s="228">
        <v>0.31</v>
      </c>
      <c r="AB146" s="228">
        <v>-0.08</v>
      </c>
      <c r="AC146" s="229">
        <v>3.0000000000000001E-3</v>
      </c>
      <c r="AD146" s="228">
        <v>0.23</v>
      </c>
      <c r="AE146" s="228">
        <v>0.31</v>
      </c>
      <c r="AF146" s="228">
        <v>-0.08</v>
      </c>
      <c r="AG146" s="229">
        <v>3.0000000000000001E-3</v>
      </c>
      <c r="AH146" s="228">
        <v>0.66</v>
      </c>
      <c r="AI146" s="228">
        <v>0.75</v>
      </c>
      <c r="AJ146" s="228">
        <v>-0.09</v>
      </c>
      <c r="AK146" s="229">
        <v>8.6E-3</v>
      </c>
      <c r="AL146" s="228">
        <v>1.1599999999999999</v>
      </c>
      <c r="AM146" s="228">
        <v>1.18</v>
      </c>
      <c r="AN146" s="228">
        <v>-0.02</v>
      </c>
      <c r="AO146" s="229">
        <v>1.4999999999999999E-2</v>
      </c>
      <c r="AP146" s="228">
        <v>77.45</v>
      </c>
      <c r="AQ146" s="228">
        <v>77.86</v>
      </c>
      <c r="AR146" s="228">
        <v>0</v>
      </c>
      <c r="AS146" s="228">
        <v>444</v>
      </c>
      <c r="AT146" s="228">
        <v>524</v>
      </c>
      <c r="AU146" s="228">
        <v>-80</v>
      </c>
      <c r="AV146" s="229">
        <v>-0.1532</v>
      </c>
      <c r="AW146" s="228">
        <v>367</v>
      </c>
      <c r="AX146" s="228">
        <v>450</v>
      </c>
      <c r="AY146" s="228">
        <v>-83</v>
      </c>
      <c r="AZ146" s="229">
        <v>-0.18340000000000001</v>
      </c>
      <c r="BA146" s="228">
        <v>66</v>
      </c>
      <c r="BB146" s="228">
        <v>62</v>
      </c>
      <c r="BC146" s="228">
        <v>4</v>
      </c>
      <c r="BD146" s="229">
        <v>6.0199999999999997E-2</v>
      </c>
      <c r="BE146" s="228">
        <v>11</v>
      </c>
      <c r="BF146" s="228">
        <v>12</v>
      </c>
      <c r="BG146" s="228">
        <v>-2</v>
      </c>
      <c r="BH146" s="229">
        <v>-0.1293</v>
      </c>
      <c r="BI146" s="230">
        <v>1446</v>
      </c>
      <c r="BJ146" s="230">
        <v>1926</v>
      </c>
      <c r="BK146" s="228">
        <v>-480</v>
      </c>
      <c r="BL146" s="229">
        <v>-0.2492</v>
      </c>
      <c r="BM146" s="228">
        <v>656</v>
      </c>
      <c r="BN146" s="228">
        <v>890</v>
      </c>
      <c r="BO146" s="228">
        <v>-234</v>
      </c>
      <c r="BP146" s="229">
        <v>-0.2631</v>
      </c>
      <c r="BQ146" s="230">
        <v>2546</v>
      </c>
      <c r="BR146" s="230">
        <v>3340</v>
      </c>
      <c r="BS146" s="228">
        <v>-794</v>
      </c>
      <c r="BT146" s="229">
        <v>-0.23780000000000001</v>
      </c>
      <c r="BU146" s="230">
        <v>25527364</v>
      </c>
      <c r="BV146" s="230">
        <v>37777554</v>
      </c>
      <c r="BW146" s="230">
        <v>-12250190</v>
      </c>
      <c r="BX146" s="229">
        <v>-0.32429999999999998</v>
      </c>
      <c r="BY146" s="230">
        <v>2223</v>
      </c>
      <c r="BZ146" s="230">
        <v>2174</v>
      </c>
      <c r="CA146" s="228">
        <v>49</v>
      </c>
      <c r="CB146" s="229">
        <v>2.2499999999999999E-2</v>
      </c>
      <c r="CC146" s="230">
        <v>2119</v>
      </c>
      <c r="CD146" s="230">
        <v>2105</v>
      </c>
      <c r="CE146" s="228">
        <v>14</v>
      </c>
      <c r="CF146" s="229">
        <v>6.4000000000000003E-3</v>
      </c>
      <c r="CG146" s="228">
        <v>93</v>
      </c>
      <c r="CH146" s="228">
        <v>61</v>
      </c>
      <c r="CI146" s="228">
        <v>32</v>
      </c>
      <c r="CJ146" s="229">
        <v>0.5171</v>
      </c>
      <c r="CK146" s="228">
        <v>11</v>
      </c>
      <c r="CL146" s="228">
        <v>8</v>
      </c>
      <c r="CM146" s="228">
        <v>4</v>
      </c>
      <c r="CN146" s="229">
        <v>0.48649999999999999</v>
      </c>
      <c r="CO146" s="230">
        <v>1021</v>
      </c>
      <c r="CP146" s="228">
        <v>868</v>
      </c>
      <c r="CQ146" s="228">
        <v>153</v>
      </c>
      <c r="CR146" s="229">
        <v>0.17610000000000001</v>
      </c>
      <c r="CS146" s="228">
        <v>585</v>
      </c>
      <c r="CT146" s="228">
        <v>599</v>
      </c>
      <c r="CU146" s="228">
        <v>-13</v>
      </c>
      <c r="CV146" s="229">
        <v>-2.23E-2</v>
      </c>
      <c r="CW146" s="230">
        <v>3830</v>
      </c>
      <c r="CX146" s="230">
        <v>3641</v>
      </c>
      <c r="CY146" s="228">
        <v>189</v>
      </c>
      <c r="CZ146" s="229">
        <v>5.1799999999999999E-2</v>
      </c>
      <c r="DA146" s="228">
        <v>29.76</v>
      </c>
      <c r="DB146" s="228">
        <v>27.75</v>
      </c>
      <c r="DC146" s="228">
        <v>2.0099999999999998</v>
      </c>
      <c r="DD146" s="228">
        <v>2.0099999999999998</v>
      </c>
      <c r="DE146" s="228">
        <v>39.880000000000003</v>
      </c>
      <c r="DF146" s="228">
        <v>39.869999999999997</v>
      </c>
      <c r="DG146" s="228">
        <v>-10.119999999999999</v>
      </c>
      <c r="DH146" s="228">
        <v>0.01</v>
      </c>
      <c r="DI146" s="228">
        <v>30.01</v>
      </c>
      <c r="DJ146" s="228">
        <v>27.3</v>
      </c>
      <c r="DK146" s="228">
        <v>2.71</v>
      </c>
      <c r="DL146" s="228">
        <v>2.71</v>
      </c>
      <c r="DM146" s="228">
        <v>29.2</v>
      </c>
      <c r="DN146" s="228">
        <v>28.72</v>
      </c>
      <c r="DO146" s="228">
        <v>0.48</v>
      </c>
      <c r="DP146" s="228">
        <v>0.48</v>
      </c>
      <c r="DQ146" s="228">
        <v>0.56999999999999995</v>
      </c>
      <c r="DR146" s="228">
        <v>0.69</v>
      </c>
      <c r="DS146" s="228">
        <v>-0.12</v>
      </c>
      <c r="DT146" s="229">
        <v>-0.1739</v>
      </c>
      <c r="DU146" s="228">
        <v>80</v>
      </c>
      <c r="DV146" s="228">
        <v>70</v>
      </c>
      <c r="DW146" s="228">
        <v>0.45</v>
      </c>
      <c r="DX146" s="228">
        <v>0.46</v>
      </c>
      <c r="DY146" s="228">
        <v>-0.01</v>
      </c>
      <c r="DZ146" s="229">
        <v>-2.1700000000000001E-2</v>
      </c>
      <c r="EA146" s="229">
        <v>4.6899999999999997E-2</v>
      </c>
      <c r="EB146" s="230">
        <v>8910000</v>
      </c>
      <c r="EC146" s="229">
        <v>5.5999999999999999E-3</v>
      </c>
      <c r="ED146" s="229">
        <v>4.6899999999999997E-2</v>
      </c>
      <c r="EE146" s="228">
        <v>0.41</v>
      </c>
      <c r="EF146" s="229">
        <v>5.3E-3</v>
      </c>
      <c r="EG146" s="230">
        <v>10427984</v>
      </c>
      <c r="EH146" s="230">
        <v>15947046</v>
      </c>
      <c r="EI146" s="229">
        <v>-0.34610000000000002</v>
      </c>
      <c r="EJ146" s="229">
        <v>0.40849999999999997</v>
      </c>
      <c r="EK146" s="231">
        <v>1518.84</v>
      </c>
      <c r="EL146" s="228">
        <v>654.37</v>
      </c>
      <c r="EM146" s="228">
        <v>445.03</v>
      </c>
      <c r="EN146" s="228">
        <v>29.86</v>
      </c>
      <c r="EO146" s="231">
        <v>2618.25</v>
      </c>
      <c r="EP146" s="231">
        <v>3451.69</v>
      </c>
      <c r="EQ146" s="228">
        <v>-833.44</v>
      </c>
      <c r="ER146" s="229">
        <v>-0.24149999999999999</v>
      </c>
      <c r="ES146" s="231">
        <v>1058.44</v>
      </c>
      <c r="ET146" s="228">
        <v>566.25</v>
      </c>
      <c r="EU146" s="231">
        <v>2223.7800000000002</v>
      </c>
      <c r="EV146" s="231">
        <v>517037525</v>
      </c>
      <c r="EW146" s="231">
        <v>3848.47</v>
      </c>
      <c r="EX146" s="231">
        <v>3702.4</v>
      </c>
      <c r="EY146" s="228">
        <v>146.07</v>
      </c>
      <c r="EZ146" s="229">
        <v>3.95E-2</v>
      </c>
      <c r="FA146" s="229">
        <v>0.95750000000000002</v>
      </c>
      <c r="FB146" s="227" t="s">
        <v>567</v>
      </c>
      <c r="FC146">
        <f t="shared" si="2"/>
        <v>104</v>
      </c>
    </row>
    <row r="147" spans="1:159" ht="17.25" thickBot="1" x14ac:dyDescent="0.3">
      <c r="A147" s="226">
        <v>45940</v>
      </c>
      <c r="B147" s="227" t="s">
        <v>161</v>
      </c>
      <c r="C147" s="227" t="s">
        <v>268</v>
      </c>
      <c r="D147" s="228">
        <v>1500</v>
      </c>
      <c r="E147" s="228">
        <v>18</v>
      </c>
      <c r="F147" s="228">
        <v>340.7</v>
      </c>
      <c r="G147" s="228">
        <v>336.6</v>
      </c>
      <c r="H147" s="228">
        <v>4.0999999999999996</v>
      </c>
      <c r="I147" s="229">
        <v>1.2200000000000001E-2</v>
      </c>
      <c r="J147" s="228">
        <v>339.7</v>
      </c>
      <c r="K147" s="228">
        <v>335.85</v>
      </c>
      <c r="L147" s="228">
        <v>3.85</v>
      </c>
      <c r="M147" s="229">
        <v>1.15E-2</v>
      </c>
      <c r="N147" s="228">
        <v>340.7</v>
      </c>
      <c r="O147" s="228">
        <v>336.6</v>
      </c>
      <c r="P147" s="228">
        <v>4.0999999999999996</v>
      </c>
      <c r="Q147" s="229">
        <v>1.2200000000000001E-2</v>
      </c>
      <c r="R147" s="228">
        <v>340.3</v>
      </c>
      <c r="S147" s="228">
        <v>336.15</v>
      </c>
      <c r="T147" s="228">
        <v>4.1500000000000004</v>
      </c>
      <c r="U147" s="229">
        <v>1.23E-2</v>
      </c>
      <c r="V147" s="228">
        <v>342.9</v>
      </c>
      <c r="W147" s="228">
        <v>338.45</v>
      </c>
      <c r="X147" s="228">
        <v>4.45</v>
      </c>
      <c r="Y147" s="229">
        <v>1.3100000000000001E-2</v>
      </c>
      <c r="Z147" s="228">
        <v>1</v>
      </c>
      <c r="AA147" s="228">
        <v>0.75</v>
      </c>
      <c r="AB147" s="228">
        <v>0.25</v>
      </c>
      <c r="AC147" s="229">
        <v>2.8999999999999998E-3</v>
      </c>
      <c r="AD147" s="228">
        <v>1</v>
      </c>
      <c r="AE147" s="228">
        <v>0.75</v>
      </c>
      <c r="AF147" s="228">
        <v>0.25</v>
      </c>
      <c r="AG147" s="229">
        <v>2.8999999999999998E-3</v>
      </c>
      <c r="AH147" s="228">
        <v>0.6</v>
      </c>
      <c r="AI147" s="228">
        <v>0.3</v>
      </c>
      <c r="AJ147" s="228">
        <v>0.3</v>
      </c>
      <c r="AK147" s="229">
        <v>1.8E-3</v>
      </c>
      <c r="AL147" s="228">
        <v>3.2</v>
      </c>
      <c r="AM147" s="228">
        <v>2.6</v>
      </c>
      <c r="AN147" s="228">
        <v>0.6</v>
      </c>
      <c r="AO147" s="229">
        <v>9.4000000000000004E-3</v>
      </c>
      <c r="AP147" s="228">
        <v>341.32</v>
      </c>
      <c r="AQ147" s="228">
        <v>341.05</v>
      </c>
      <c r="AR147" s="228">
        <v>0</v>
      </c>
      <c r="AS147" s="228">
        <v>434</v>
      </c>
      <c r="AT147" s="228">
        <v>279</v>
      </c>
      <c r="AU147" s="228">
        <v>156</v>
      </c>
      <c r="AV147" s="229">
        <v>0.55959999999999999</v>
      </c>
      <c r="AW147" s="228">
        <v>377</v>
      </c>
      <c r="AX147" s="228">
        <v>252</v>
      </c>
      <c r="AY147" s="228">
        <v>125</v>
      </c>
      <c r="AZ147" s="229">
        <v>0.49490000000000001</v>
      </c>
      <c r="BA147" s="228">
        <v>48</v>
      </c>
      <c r="BB147" s="228">
        <v>24</v>
      </c>
      <c r="BC147" s="228">
        <v>25</v>
      </c>
      <c r="BD147" s="229">
        <v>1.0366</v>
      </c>
      <c r="BE147" s="228">
        <v>9</v>
      </c>
      <c r="BF147" s="228">
        <v>2</v>
      </c>
      <c r="BG147" s="228">
        <v>6</v>
      </c>
      <c r="BH147" s="229">
        <v>2.7332999999999998</v>
      </c>
      <c r="BI147" s="230">
        <v>1886</v>
      </c>
      <c r="BJ147" s="230">
        <v>1233</v>
      </c>
      <c r="BK147" s="228">
        <v>653</v>
      </c>
      <c r="BL147" s="229">
        <v>0.52959999999999996</v>
      </c>
      <c r="BM147" s="228">
        <v>964</v>
      </c>
      <c r="BN147" s="228">
        <v>564</v>
      </c>
      <c r="BO147" s="228">
        <v>401</v>
      </c>
      <c r="BP147" s="229">
        <v>0.71130000000000004</v>
      </c>
      <c r="BQ147" s="230">
        <v>3285</v>
      </c>
      <c r="BR147" s="230">
        <v>2075</v>
      </c>
      <c r="BS147" s="230">
        <v>1210</v>
      </c>
      <c r="BT147" s="229">
        <v>0.58299999999999996</v>
      </c>
      <c r="BU147" s="230">
        <v>9439960</v>
      </c>
      <c r="BV147" s="230">
        <v>7158406</v>
      </c>
      <c r="BW147" s="230">
        <v>2281554</v>
      </c>
      <c r="BX147" s="229">
        <v>0.31869999999999998</v>
      </c>
      <c r="BY147" s="230">
        <v>3382</v>
      </c>
      <c r="BZ147" s="230">
        <v>3393</v>
      </c>
      <c r="CA147" s="228">
        <v>-11</v>
      </c>
      <c r="CB147" s="229">
        <v>-3.0999999999999999E-3</v>
      </c>
      <c r="CC147" s="230">
        <v>3215</v>
      </c>
      <c r="CD147" s="230">
        <v>3228</v>
      </c>
      <c r="CE147" s="228">
        <v>-13</v>
      </c>
      <c r="CF147" s="229">
        <v>-4.1000000000000003E-3</v>
      </c>
      <c r="CG147" s="228">
        <v>153</v>
      </c>
      <c r="CH147" s="228">
        <v>155</v>
      </c>
      <c r="CI147" s="228">
        <v>-2</v>
      </c>
      <c r="CJ147" s="229">
        <v>-1.09E-2</v>
      </c>
      <c r="CK147" s="228">
        <v>14</v>
      </c>
      <c r="CL147" s="228">
        <v>10</v>
      </c>
      <c r="CM147" s="228">
        <v>4</v>
      </c>
      <c r="CN147" s="229">
        <v>0.44679999999999997</v>
      </c>
      <c r="CO147" s="230">
        <v>1271</v>
      </c>
      <c r="CP147" s="230">
        <v>1210</v>
      </c>
      <c r="CQ147" s="228">
        <v>62</v>
      </c>
      <c r="CR147" s="229">
        <v>5.0999999999999997E-2</v>
      </c>
      <c r="CS147" s="228">
        <v>589</v>
      </c>
      <c r="CT147" s="228">
        <v>599</v>
      </c>
      <c r="CU147" s="228">
        <v>-11</v>
      </c>
      <c r="CV147" s="229">
        <v>-1.77E-2</v>
      </c>
      <c r="CW147" s="230">
        <v>5242</v>
      </c>
      <c r="CX147" s="230">
        <v>5202</v>
      </c>
      <c r="CY147" s="228">
        <v>41</v>
      </c>
      <c r="CZ147" s="229">
        <v>7.7999999999999996E-3</v>
      </c>
      <c r="DA147" s="228">
        <v>15.49</v>
      </c>
      <c r="DB147" s="228">
        <v>16.899999999999999</v>
      </c>
      <c r="DC147" s="228">
        <v>-1.41</v>
      </c>
      <c r="DD147" s="228">
        <v>-1.41</v>
      </c>
      <c r="DE147" s="228">
        <v>28.89</v>
      </c>
      <c r="DF147" s="228">
        <v>28.92</v>
      </c>
      <c r="DG147" s="228">
        <v>-13.4</v>
      </c>
      <c r="DH147" s="228">
        <v>-0.03</v>
      </c>
      <c r="DI147" s="228">
        <v>15.31</v>
      </c>
      <c r="DJ147" s="228">
        <v>16.739999999999998</v>
      </c>
      <c r="DK147" s="228">
        <v>-1.43</v>
      </c>
      <c r="DL147" s="228">
        <v>-1.43</v>
      </c>
      <c r="DM147" s="228">
        <v>15.85</v>
      </c>
      <c r="DN147" s="228">
        <v>17.260000000000002</v>
      </c>
      <c r="DO147" s="228">
        <v>-1.41</v>
      </c>
      <c r="DP147" s="228">
        <v>-1.41</v>
      </c>
      <c r="DQ147" s="228">
        <v>0.46</v>
      </c>
      <c r="DR147" s="228">
        <v>0.5</v>
      </c>
      <c r="DS147" s="228">
        <v>-0.04</v>
      </c>
      <c r="DT147" s="229">
        <v>-0.08</v>
      </c>
      <c r="DU147" s="228">
        <v>345</v>
      </c>
      <c r="DV147" s="228">
        <v>380</v>
      </c>
      <c r="DW147" s="228">
        <v>0.51</v>
      </c>
      <c r="DX147" s="228">
        <v>0.46</v>
      </c>
      <c r="DY147" s="228">
        <v>0.05</v>
      </c>
      <c r="DZ147" s="229">
        <v>0.1087</v>
      </c>
      <c r="EA147" s="229">
        <v>4.9500000000000002E-2</v>
      </c>
      <c r="EB147" s="230">
        <v>4836000</v>
      </c>
      <c r="EC147" s="229">
        <v>-1.1999999999999999E-3</v>
      </c>
      <c r="ED147" s="229">
        <v>4.9500000000000002E-2</v>
      </c>
      <c r="EE147" s="228">
        <v>-0.27</v>
      </c>
      <c r="EF147" s="229">
        <v>-8.0000000000000004E-4</v>
      </c>
      <c r="EG147" s="230">
        <v>6313886</v>
      </c>
      <c r="EH147" s="230">
        <v>3984998</v>
      </c>
      <c r="EI147" s="229">
        <v>0.58440000000000003</v>
      </c>
      <c r="EJ147" s="229">
        <v>0.66879999999999995</v>
      </c>
      <c r="EK147" s="231">
        <v>1934.52</v>
      </c>
      <c r="EL147" s="228">
        <v>961.6</v>
      </c>
      <c r="EM147" s="228">
        <v>435.19</v>
      </c>
      <c r="EN147" s="228">
        <v>61.7</v>
      </c>
      <c r="EO147" s="231">
        <v>3331.3</v>
      </c>
      <c r="EP147" s="231">
        <v>2077.86</v>
      </c>
      <c r="EQ147" s="231">
        <v>1253.44</v>
      </c>
      <c r="ER147" s="229">
        <v>0.60319999999999996</v>
      </c>
      <c r="ES147" s="231">
        <v>1311.11</v>
      </c>
      <c r="ET147" s="228">
        <v>583.84</v>
      </c>
      <c r="EU147" s="231">
        <v>3382.04</v>
      </c>
      <c r="EV147" s="231">
        <v>572782298</v>
      </c>
      <c r="EW147" s="231">
        <v>5276.99</v>
      </c>
      <c r="EX147" s="231">
        <v>5191.32</v>
      </c>
      <c r="EY147" s="228">
        <v>85.67</v>
      </c>
      <c r="EZ147" s="229">
        <v>1.6500000000000001E-2</v>
      </c>
      <c r="FA147" s="229">
        <v>0.26860000000000001</v>
      </c>
      <c r="FB147" s="227" t="s">
        <v>556</v>
      </c>
      <c r="FC147">
        <f t="shared" si="2"/>
        <v>167</v>
      </c>
    </row>
    <row r="148" spans="1:159" ht="17.25" thickBot="1" x14ac:dyDescent="0.3">
      <c r="A148" s="226">
        <v>45940</v>
      </c>
      <c r="B148" s="227" t="s">
        <v>175</v>
      </c>
      <c r="C148" s="227" t="s">
        <v>687</v>
      </c>
      <c r="D148" s="228">
        <v>75</v>
      </c>
      <c r="E148" s="228">
        <v>18</v>
      </c>
      <c r="F148" s="231">
        <v>7246.5</v>
      </c>
      <c r="G148" s="231">
        <v>7170</v>
      </c>
      <c r="H148" s="228">
        <v>76.5</v>
      </c>
      <c r="I148" s="229">
        <v>1.0699999999999999E-2</v>
      </c>
      <c r="J148" s="231">
        <v>7235.5</v>
      </c>
      <c r="K148" s="231">
        <v>7127</v>
      </c>
      <c r="L148" s="228">
        <v>108.5</v>
      </c>
      <c r="M148" s="229">
        <v>1.52E-2</v>
      </c>
      <c r="N148" s="231">
        <v>7246.5</v>
      </c>
      <c r="O148" s="231">
        <v>7170</v>
      </c>
      <c r="P148" s="228">
        <v>76.5</v>
      </c>
      <c r="Q148" s="229">
        <v>1.0699999999999999E-2</v>
      </c>
      <c r="R148" s="231">
        <v>7217.5</v>
      </c>
      <c r="S148" s="231">
        <v>7142</v>
      </c>
      <c r="T148" s="228">
        <v>75.5</v>
      </c>
      <c r="U148" s="229">
        <v>1.06E-2</v>
      </c>
      <c r="V148" s="231">
        <v>7260</v>
      </c>
      <c r="W148" s="231">
        <v>7000</v>
      </c>
      <c r="X148" s="228">
        <v>260</v>
      </c>
      <c r="Y148" s="229">
        <v>3.7100000000000001E-2</v>
      </c>
      <c r="Z148" s="228">
        <v>11</v>
      </c>
      <c r="AA148" s="228">
        <v>43</v>
      </c>
      <c r="AB148" s="228">
        <v>-32</v>
      </c>
      <c r="AC148" s="229">
        <v>1.5E-3</v>
      </c>
      <c r="AD148" s="228">
        <v>11</v>
      </c>
      <c r="AE148" s="228">
        <v>43</v>
      </c>
      <c r="AF148" s="228">
        <v>-32</v>
      </c>
      <c r="AG148" s="229">
        <v>1.5E-3</v>
      </c>
      <c r="AH148" s="228">
        <v>-18</v>
      </c>
      <c r="AI148" s="228">
        <v>15</v>
      </c>
      <c r="AJ148" s="228">
        <v>-33</v>
      </c>
      <c r="AK148" s="229">
        <v>-2.5000000000000001E-3</v>
      </c>
      <c r="AL148" s="228">
        <v>24.5</v>
      </c>
      <c r="AM148" s="228">
        <v>-127</v>
      </c>
      <c r="AN148" s="228">
        <v>151.5</v>
      </c>
      <c r="AO148" s="229">
        <v>3.3999999999999998E-3</v>
      </c>
      <c r="AP148" s="231">
        <v>7280.04</v>
      </c>
      <c r="AQ148" s="231">
        <v>7239.1</v>
      </c>
      <c r="AR148" s="228">
        <v>0</v>
      </c>
      <c r="AS148" s="228">
        <v>83</v>
      </c>
      <c r="AT148" s="228">
        <v>85</v>
      </c>
      <c r="AU148" s="228">
        <v>-2</v>
      </c>
      <c r="AV148" s="229">
        <v>-2.5000000000000001E-2</v>
      </c>
      <c r="AW148" s="228">
        <v>79</v>
      </c>
      <c r="AX148" s="228">
        <v>79</v>
      </c>
      <c r="AY148" s="228">
        <v>-1</v>
      </c>
      <c r="AZ148" s="229">
        <v>-9.5999999999999992E-3</v>
      </c>
      <c r="BA148" s="228">
        <v>4</v>
      </c>
      <c r="BB148" s="228">
        <v>5</v>
      </c>
      <c r="BC148" s="228">
        <v>-1</v>
      </c>
      <c r="BD148" s="229">
        <v>-0.26</v>
      </c>
      <c r="BE148" s="228">
        <v>0</v>
      </c>
      <c r="BF148" s="228">
        <v>0</v>
      </c>
      <c r="BG148" s="228">
        <v>0</v>
      </c>
      <c r="BH148" s="229">
        <v>0</v>
      </c>
      <c r="BI148" s="228">
        <v>375</v>
      </c>
      <c r="BJ148" s="228">
        <v>240</v>
      </c>
      <c r="BK148" s="228">
        <v>135</v>
      </c>
      <c r="BL148" s="229">
        <v>0.55989999999999995</v>
      </c>
      <c r="BM148" s="228">
        <v>202</v>
      </c>
      <c r="BN148" s="228">
        <v>137</v>
      </c>
      <c r="BO148" s="228">
        <v>64</v>
      </c>
      <c r="BP148" s="229">
        <v>0.46839999999999998</v>
      </c>
      <c r="BQ148" s="228">
        <v>659</v>
      </c>
      <c r="BR148" s="228">
        <v>463</v>
      </c>
      <c r="BS148" s="228">
        <v>197</v>
      </c>
      <c r="BT148" s="229">
        <v>0.4254</v>
      </c>
      <c r="BU148" s="230">
        <v>157651</v>
      </c>
      <c r="BV148" s="230">
        <v>99452</v>
      </c>
      <c r="BW148" s="230">
        <v>58199</v>
      </c>
      <c r="BX148" s="229">
        <v>0.58520000000000005</v>
      </c>
      <c r="BY148" s="228">
        <v>247</v>
      </c>
      <c r="BZ148" s="228">
        <v>244</v>
      </c>
      <c r="CA148" s="228">
        <v>3</v>
      </c>
      <c r="CB148" s="229">
        <v>1.3599999999999999E-2</v>
      </c>
      <c r="CC148" s="228">
        <v>230</v>
      </c>
      <c r="CD148" s="228">
        <v>227</v>
      </c>
      <c r="CE148" s="228">
        <v>3</v>
      </c>
      <c r="CF148" s="229">
        <v>1.5100000000000001E-2</v>
      </c>
      <c r="CG148" s="228">
        <v>17</v>
      </c>
      <c r="CH148" s="228">
        <v>17</v>
      </c>
      <c r="CI148" s="228">
        <v>0</v>
      </c>
      <c r="CJ148" s="229">
        <v>-6.4000000000000003E-3</v>
      </c>
      <c r="CK148" s="228">
        <v>1</v>
      </c>
      <c r="CL148" s="228">
        <v>1</v>
      </c>
      <c r="CM148" s="228">
        <v>0</v>
      </c>
      <c r="CN148" s="229">
        <v>0</v>
      </c>
      <c r="CO148" s="228">
        <v>179</v>
      </c>
      <c r="CP148" s="228">
        <v>157</v>
      </c>
      <c r="CQ148" s="228">
        <v>22</v>
      </c>
      <c r="CR148" s="229">
        <v>0.13919999999999999</v>
      </c>
      <c r="CS148" s="228">
        <v>187</v>
      </c>
      <c r="CT148" s="228">
        <v>151</v>
      </c>
      <c r="CU148" s="228">
        <v>36</v>
      </c>
      <c r="CV148" s="229">
        <v>0.2369</v>
      </c>
      <c r="CW148" s="228">
        <v>614</v>
      </c>
      <c r="CX148" s="228">
        <v>553</v>
      </c>
      <c r="CY148" s="228">
        <v>61</v>
      </c>
      <c r="CZ148" s="229">
        <v>0.1104</v>
      </c>
      <c r="DA148" s="228">
        <v>31.34</v>
      </c>
      <c r="DB148" s="228">
        <v>31.12</v>
      </c>
      <c r="DC148" s="228">
        <v>0.22</v>
      </c>
      <c r="DD148" s="228">
        <v>0.22</v>
      </c>
      <c r="DE148" s="228">
        <v>52.53</v>
      </c>
      <c r="DF148" s="228">
        <v>52.65</v>
      </c>
      <c r="DG148" s="228">
        <v>-21.19</v>
      </c>
      <c r="DH148" s="228">
        <v>-0.12</v>
      </c>
      <c r="DI148" s="228">
        <v>30.88</v>
      </c>
      <c r="DJ148" s="228">
        <v>30.42</v>
      </c>
      <c r="DK148" s="228">
        <v>0.46</v>
      </c>
      <c r="DL148" s="228">
        <v>0.46</v>
      </c>
      <c r="DM148" s="228">
        <v>32.19</v>
      </c>
      <c r="DN148" s="228">
        <v>32.36</v>
      </c>
      <c r="DO148" s="228">
        <v>-0.17</v>
      </c>
      <c r="DP148" s="228">
        <v>-0.17</v>
      </c>
      <c r="DQ148" s="228">
        <v>1.04</v>
      </c>
      <c r="DR148" s="228">
        <v>0.96</v>
      </c>
      <c r="DS148" s="228">
        <v>0.08</v>
      </c>
      <c r="DT148" s="229">
        <v>8.3299999999999999E-2</v>
      </c>
      <c r="DU148" s="231">
        <v>7000</v>
      </c>
      <c r="DV148" s="231">
        <v>6700</v>
      </c>
      <c r="DW148" s="228">
        <v>0.54</v>
      </c>
      <c r="DX148" s="228">
        <v>0.56999999999999995</v>
      </c>
      <c r="DY148" s="228">
        <v>-0.03</v>
      </c>
      <c r="DZ148" s="229">
        <v>-5.2600000000000001E-2</v>
      </c>
      <c r="EA148" s="229">
        <v>7.0300000000000001E-2</v>
      </c>
      <c r="EB148" s="230">
        <v>24150</v>
      </c>
      <c r="EC148" s="229">
        <v>-4.0000000000000001E-3</v>
      </c>
      <c r="ED148" s="229">
        <v>7.0300000000000001E-2</v>
      </c>
      <c r="EE148" s="228">
        <v>-40.94</v>
      </c>
      <c r="EF148" s="229">
        <v>-5.5999999999999999E-3</v>
      </c>
      <c r="EG148" s="230">
        <v>80253</v>
      </c>
      <c r="EH148" s="230">
        <v>55250</v>
      </c>
      <c r="EI148" s="229">
        <v>0.45250000000000001</v>
      </c>
      <c r="EJ148" s="229">
        <v>0.5091</v>
      </c>
      <c r="EK148" s="228">
        <v>391.57</v>
      </c>
      <c r="EL148" s="228">
        <v>193.76</v>
      </c>
      <c r="EM148" s="228">
        <v>83.08</v>
      </c>
      <c r="EN148" s="228">
        <v>23.45</v>
      </c>
      <c r="EO148" s="228">
        <v>668.4</v>
      </c>
      <c r="EP148" s="228">
        <v>458.49</v>
      </c>
      <c r="EQ148" s="228">
        <v>209.91</v>
      </c>
      <c r="ER148" s="229">
        <v>0.45779999999999998</v>
      </c>
      <c r="ES148" s="228">
        <v>174.83</v>
      </c>
      <c r="ET148" s="228">
        <v>172.05</v>
      </c>
      <c r="EU148" s="228">
        <v>247.33</v>
      </c>
      <c r="EV148" s="231">
        <v>2444664</v>
      </c>
      <c r="EW148" s="228">
        <v>594.21</v>
      </c>
      <c r="EX148" s="228">
        <v>530.34</v>
      </c>
      <c r="EY148" s="228">
        <v>63.87</v>
      </c>
      <c r="EZ148" s="229">
        <v>0.12039999999999999</v>
      </c>
      <c r="FA148" s="229">
        <v>0.34639999999999999</v>
      </c>
      <c r="FB148" s="227" t="s">
        <v>555</v>
      </c>
      <c r="FC148">
        <f>BY217-CC217</f>
        <v>0</v>
      </c>
    </row>
    <row r="149" spans="1:159" ht="17.25" thickBot="1" x14ac:dyDescent="0.3">
      <c r="A149" s="226">
        <v>45940</v>
      </c>
      <c r="B149" s="227" t="s">
        <v>616</v>
      </c>
      <c r="C149" s="227" t="s">
        <v>614</v>
      </c>
      <c r="D149" s="228">
        <v>3125</v>
      </c>
      <c r="E149" s="228">
        <v>18</v>
      </c>
      <c r="F149" s="228">
        <v>264.39999999999998</v>
      </c>
      <c r="G149" s="228">
        <v>263.38</v>
      </c>
      <c r="H149" s="228">
        <v>1.02</v>
      </c>
      <c r="I149" s="229">
        <v>3.8999999999999998E-3</v>
      </c>
      <c r="J149" s="228">
        <v>265.19</v>
      </c>
      <c r="K149" s="228">
        <v>264.11</v>
      </c>
      <c r="L149" s="228">
        <v>1.08</v>
      </c>
      <c r="M149" s="229">
        <v>4.1000000000000003E-3</v>
      </c>
      <c r="N149" s="228">
        <v>264.39999999999998</v>
      </c>
      <c r="O149" s="228">
        <v>263.38</v>
      </c>
      <c r="P149" s="228">
        <v>1.02</v>
      </c>
      <c r="Q149" s="229">
        <v>3.8999999999999998E-3</v>
      </c>
      <c r="R149" s="228">
        <v>262.22000000000003</v>
      </c>
      <c r="S149" s="228">
        <v>261.06</v>
      </c>
      <c r="T149" s="228">
        <v>1.1599999999999999</v>
      </c>
      <c r="U149" s="229">
        <v>4.4000000000000003E-3</v>
      </c>
      <c r="V149" s="228">
        <v>260.89</v>
      </c>
      <c r="W149" s="228">
        <v>259.24</v>
      </c>
      <c r="X149" s="228">
        <v>1.65</v>
      </c>
      <c r="Y149" s="229">
        <v>6.4000000000000003E-3</v>
      </c>
      <c r="Z149" s="228">
        <v>-0.79</v>
      </c>
      <c r="AA149" s="228">
        <v>-0.73</v>
      </c>
      <c r="AB149" s="228">
        <v>-0.06</v>
      </c>
      <c r="AC149" s="229">
        <v>-3.0000000000000001E-3</v>
      </c>
      <c r="AD149" s="228">
        <v>-0.79</v>
      </c>
      <c r="AE149" s="228">
        <v>-0.73</v>
      </c>
      <c r="AF149" s="228">
        <v>-0.06</v>
      </c>
      <c r="AG149" s="229">
        <v>-3.0000000000000001E-3</v>
      </c>
      <c r="AH149" s="228">
        <v>-2.97</v>
      </c>
      <c r="AI149" s="228">
        <v>-3.05</v>
      </c>
      <c r="AJ149" s="228">
        <v>0.08</v>
      </c>
      <c r="AK149" s="229">
        <v>-1.12E-2</v>
      </c>
      <c r="AL149" s="228">
        <v>-4.3</v>
      </c>
      <c r="AM149" s="228">
        <v>-4.87</v>
      </c>
      <c r="AN149" s="228">
        <v>0.56999999999999995</v>
      </c>
      <c r="AO149" s="229">
        <v>-1.6199999999999999E-2</v>
      </c>
      <c r="AP149" s="228">
        <v>264.01</v>
      </c>
      <c r="AQ149" s="228">
        <v>261.77</v>
      </c>
      <c r="AR149" s="228">
        <v>0</v>
      </c>
      <c r="AS149" s="228">
        <v>215</v>
      </c>
      <c r="AT149" s="228">
        <v>273</v>
      </c>
      <c r="AU149" s="228">
        <v>-58</v>
      </c>
      <c r="AV149" s="229">
        <v>-0.21210000000000001</v>
      </c>
      <c r="AW149" s="228">
        <v>185</v>
      </c>
      <c r="AX149" s="228">
        <v>247</v>
      </c>
      <c r="AY149" s="228">
        <v>-62</v>
      </c>
      <c r="AZ149" s="229">
        <v>-0.25209999999999999</v>
      </c>
      <c r="BA149" s="228">
        <v>29</v>
      </c>
      <c r="BB149" s="228">
        <v>24</v>
      </c>
      <c r="BC149" s="228">
        <v>5</v>
      </c>
      <c r="BD149" s="229">
        <v>0.22339999999999999</v>
      </c>
      <c r="BE149" s="228">
        <v>1</v>
      </c>
      <c r="BF149" s="228">
        <v>2</v>
      </c>
      <c r="BG149" s="228">
        <v>-1</v>
      </c>
      <c r="BH149" s="229">
        <v>-0.52170000000000005</v>
      </c>
      <c r="BI149" s="228">
        <v>768</v>
      </c>
      <c r="BJ149" s="230">
        <v>1307</v>
      </c>
      <c r="BK149" s="228">
        <v>-539</v>
      </c>
      <c r="BL149" s="229">
        <v>-0.41260000000000002</v>
      </c>
      <c r="BM149" s="228">
        <v>372</v>
      </c>
      <c r="BN149" s="228">
        <v>557</v>
      </c>
      <c r="BO149" s="228">
        <v>-184</v>
      </c>
      <c r="BP149" s="229">
        <v>-0.33119999999999999</v>
      </c>
      <c r="BQ149" s="230">
        <v>1355</v>
      </c>
      <c r="BR149" s="230">
        <v>2137</v>
      </c>
      <c r="BS149" s="228">
        <v>-782</v>
      </c>
      <c r="BT149" s="229">
        <v>-0.36580000000000001</v>
      </c>
      <c r="BU149" s="230">
        <v>6791429</v>
      </c>
      <c r="BV149" s="230">
        <v>11351954</v>
      </c>
      <c r="BW149" s="230">
        <v>-4560525</v>
      </c>
      <c r="BX149" s="229">
        <v>-0.4017</v>
      </c>
      <c r="BY149" s="230">
        <v>1778</v>
      </c>
      <c r="BZ149" s="230">
        <v>1767</v>
      </c>
      <c r="CA149" s="228">
        <v>11</v>
      </c>
      <c r="CB149" s="229">
        <v>6.3E-3</v>
      </c>
      <c r="CC149" s="230">
        <v>1719</v>
      </c>
      <c r="CD149" s="230">
        <v>1719</v>
      </c>
      <c r="CE149" s="228">
        <v>0</v>
      </c>
      <c r="CF149" s="229">
        <v>1E-4</v>
      </c>
      <c r="CG149" s="228">
        <v>53</v>
      </c>
      <c r="CH149" s="228">
        <v>42</v>
      </c>
      <c r="CI149" s="228">
        <v>11</v>
      </c>
      <c r="CJ149" s="229">
        <v>0.26079999999999998</v>
      </c>
      <c r="CK149" s="228">
        <v>6</v>
      </c>
      <c r="CL149" s="228">
        <v>6</v>
      </c>
      <c r="CM149" s="228">
        <v>0</v>
      </c>
      <c r="CN149" s="229">
        <v>-1.43E-2</v>
      </c>
      <c r="CO149" s="228">
        <v>374</v>
      </c>
      <c r="CP149" s="228">
        <v>373</v>
      </c>
      <c r="CQ149" s="228">
        <v>1</v>
      </c>
      <c r="CR149" s="229">
        <v>2.8999999999999998E-3</v>
      </c>
      <c r="CS149" s="228">
        <v>286</v>
      </c>
      <c r="CT149" s="228">
        <v>265</v>
      </c>
      <c r="CU149" s="228">
        <v>21</v>
      </c>
      <c r="CV149" s="229">
        <v>7.7899999999999997E-2</v>
      </c>
      <c r="CW149" s="230">
        <v>2438</v>
      </c>
      <c r="CX149" s="230">
        <v>2405</v>
      </c>
      <c r="CY149" s="228">
        <v>33</v>
      </c>
      <c r="CZ149" s="229">
        <v>1.37E-2</v>
      </c>
      <c r="DA149" s="228">
        <v>26.65</v>
      </c>
      <c r="DB149" s="228">
        <v>27.68</v>
      </c>
      <c r="DC149" s="228">
        <v>-1.03</v>
      </c>
      <c r="DD149" s="228">
        <v>-1.03</v>
      </c>
      <c r="DE149" s="228">
        <v>37.54</v>
      </c>
      <c r="DF149" s="228">
        <v>37.630000000000003</v>
      </c>
      <c r="DG149" s="228">
        <v>-10.89</v>
      </c>
      <c r="DH149" s="228">
        <v>-0.09</v>
      </c>
      <c r="DI149" s="228">
        <v>26.52</v>
      </c>
      <c r="DJ149" s="228">
        <v>27.38</v>
      </c>
      <c r="DK149" s="228">
        <v>-0.86</v>
      </c>
      <c r="DL149" s="228">
        <v>-0.86</v>
      </c>
      <c r="DM149" s="228">
        <v>26.91</v>
      </c>
      <c r="DN149" s="228">
        <v>28.4</v>
      </c>
      <c r="DO149" s="228">
        <v>-1.49</v>
      </c>
      <c r="DP149" s="228">
        <v>-1.49</v>
      </c>
      <c r="DQ149" s="228">
        <v>0.76</v>
      </c>
      <c r="DR149" s="228">
        <v>0.71</v>
      </c>
      <c r="DS149" s="228">
        <v>0.05</v>
      </c>
      <c r="DT149" s="229">
        <v>7.0400000000000004E-2</v>
      </c>
      <c r="DU149" s="228">
        <v>250</v>
      </c>
      <c r="DV149" s="228">
        <v>250</v>
      </c>
      <c r="DW149" s="228">
        <v>0.49</v>
      </c>
      <c r="DX149" s="228">
        <v>0.43</v>
      </c>
      <c r="DY149" s="228">
        <v>0.06</v>
      </c>
      <c r="DZ149" s="229">
        <v>0.13950000000000001</v>
      </c>
      <c r="EA149" s="229">
        <v>3.3099999999999997E-2</v>
      </c>
      <c r="EB149" s="230">
        <v>1812500</v>
      </c>
      <c r="EC149" s="229">
        <v>-8.2000000000000007E-3</v>
      </c>
      <c r="ED149" s="229">
        <v>3.3099999999999997E-2</v>
      </c>
      <c r="EE149" s="228">
        <v>-2.2400000000000002</v>
      </c>
      <c r="EF149" s="229">
        <v>-8.5000000000000006E-3</v>
      </c>
      <c r="EG149" s="230">
        <v>3411814</v>
      </c>
      <c r="EH149" s="230">
        <v>5336675</v>
      </c>
      <c r="EI149" s="229">
        <v>-0.36070000000000002</v>
      </c>
      <c r="EJ149" s="229">
        <v>0.50239999999999996</v>
      </c>
      <c r="EK149" s="228">
        <v>793.33</v>
      </c>
      <c r="EL149" s="228">
        <v>368.09</v>
      </c>
      <c r="EM149" s="228">
        <v>214.58</v>
      </c>
      <c r="EN149" s="228">
        <v>46.72</v>
      </c>
      <c r="EO149" s="231">
        <v>1376.01</v>
      </c>
      <c r="EP149" s="231">
        <v>2146.9</v>
      </c>
      <c r="EQ149" s="228">
        <v>-770.9</v>
      </c>
      <c r="ER149" s="229">
        <v>-0.35909999999999997</v>
      </c>
      <c r="ES149" s="228">
        <v>369.54</v>
      </c>
      <c r="ET149" s="228">
        <v>264.86</v>
      </c>
      <c r="EU149" s="231">
        <v>1777.49</v>
      </c>
      <c r="EV149" s="231">
        <v>205324177</v>
      </c>
      <c r="EW149" s="231">
        <v>2411.89</v>
      </c>
      <c r="EX149" s="231">
        <v>2371.2199999999998</v>
      </c>
      <c r="EY149" s="228">
        <v>40.67</v>
      </c>
      <c r="EZ149" s="229">
        <v>1.72E-2</v>
      </c>
      <c r="FA149" s="229">
        <v>0.4491</v>
      </c>
      <c r="FB149" s="227" t="s">
        <v>555</v>
      </c>
      <c r="FC149">
        <f t="shared" ref="FC149:FC194" si="3">BY216-CC216</f>
        <v>80</v>
      </c>
    </row>
    <row r="150" spans="1:159" ht="17.25" thickBot="1" x14ac:dyDescent="0.3">
      <c r="A150" s="226">
        <v>45940</v>
      </c>
      <c r="B150" s="227" t="s">
        <v>206</v>
      </c>
      <c r="C150" s="227" t="s">
        <v>528</v>
      </c>
      <c r="D150" s="228">
        <v>350</v>
      </c>
      <c r="E150" s="228">
        <v>18</v>
      </c>
      <c r="F150" s="231">
        <v>1607.5</v>
      </c>
      <c r="G150" s="231">
        <v>1595.2</v>
      </c>
      <c r="H150" s="228">
        <v>12.3</v>
      </c>
      <c r="I150" s="229">
        <v>7.7000000000000002E-3</v>
      </c>
      <c r="J150" s="231">
        <v>1599.6</v>
      </c>
      <c r="K150" s="231">
        <v>1591.4</v>
      </c>
      <c r="L150" s="228">
        <v>8.1999999999999993</v>
      </c>
      <c r="M150" s="229">
        <v>5.1999999999999998E-3</v>
      </c>
      <c r="N150" s="231">
        <v>1607.5</v>
      </c>
      <c r="O150" s="231">
        <v>1595.2</v>
      </c>
      <c r="P150" s="228">
        <v>12.3</v>
      </c>
      <c r="Q150" s="229">
        <v>7.7000000000000002E-3</v>
      </c>
      <c r="R150" s="231">
        <v>1615.1</v>
      </c>
      <c r="S150" s="231">
        <v>1602.6</v>
      </c>
      <c r="T150" s="228">
        <v>12.5</v>
      </c>
      <c r="U150" s="229">
        <v>7.7999999999999996E-3</v>
      </c>
      <c r="V150" s="231">
        <v>1628.9</v>
      </c>
      <c r="W150" s="231">
        <v>1615</v>
      </c>
      <c r="X150" s="228">
        <v>13.9</v>
      </c>
      <c r="Y150" s="229">
        <v>8.6E-3</v>
      </c>
      <c r="Z150" s="228">
        <v>7.9</v>
      </c>
      <c r="AA150" s="228">
        <v>3.8</v>
      </c>
      <c r="AB150" s="228">
        <v>4.0999999999999996</v>
      </c>
      <c r="AC150" s="229">
        <v>4.8999999999999998E-3</v>
      </c>
      <c r="AD150" s="228">
        <v>7.9</v>
      </c>
      <c r="AE150" s="228">
        <v>3.8</v>
      </c>
      <c r="AF150" s="228">
        <v>4.0999999999999996</v>
      </c>
      <c r="AG150" s="229">
        <v>4.8999999999999998E-3</v>
      </c>
      <c r="AH150" s="228">
        <v>15.5</v>
      </c>
      <c r="AI150" s="228">
        <v>11.2</v>
      </c>
      <c r="AJ150" s="228">
        <v>4.3</v>
      </c>
      <c r="AK150" s="229">
        <v>9.7000000000000003E-3</v>
      </c>
      <c r="AL150" s="228">
        <v>29.3</v>
      </c>
      <c r="AM150" s="228">
        <v>23.6</v>
      </c>
      <c r="AN150" s="228">
        <v>5.7</v>
      </c>
      <c r="AO150" s="229">
        <v>1.83E-2</v>
      </c>
      <c r="AP150" s="231">
        <v>1615.42</v>
      </c>
      <c r="AQ150" s="231">
        <v>1623.13</v>
      </c>
      <c r="AR150" s="228">
        <v>0</v>
      </c>
      <c r="AS150" s="228">
        <v>127</v>
      </c>
      <c r="AT150" s="228">
        <v>137</v>
      </c>
      <c r="AU150" s="228">
        <v>-10</v>
      </c>
      <c r="AV150" s="229">
        <v>-7.5800000000000006E-2</v>
      </c>
      <c r="AW150" s="228">
        <v>119</v>
      </c>
      <c r="AX150" s="228">
        <v>129</v>
      </c>
      <c r="AY150" s="228">
        <v>-10</v>
      </c>
      <c r="AZ150" s="229">
        <v>-8.09E-2</v>
      </c>
      <c r="BA150" s="228">
        <v>8</v>
      </c>
      <c r="BB150" s="228">
        <v>8</v>
      </c>
      <c r="BC150" s="228">
        <v>0</v>
      </c>
      <c r="BD150" s="229">
        <v>7.3000000000000001E-3</v>
      </c>
      <c r="BE150" s="228">
        <v>0</v>
      </c>
      <c r="BF150" s="228">
        <v>0</v>
      </c>
      <c r="BG150" s="228">
        <v>0</v>
      </c>
      <c r="BH150" s="229">
        <v>0</v>
      </c>
      <c r="BI150" s="228">
        <v>258</v>
      </c>
      <c r="BJ150" s="228">
        <v>273</v>
      </c>
      <c r="BK150" s="228">
        <v>-15</v>
      </c>
      <c r="BL150" s="229">
        <v>-5.45E-2</v>
      </c>
      <c r="BM150" s="228">
        <v>71</v>
      </c>
      <c r="BN150" s="228">
        <v>123</v>
      </c>
      <c r="BO150" s="228">
        <v>-52</v>
      </c>
      <c r="BP150" s="229">
        <v>-0.42420000000000002</v>
      </c>
      <c r="BQ150" s="228">
        <v>455</v>
      </c>
      <c r="BR150" s="228">
        <v>533</v>
      </c>
      <c r="BS150" s="228">
        <v>-77</v>
      </c>
      <c r="BT150" s="229">
        <v>-0.14510000000000001</v>
      </c>
      <c r="BU150" s="230">
        <v>319700</v>
      </c>
      <c r="BV150" s="230">
        <v>327408</v>
      </c>
      <c r="BW150" s="230">
        <v>-7708</v>
      </c>
      <c r="BX150" s="229">
        <v>-2.35E-2</v>
      </c>
      <c r="BY150" s="228">
        <v>790</v>
      </c>
      <c r="BZ150" s="228">
        <v>793</v>
      </c>
      <c r="CA150" s="228">
        <v>-3</v>
      </c>
      <c r="CB150" s="229">
        <v>-3.8E-3</v>
      </c>
      <c r="CC150" s="228">
        <v>771</v>
      </c>
      <c r="CD150" s="228">
        <v>775</v>
      </c>
      <c r="CE150" s="228">
        <v>-4</v>
      </c>
      <c r="CF150" s="229">
        <v>-4.5999999999999999E-3</v>
      </c>
      <c r="CG150" s="228">
        <v>18</v>
      </c>
      <c r="CH150" s="228">
        <v>17</v>
      </c>
      <c r="CI150" s="228">
        <v>1</v>
      </c>
      <c r="CJ150" s="229">
        <v>3.95E-2</v>
      </c>
      <c r="CK150" s="228">
        <v>1</v>
      </c>
      <c r="CL150" s="228">
        <v>1</v>
      </c>
      <c r="CM150" s="228">
        <v>0</v>
      </c>
      <c r="CN150" s="229">
        <v>-0.125</v>
      </c>
      <c r="CO150" s="228">
        <v>181</v>
      </c>
      <c r="CP150" s="228">
        <v>187</v>
      </c>
      <c r="CQ150" s="228">
        <v>-7</v>
      </c>
      <c r="CR150" s="229">
        <v>-3.5999999999999997E-2</v>
      </c>
      <c r="CS150" s="228">
        <v>144</v>
      </c>
      <c r="CT150" s="228">
        <v>142</v>
      </c>
      <c r="CU150" s="228">
        <v>2</v>
      </c>
      <c r="CV150" s="229">
        <v>1.2999999999999999E-2</v>
      </c>
      <c r="CW150" s="230">
        <v>1114</v>
      </c>
      <c r="CX150" s="230">
        <v>1122</v>
      </c>
      <c r="CY150" s="228">
        <v>-8</v>
      </c>
      <c r="CZ150" s="229">
        <v>-7.0000000000000001E-3</v>
      </c>
      <c r="DA150" s="228">
        <v>31.89</v>
      </c>
      <c r="DB150" s="228">
        <v>32.479999999999997</v>
      </c>
      <c r="DC150" s="228">
        <v>-0.59</v>
      </c>
      <c r="DD150" s="228">
        <v>-0.59</v>
      </c>
      <c r="DE150" s="228">
        <v>38.42</v>
      </c>
      <c r="DF150" s="228">
        <v>38.5</v>
      </c>
      <c r="DG150" s="228">
        <v>-6.53</v>
      </c>
      <c r="DH150" s="228">
        <v>-0.08</v>
      </c>
      <c r="DI150" s="228">
        <v>31.79</v>
      </c>
      <c r="DJ150" s="228">
        <v>32.380000000000003</v>
      </c>
      <c r="DK150" s="228">
        <v>-0.59</v>
      </c>
      <c r="DL150" s="228">
        <v>-0.59</v>
      </c>
      <c r="DM150" s="228">
        <v>32.24</v>
      </c>
      <c r="DN150" s="228">
        <v>32.71</v>
      </c>
      <c r="DO150" s="228">
        <v>-0.47</v>
      </c>
      <c r="DP150" s="228">
        <v>-0.47</v>
      </c>
      <c r="DQ150" s="228">
        <v>0.8</v>
      </c>
      <c r="DR150" s="228">
        <v>0.76</v>
      </c>
      <c r="DS150" s="228">
        <v>0.04</v>
      </c>
      <c r="DT150" s="229">
        <v>5.2600000000000001E-2</v>
      </c>
      <c r="DU150" s="231">
        <v>1700</v>
      </c>
      <c r="DV150" s="231">
        <v>1600</v>
      </c>
      <c r="DW150" s="228">
        <v>0.27</v>
      </c>
      <c r="DX150" s="228">
        <v>0.45</v>
      </c>
      <c r="DY150" s="228">
        <v>-0.18</v>
      </c>
      <c r="DZ150" s="229">
        <v>-0.4</v>
      </c>
      <c r="EA150" s="229">
        <v>2.35E-2</v>
      </c>
      <c r="EB150" s="230">
        <v>112000</v>
      </c>
      <c r="EC150" s="229">
        <v>4.7000000000000002E-3</v>
      </c>
      <c r="ED150" s="229">
        <v>2.35E-2</v>
      </c>
      <c r="EE150" s="228">
        <v>7.71</v>
      </c>
      <c r="EF150" s="229">
        <v>4.7999999999999996E-3</v>
      </c>
      <c r="EG150" s="230">
        <v>119018</v>
      </c>
      <c r="EH150" s="230">
        <v>128256</v>
      </c>
      <c r="EI150" s="229">
        <v>-7.1999999999999995E-2</v>
      </c>
      <c r="EJ150" s="229">
        <v>0.37230000000000002</v>
      </c>
      <c r="EK150" s="228">
        <v>269.70999999999998</v>
      </c>
      <c r="EL150" s="228">
        <v>70.78</v>
      </c>
      <c r="EM150" s="228">
        <v>127.65</v>
      </c>
      <c r="EN150" s="228">
        <v>20.56</v>
      </c>
      <c r="EO150" s="228">
        <v>468.13</v>
      </c>
      <c r="EP150" s="228">
        <v>540.01</v>
      </c>
      <c r="EQ150" s="228">
        <v>-71.87</v>
      </c>
      <c r="ER150" s="229">
        <v>-0.1331</v>
      </c>
      <c r="ES150" s="228">
        <v>187.18</v>
      </c>
      <c r="ET150" s="228">
        <v>142.11000000000001</v>
      </c>
      <c r="EU150" s="228">
        <v>789.68</v>
      </c>
      <c r="EV150" s="231">
        <v>17614093</v>
      </c>
      <c r="EW150" s="231">
        <v>1118.98</v>
      </c>
      <c r="EX150" s="231">
        <v>1121.07</v>
      </c>
      <c r="EY150" s="228">
        <v>-2.09</v>
      </c>
      <c r="EZ150" s="229">
        <v>-1.9E-3</v>
      </c>
      <c r="FA150" s="229">
        <v>0.39360000000000001</v>
      </c>
      <c r="FB150" s="227" t="s">
        <v>556</v>
      </c>
      <c r="FC150">
        <f t="shared" si="3"/>
        <v>0</v>
      </c>
    </row>
    <row r="151" spans="1:159" ht="17.25" thickBot="1" x14ac:dyDescent="0.3">
      <c r="A151" s="226">
        <v>45940</v>
      </c>
      <c r="B151" s="227" t="s">
        <v>221</v>
      </c>
      <c r="C151" s="227" t="s">
        <v>518</v>
      </c>
      <c r="D151" s="228">
        <v>75</v>
      </c>
      <c r="E151" s="228">
        <v>18</v>
      </c>
      <c r="F151" s="231">
        <v>9266.5</v>
      </c>
      <c r="G151" s="231">
        <v>9365</v>
      </c>
      <c r="H151" s="228">
        <v>-98.5</v>
      </c>
      <c r="I151" s="229">
        <v>-1.0500000000000001E-2</v>
      </c>
      <c r="J151" s="231">
        <v>9213</v>
      </c>
      <c r="K151" s="231">
        <v>9311.5</v>
      </c>
      <c r="L151" s="228">
        <v>-98.5</v>
      </c>
      <c r="M151" s="229">
        <v>-1.06E-2</v>
      </c>
      <c r="N151" s="231">
        <v>9266.5</v>
      </c>
      <c r="O151" s="231">
        <v>9365</v>
      </c>
      <c r="P151" s="228">
        <v>-98.5</v>
      </c>
      <c r="Q151" s="229">
        <v>-1.0500000000000001E-2</v>
      </c>
      <c r="R151" s="231">
        <v>9288</v>
      </c>
      <c r="S151" s="231">
        <v>9393</v>
      </c>
      <c r="T151" s="228">
        <v>-105</v>
      </c>
      <c r="U151" s="229">
        <v>-1.12E-2</v>
      </c>
      <c r="V151" s="231">
        <v>9324</v>
      </c>
      <c r="W151" s="231">
        <v>9421</v>
      </c>
      <c r="X151" s="228">
        <v>-97</v>
      </c>
      <c r="Y151" s="229">
        <v>-1.03E-2</v>
      </c>
      <c r="Z151" s="228">
        <v>53.5</v>
      </c>
      <c r="AA151" s="228">
        <v>53.5</v>
      </c>
      <c r="AB151" s="228">
        <v>0</v>
      </c>
      <c r="AC151" s="229">
        <v>5.7999999999999996E-3</v>
      </c>
      <c r="AD151" s="228">
        <v>53.5</v>
      </c>
      <c r="AE151" s="228">
        <v>53.5</v>
      </c>
      <c r="AF151" s="228">
        <v>0</v>
      </c>
      <c r="AG151" s="229">
        <v>5.7999999999999996E-3</v>
      </c>
      <c r="AH151" s="228">
        <v>75</v>
      </c>
      <c r="AI151" s="228">
        <v>81.5</v>
      </c>
      <c r="AJ151" s="228">
        <v>-6.5</v>
      </c>
      <c r="AK151" s="229">
        <v>8.0999999999999996E-3</v>
      </c>
      <c r="AL151" s="228">
        <v>111</v>
      </c>
      <c r="AM151" s="228">
        <v>109.5</v>
      </c>
      <c r="AN151" s="228">
        <v>1.5</v>
      </c>
      <c r="AO151" s="229">
        <v>1.2E-2</v>
      </c>
      <c r="AP151" s="231">
        <v>9310.9699999999993</v>
      </c>
      <c r="AQ151" s="231">
        <v>9313.2099999999991</v>
      </c>
      <c r="AR151" s="228">
        <v>0</v>
      </c>
      <c r="AS151" s="228">
        <v>227</v>
      </c>
      <c r="AT151" s="228">
        <v>284</v>
      </c>
      <c r="AU151" s="228">
        <v>-57</v>
      </c>
      <c r="AV151" s="229">
        <v>-0.20039999999999999</v>
      </c>
      <c r="AW151" s="228">
        <v>198</v>
      </c>
      <c r="AX151" s="228">
        <v>269</v>
      </c>
      <c r="AY151" s="228">
        <v>-71</v>
      </c>
      <c r="AZ151" s="229">
        <v>-0.26340000000000002</v>
      </c>
      <c r="BA151" s="228">
        <v>26</v>
      </c>
      <c r="BB151" s="228">
        <v>15</v>
      </c>
      <c r="BC151" s="228">
        <v>12</v>
      </c>
      <c r="BD151" s="229">
        <v>0.79430000000000001</v>
      </c>
      <c r="BE151" s="228">
        <v>3</v>
      </c>
      <c r="BF151" s="228">
        <v>1</v>
      </c>
      <c r="BG151" s="228">
        <v>2</v>
      </c>
      <c r="BH151" s="229">
        <v>2.5385</v>
      </c>
      <c r="BI151" s="228">
        <v>831</v>
      </c>
      <c r="BJ151" s="228">
        <v>905</v>
      </c>
      <c r="BK151" s="228">
        <v>-74</v>
      </c>
      <c r="BL151" s="229">
        <v>-8.14E-2</v>
      </c>
      <c r="BM151" s="228">
        <v>333</v>
      </c>
      <c r="BN151" s="228">
        <v>334</v>
      </c>
      <c r="BO151" s="228">
        <v>-1</v>
      </c>
      <c r="BP151" s="229">
        <v>-2.3E-3</v>
      </c>
      <c r="BQ151" s="230">
        <v>1392</v>
      </c>
      <c r="BR151" s="230">
        <v>1523</v>
      </c>
      <c r="BS151" s="228">
        <v>-131</v>
      </c>
      <c r="BT151" s="229">
        <v>-8.6199999999999999E-2</v>
      </c>
      <c r="BU151" s="230">
        <v>138908</v>
      </c>
      <c r="BV151" s="230">
        <v>194262</v>
      </c>
      <c r="BW151" s="230">
        <v>-55354</v>
      </c>
      <c r="BX151" s="229">
        <v>-0.28489999999999999</v>
      </c>
      <c r="BY151" s="230">
        <v>1026</v>
      </c>
      <c r="BZ151" s="228">
        <v>992</v>
      </c>
      <c r="CA151" s="228">
        <v>35</v>
      </c>
      <c r="CB151" s="229">
        <v>3.5000000000000003E-2</v>
      </c>
      <c r="CC151" s="228">
        <v>995</v>
      </c>
      <c r="CD151" s="228">
        <v>965</v>
      </c>
      <c r="CE151" s="228">
        <v>30</v>
      </c>
      <c r="CF151" s="229">
        <v>3.1199999999999999E-2</v>
      </c>
      <c r="CG151" s="228">
        <v>28</v>
      </c>
      <c r="CH151" s="228">
        <v>24</v>
      </c>
      <c r="CI151" s="228">
        <v>3</v>
      </c>
      <c r="CJ151" s="229">
        <v>0.14410000000000001</v>
      </c>
      <c r="CK151" s="228">
        <v>4</v>
      </c>
      <c r="CL151" s="228">
        <v>3</v>
      </c>
      <c r="CM151" s="228">
        <v>1</v>
      </c>
      <c r="CN151" s="229">
        <v>0.43240000000000001</v>
      </c>
      <c r="CO151" s="228">
        <v>490</v>
      </c>
      <c r="CP151" s="228">
        <v>420</v>
      </c>
      <c r="CQ151" s="228">
        <v>70</v>
      </c>
      <c r="CR151" s="229">
        <v>0.16639999999999999</v>
      </c>
      <c r="CS151" s="228">
        <v>283</v>
      </c>
      <c r="CT151" s="228">
        <v>277</v>
      </c>
      <c r="CU151" s="228">
        <v>6</v>
      </c>
      <c r="CV151" s="229">
        <v>2.0799999999999999E-2</v>
      </c>
      <c r="CW151" s="230">
        <v>1800</v>
      </c>
      <c r="CX151" s="230">
        <v>1689</v>
      </c>
      <c r="CY151" s="228">
        <v>110</v>
      </c>
      <c r="CZ151" s="229">
        <v>6.5299999999999997E-2</v>
      </c>
      <c r="DA151" s="228">
        <v>33.380000000000003</v>
      </c>
      <c r="DB151" s="228">
        <v>33.9</v>
      </c>
      <c r="DC151" s="228">
        <v>-0.52</v>
      </c>
      <c r="DD151" s="228">
        <v>-0.52</v>
      </c>
      <c r="DE151" s="228">
        <v>41.98</v>
      </c>
      <c r="DF151" s="228">
        <v>42.06</v>
      </c>
      <c r="DG151" s="228">
        <v>-8.6</v>
      </c>
      <c r="DH151" s="228">
        <v>-0.08</v>
      </c>
      <c r="DI151" s="228">
        <v>33.44</v>
      </c>
      <c r="DJ151" s="228">
        <v>34.06</v>
      </c>
      <c r="DK151" s="228">
        <v>-0.62</v>
      </c>
      <c r="DL151" s="228">
        <v>-0.62</v>
      </c>
      <c r="DM151" s="228">
        <v>33.229999999999997</v>
      </c>
      <c r="DN151" s="228">
        <v>33.46</v>
      </c>
      <c r="DO151" s="228">
        <v>-0.23</v>
      </c>
      <c r="DP151" s="228">
        <v>-0.23</v>
      </c>
      <c r="DQ151" s="228">
        <v>0.57999999999999996</v>
      </c>
      <c r="DR151" s="228">
        <v>0.66</v>
      </c>
      <c r="DS151" s="228">
        <v>-0.08</v>
      </c>
      <c r="DT151" s="229">
        <v>-0.1212</v>
      </c>
      <c r="DU151" s="231">
        <v>9500</v>
      </c>
      <c r="DV151" s="231">
        <v>9000</v>
      </c>
      <c r="DW151" s="228">
        <v>0.4</v>
      </c>
      <c r="DX151" s="228">
        <v>0.37</v>
      </c>
      <c r="DY151" s="228">
        <v>0.03</v>
      </c>
      <c r="DZ151" s="229">
        <v>8.1100000000000005E-2</v>
      </c>
      <c r="EA151" s="229">
        <v>3.0499999999999999E-2</v>
      </c>
      <c r="EB151" s="230">
        <v>28800</v>
      </c>
      <c r="EC151" s="229">
        <v>2.3E-3</v>
      </c>
      <c r="ED151" s="229">
        <v>3.0499999999999999E-2</v>
      </c>
      <c r="EE151" s="228">
        <v>2.2400000000000002</v>
      </c>
      <c r="EF151" s="229">
        <v>2.0000000000000001E-4</v>
      </c>
      <c r="EG151" s="230">
        <v>73172</v>
      </c>
      <c r="EH151" s="230">
        <v>110337</v>
      </c>
      <c r="EI151" s="229">
        <v>-0.33679999999999999</v>
      </c>
      <c r="EJ151" s="229">
        <v>0.52680000000000005</v>
      </c>
      <c r="EK151" s="228">
        <v>874.51</v>
      </c>
      <c r="EL151" s="228">
        <v>331.15</v>
      </c>
      <c r="EM151" s="228">
        <v>228.23</v>
      </c>
      <c r="EN151" s="228">
        <v>37.700000000000003</v>
      </c>
      <c r="EO151" s="231">
        <v>1433.9</v>
      </c>
      <c r="EP151" s="231">
        <v>1574.79</v>
      </c>
      <c r="EQ151" s="228">
        <v>-140.88999999999999</v>
      </c>
      <c r="ER151" s="229">
        <v>-8.9499999999999996E-2</v>
      </c>
      <c r="ES151" s="228">
        <v>504.75</v>
      </c>
      <c r="ET151" s="228">
        <v>264.37</v>
      </c>
      <c r="EU151" s="231">
        <v>1026.51</v>
      </c>
      <c r="EV151" s="231">
        <v>3401732</v>
      </c>
      <c r="EW151" s="231">
        <v>1795.64</v>
      </c>
      <c r="EX151" s="231">
        <v>1694.13</v>
      </c>
      <c r="EY151" s="228">
        <v>101.51</v>
      </c>
      <c r="EZ151" s="229">
        <v>5.9900000000000002E-2</v>
      </c>
      <c r="FA151" s="229">
        <v>0.57089999999999996</v>
      </c>
      <c r="FB151" s="227" t="s">
        <v>567</v>
      </c>
      <c r="FC151">
        <f t="shared" si="3"/>
        <v>0</v>
      </c>
    </row>
    <row r="152" spans="1:159" ht="17.25" thickBot="1" x14ac:dyDescent="0.3">
      <c r="A152" s="226">
        <v>45940</v>
      </c>
      <c r="B152" s="227" t="s">
        <v>193</v>
      </c>
      <c r="C152" s="227" t="s">
        <v>588</v>
      </c>
      <c r="D152" s="228">
        <v>1400</v>
      </c>
      <c r="E152" s="228">
        <v>18</v>
      </c>
      <c r="F152" s="228">
        <v>417.9</v>
      </c>
      <c r="G152" s="228">
        <v>419.25</v>
      </c>
      <c r="H152" s="228">
        <v>-1.35</v>
      </c>
      <c r="I152" s="229">
        <v>-3.2000000000000002E-3</v>
      </c>
      <c r="J152" s="228">
        <v>418.2</v>
      </c>
      <c r="K152" s="228">
        <v>417.9</v>
      </c>
      <c r="L152" s="228">
        <v>0.3</v>
      </c>
      <c r="M152" s="229">
        <v>6.9999999999999999E-4</v>
      </c>
      <c r="N152" s="228">
        <v>417.9</v>
      </c>
      <c r="O152" s="228">
        <v>419.25</v>
      </c>
      <c r="P152" s="228">
        <v>-1.35</v>
      </c>
      <c r="Q152" s="229">
        <v>-3.2000000000000002E-3</v>
      </c>
      <c r="R152" s="228">
        <v>417.5</v>
      </c>
      <c r="S152" s="228">
        <v>419.2</v>
      </c>
      <c r="T152" s="228">
        <v>-1.7</v>
      </c>
      <c r="U152" s="229">
        <v>-4.1000000000000003E-3</v>
      </c>
      <c r="V152" s="228">
        <v>419.6</v>
      </c>
      <c r="W152" s="228">
        <v>420.5</v>
      </c>
      <c r="X152" s="228">
        <v>-0.9</v>
      </c>
      <c r="Y152" s="229">
        <v>-2.0999999999999999E-3</v>
      </c>
      <c r="Z152" s="228">
        <v>-0.3</v>
      </c>
      <c r="AA152" s="228">
        <v>1.35</v>
      </c>
      <c r="AB152" s="228">
        <v>-1.65</v>
      </c>
      <c r="AC152" s="229">
        <v>-6.9999999999999999E-4</v>
      </c>
      <c r="AD152" s="228">
        <v>-0.3</v>
      </c>
      <c r="AE152" s="228">
        <v>1.35</v>
      </c>
      <c r="AF152" s="228">
        <v>-1.65</v>
      </c>
      <c r="AG152" s="229">
        <v>-6.9999999999999999E-4</v>
      </c>
      <c r="AH152" s="228">
        <v>-0.7</v>
      </c>
      <c r="AI152" s="228">
        <v>1.3</v>
      </c>
      <c r="AJ152" s="228">
        <v>-2</v>
      </c>
      <c r="AK152" s="229">
        <v>-1.6999999999999999E-3</v>
      </c>
      <c r="AL152" s="228">
        <v>1.4</v>
      </c>
      <c r="AM152" s="228">
        <v>2.6</v>
      </c>
      <c r="AN152" s="228">
        <v>-1.2</v>
      </c>
      <c r="AO152" s="229">
        <v>3.3E-3</v>
      </c>
      <c r="AP152" s="228">
        <v>419.22</v>
      </c>
      <c r="AQ152" s="228">
        <v>419.14</v>
      </c>
      <c r="AR152" s="228">
        <v>0</v>
      </c>
      <c r="AS152" s="228">
        <v>50</v>
      </c>
      <c r="AT152" s="228">
        <v>56</v>
      </c>
      <c r="AU152" s="228">
        <v>-6</v>
      </c>
      <c r="AV152" s="229">
        <v>-0.1048</v>
      </c>
      <c r="AW152" s="228">
        <v>45</v>
      </c>
      <c r="AX152" s="228">
        <v>50</v>
      </c>
      <c r="AY152" s="228">
        <v>-5</v>
      </c>
      <c r="AZ152" s="229">
        <v>-0.1094</v>
      </c>
      <c r="BA152" s="228">
        <v>4</v>
      </c>
      <c r="BB152" s="228">
        <v>4</v>
      </c>
      <c r="BC152" s="228">
        <v>-1</v>
      </c>
      <c r="BD152" s="229">
        <v>-0.1268</v>
      </c>
      <c r="BE152" s="228">
        <v>2</v>
      </c>
      <c r="BF152" s="228">
        <v>1</v>
      </c>
      <c r="BG152" s="228">
        <v>0</v>
      </c>
      <c r="BH152" s="229">
        <v>0.125</v>
      </c>
      <c r="BI152" s="228">
        <v>75</v>
      </c>
      <c r="BJ152" s="228">
        <v>88</v>
      </c>
      <c r="BK152" s="228">
        <v>-13</v>
      </c>
      <c r="BL152" s="229">
        <v>-0.15060000000000001</v>
      </c>
      <c r="BM152" s="228">
        <v>38</v>
      </c>
      <c r="BN152" s="228">
        <v>51</v>
      </c>
      <c r="BO152" s="228">
        <v>-13</v>
      </c>
      <c r="BP152" s="229">
        <v>-0.24829999999999999</v>
      </c>
      <c r="BQ152" s="228">
        <v>163</v>
      </c>
      <c r="BR152" s="228">
        <v>195</v>
      </c>
      <c r="BS152" s="228">
        <v>-32</v>
      </c>
      <c r="BT152" s="229">
        <v>-0.16300000000000001</v>
      </c>
      <c r="BU152" s="230">
        <v>1394104</v>
      </c>
      <c r="BV152" s="230">
        <v>1607354</v>
      </c>
      <c r="BW152" s="230">
        <v>-213250</v>
      </c>
      <c r="BX152" s="229">
        <v>-0.13270000000000001</v>
      </c>
      <c r="BY152" s="228">
        <v>421</v>
      </c>
      <c r="BZ152" s="228">
        <v>417</v>
      </c>
      <c r="CA152" s="228">
        <v>4</v>
      </c>
      <c r="CB152" s="229">
        <v>8.9999999999999993E-3</v>
      </c>
      <c r="CC152" s="228">
        <v>399</v>
      </c>
      <c r="CD152" s="228">
        <v>397</v>
      </c>
      <c r="CE152" s="228">
        <v>2</v>
      </c>
      <c r="CF152" s="229">
        <v>5.8999999999999999E-3</v>
      </c>
      <c r="CG152" s="228">
        <v>18</v>
      </c>
      <c r="CH152" s="228">
        <v>17</v>
      </c>
      <c r="CI152" s="228">
        <v>1</v>
      </c>
      <c r="CJ152" s="229">
        <v>3.4500000000000003E-2</v>
      </c>
      <c r="CK152" s="228">
        <v>4</v>
      </c>
      <c r="CL152" s="228">
        <v>3</v>
      </c>
      <c r="CM152" s="228">
        <v>1</v>
      </c>
      <c r="CN152" s="229">
        <v>0.28000000000000003</v>
      </c>
      <c r="CO152" s="228">
        <v>240</v>
      </c>
      <c r="CP152" s="228">
        <v>229</v>
      </c>
      <c r="CQ152" s="228">
        <v>11</v>
      </c>
      <c r="CR152" s="229">
        <v>4.7699999999999999E-2</v>
      </c>
      <c r="CS152" s="228">
        <v>143</v>
      </c>
      <c r="CT152" s="228">
        <v>137</v>
      </c>
      <c r="CU152" s="228">
        <v>7</v>
      </c>
      <c r="CV152" s="229">
        <v>4.8800000000000003E-2</v>
      </c>
      <c r="CW152" s="228">
        <v>804</v>
      </c>
      <c r="CX152" s="228">
        <v>783</v>
      </c>
      <c r="CY152" s="228">
        <v>21</v>
      </c>
      <c r="CZ152" s="229">
        <v>2.7300000000000001E-2</v>
      </c>
      <c r="DA152" s="228">
        <v>29.51</v>
      </c>
      <c r="DB152" s="228">
        <v>30.56</v>
      </c>
      <c r="DC152" s="228">
        <v>-1.05</v>
      </c>
      <c r="DD152" s="228">
        <v>-1.05</v>
      </c>
      <c r="DE152" s="228">
        <v>44.81</v>
      </c>
      <c r="DF152" s="228">
        <v>44.92</v>
      </c>
      <c r="DG152" s="228">
        <v>-15.3</v>
      </c>
      <c r="DH152" s="228">
        <v>-0.11</v>
      </c>
      <c r="DI152" s="228">
        <v>30.05</v>
      </c>
      <c r="DJ152" s="228">
        <v>30.67</v>
      </c>
      <c r="DK152" s="228">
        <v>-0.62</v>
      </c>
      <c r="DL152" s="228">
        <v>-0.62</v>
      </c>
      <c r="DM152" s="228">
        <v>28.46</v>
      </c>
      <c r="DN152" s="228">
        <v>30.39</v>
      </c>
      <c r="DO152" s="228">
        <v>-1.93</v>
      </c>
      <c r="DP152" s="228">
        <v>-1.93</v>
      </c>
      <c r="DQ152" s="228">
        <v>0.6</v>
      </c>
      <c r="DR152" s="228">
        <v>0.6</v>
      </c>
      <c r="DS152" s="228">
        <v>0</v>
      </c>
      <c r="DT152" s="229">
        <v>0</v>
      </c>
      <c r="DU152" s="228">
        <v>420</v>
      </c>
      <c r="DV152" s="228">
        <v>380</v>
      </c>
      <c r="DW152" s="228">
        <v>0.51</v>
      </c>
      <c r="DX152" s="228">
        <v>0.57999999999999996</v>
      </c>
      <c r="DY152" s="228">
        <v>-7.0000000000000007E-2</v>
      </c>
      <c r="DZ152" s="229">
        <v>-0.1207</v>
      </c>
      <c r="EA152" s="229">
        <v>5.0599999999999999E-2</v>
      </c>
      <c r="EB152" s="230">
        <v>476000</v>
      </c>
      <c r="EC152" s="229">
        <v>-1E-3</v>
      </c>
      <c r="ED152" s="229">
        <v>5.0599999999999999E-2</v>
      </c>
      <c r="EE152" s="228">
        <v>-0.08</v>
      </c>
      <c r="EF152" s="229">
        <v>-2.0000000000000001E-4</v>
      </c>
      <c r="EG152" s="230">
        <v>890918</v>
      </c>
      <c r="EH152" s="230">
        <v>951960</v>
      </c>
      <c r="EI152" s="229">
        <v>-6.4100000000000004E-2</v>
      </c>
      <c r="EJ152" s="229">
        <v>0.6391</v>
      </c>
      <c r="EK152" s="228">
        <v>78.66</v>
      </c>
      <c r="EL152" s="228">
        <v>37.53</v>
      </c>
      <c r="EM152" s="228">
        <v>50.13</v>
      </c>
      <c r="EN152" s="228">
        <v>15.84</v>
      </c>
      <c r="EO152" s="228">
        <v>166.32</v>
      </c>
      <c r="EP152" s="228">
        <v>197.75</v>
      </c>
      <c r="EQ152" s="228">
        <v>-31.43</v>
      </c>
      <c r="ER152" s="229">
        <v>-0.15890000000000001</v>
      </c>
      <c r="ES152" s="228">
        <v>251.08</v>
      </c>
      <c r="ET152" s="228">
        <v>138.16999999999999</v>
      </c>
      <c r="EU152" s="228">
        <v>420.6</v>
      </c>
      <c r="EV152" s="231">
        <v>94123587</v>
      </c>
      <c r="EW152" s="228">
        <v>809.84</v>
      </c>
      <c r="EX152" s="228">
        <v>789.56</v>
      </c>
      <c r="EY152" s="228">
        <v>20.28</v>
      </c>
      <c r="EZ152" s="229">
        <v>2.5700000000000001E-2</v>
      </c>
      <c r="FA152" s="229">
        <v>0.2044</v>
      </c>
      <c r="FB152" s="227" t="s">
        <v>567</v>
      </c>
      <c r="FC152">
        <f t="shared" si="3"/>
        <v>0</v>
      </c>
    </row>
    <row r="153" spans="1:159" ht="17.25" thickBot="1" x14ac:dyDescent="0.3">
      <c r="A153" s="226">
        <v>45940</v>
      </c>
      <c r="B153" s="227" t="s">
        <v>193</v>
      </c>
      <c r="C153" s="227" t="s">
        <v>269</v>
      </c>
      <c r="D153" s="228">
        <v>2250</v>
      </c>
      <c r="E153" s="228">
        <v>18</v>
      </c>
      <c r="F153" s="228">
        <v>246.82</v>
      </c>
      <c r="G153" s="228">
        <v>244.72</v>
      </c>
      <c r="H153" s="228">
        <v>2.1</v>
      </c>
      <c r="I153" s="229">
        <v>8.6E-3</v>
      </c>
      <c r="J153" s="228">
        <v>246.34</v>
      </c>
      <c r="K153" s="228">
        <v>243.39</v>
      </c>
      <c r="L153" s="228">
        <v>2.95</v>
      </c>
      <c r="M153" s="229">
        <v>1.21E-2</v>
      </c>
      <c r="N153" s="228">
        <v>246.82</v>
      </c>
      <c r="O153" s="228">
        <v>244.72</v>
      </c>
      <c r="P153" s="228">
        <v>2.1</v>
      </c>
      <c r="Q153" s="229">
        <v>8.6E-3</v>
      </c>
      <c r="R153" s="228">
        <v>247.93</v>
      </c>
      <c r="S153" s="228">
        <v>245.88</v>
      </c>
      <c r="T153" s="228">
        <v>2.0499999999999998</v>
      </c>
      <c r="U153" s="229">
        <v>8.3000000000000001E-3</v>
      </c>
      <c r="V153" s="228">
        <v>249.66</v>
      </c>
      <c r="W153" s="228">
        <v>246.99</v>
      </c>
      <c r="X153" s="228">
        <v>2.67</v>
      </c>
      <c r="Y153" s="229">
        <v>1.0800000000000001E-2</v>
      </c>
      <c r="Z153" s="228">
        <v>0.48</v>
      </c>
      <c r="AA153" s="228">
        <v>1.33</v>
      </c>
      <c r="AB153" s="228">
        <v>-0.85</v>
      </c>
      <c r="AC153" s="229">
        <v>1.9E-3</v>
      </c>
      <c r="AD153" s="228">
        <v>0.48</v>
      </c>
      <c r="AE153" s="228">
        <v>1.33</v>
      </c>
      <c r="AF153" s="228">
        <v>-0.85</v>
      </c>
      <c r="AG153" s="229">
        <v>1.9E-3</v>
      </c>
      <c r="AH153" s="228">
        <v>1.59</v>
      </c>
      <c r="AI153" s="228">
        <v>2.4900000000000002</v>
      </c>
      <c r="AJ153" s="228">
        <v>-0.9</v>
      </c>
      <c r="AK153" s="229">
        <v>6.4999999999999997E-3</v>
      </c>
      <c r="AL153" s="228">
        <v>3.32</v>
      </c>
      <c r="AM153" s="228">
        <v>3.6</v>
      </c>
      <c r="AN153" s="228">
        <v>-0.28000000000000003</v>
      </c>
      <c r="AO153" s="229">
        <v>1.35E-2</v>
      </c>
      <c r="AP153" s="228">
        <v>246.84</v>
      </c>
      <c r="AQ153" s="228">
        <v>247.95</v>
      </c>
      <c r="AR153" s="228">
        <v>0</v>
      </c>
      <c r="AS153" s="228">
        <v>275</v>
      </c>
      <c r="AT153" s="228">
        <v>269</v>
      </c>
      <c r="AU153" s="228">
        <v>7</v>
      </c>
      <c r="AV153" s="229">
        <v>2.46E-2</v>
      </c>
      <c r="AW153" s="228">
        <v>249</v>
      </c>
      <c r="AX153" s="228">
        <v>252</v>
      </c>
      <c r="AY153" s="228">
        <v>-4</v>
      </c>
      <c r="AZ153" s="229">
        <v>-1.4999999999999999E-2</v>
      </c>
      <c r="BA153" s="228">
        <v>23</v>
      </c>
      <c r="BB153" s="228">
        <v>15</v>
      </c>
      <c r="BC153" s="228">
        <v>8</v>
      </c>
      <c r="BD153" s="229">
        <v>0.51090000000000002</v>
      </c>
      <c r="BE153" s="228">
        <v>4</v>
      </c>
      <c r="BF153" s="228">
        <v>1</v>
      </c>
      <c r="BG153" s="228">
        <v>3</v>
      </c>
      <c r="BH153" s="229">
        <v>2.2381000000000002</v>
      </c>
      <c r="BI153" s="230">
        <v>1205</v>
      </c>
      <c r="BJ153" s="228">
        <v>993</v>
      </c>
      <c r="BK153" s="228">
        <v>211</v>
      </c>
      <c r="BL153" s="229">
        <v>0.21260000000000001</v>
      </c>
      <c r="BM153" s="228">
        <v>621</v>
      </c>
      <c r="BN153" s="228">
        <v>451</v>
      </c>
      <c r="BO153" s="228">
        <v>171</v>
      </c>
      <c r="BP153" s="229">
        <v>0.37890000000000001</v>
      </c>
      <c r="BQ153" s="230">
        <v>2101</v>
      </c>
      <c r="BR153" s="230">
        <v>1713</v>
      </c>
      <c r="BS153" s="228">
        <v>389</v>
      </c>
      <c r="BT153" s="229">
        <v>0.22689999999999999</v>
      </c>
      <c r="BU153" s="230">
        <v>9530812</v>
      </c>
      <c r="BV153" s="230">
        <v>9583712</v>
      </c>
      <c r="BW153" s="230">
        <v>-52900</v>
      </c>
      <c r="BX153" s="229">
        <v>-5.4999999999999997E-3</v>
      </c>
      <c r="BY153" s="230">
        <v>2441</v>
      </c>
      <c r="BZ153" s="230">
        <v>2457</v>
      </c>
      <c r="CA153" s="228">
        <v>-16</v>
      </c>
      <c r="CB153" s="229">
        <v>-6.7000000000000002E-3</v>
      </c>
      <c r="CC153" s="230">
        <v>2387</v>
      </c>
      <c r="CD153" s="230">
        <v>2407</v>
      </c>
      <c r="CE153" s="228">
        <v>-20</v>
      </c>
      <c r="CF153" s="229">
        <v>-8.3000000000000001E-3</v>
      </c>
      <c r="CG153" s="228">
        <v>47</v>
      </c>
      <c r="CH153" s="228">
        <v>45</v>
      </c>
      <c r="CI153" s="228">
        <v>1</v>
      </c>
      <c r="CJ153" s="229">
        <v>2.9399999999999999E-2</v>
      </c>
      <c r="CK153" s="228">
        <v>7</v>
      </c>
      <c r="CL153" s="228">
        <v>4</v>
      </c>
      <c r="CM153" s="228">
        <v>2</v>
      </c>
      <c r="CN153" s="229">
        <v>0.5</v>
      </c>
      <c r="CO153" s="230">
        <v>1338</v>
      </c>
      <c r="CP153" s="230">
        <v>1364</v>
      </c>
      <c r="CQ153" s="228">
        <v>-27</v>
      </c>
      <c r="CR153" s="229">
        <v>-1.95E-2</v>
      </c>
      <c r="CS153" s="228">
        <v>471</v>
      </c>
      <c r="CT153" s="228">
        <v>455</v>
      </c>
      <c r="CU153" s="228">
        <v>16</v>
      </c>
      <c r="CV153" s="229">
        <v>3.49E-2</v>
      </c>
      <c r="CW153" s="230">
        <v>4249</v>
      </c>
      <c r="CX153" s="230">
        <v>4276</v>
      </c>
      <c r="CY153" s="228">
        <v>-27</v>
      </c>
      <c r="CZ153" s="229">
        <v>-6.4000000000000003E-3</v>
      </c>
      <c r="DA153" s="228">
        <v>16.48</v>
      </c>
      <c r="DB153" s="228">
        <v>17.649999999999999</v>
      </c>
      <c r="DC153" s="228">
        <v>-1.17</v>
      </c>
      <c r="DD153" s="228">
        <v>-1.17</v>
      </c>
      <c r="DE153" s="228">
        <v>32.5</v>
      </c>
      <c r="DF153" s="228">
        <v>32.54</v>
      </c>
      <c r="DG153" s="228">
        <v>-16.02</v>
      </c>
      <c r="DH153" s="228">
        <v>-0.04</v>
      </c>
      <c r="DI153" s="228">
        <v>16.05</v>
      </c>
      <c r="DJ153" s="228">
        <v>17.55</v>
      </c>
      <c r="DK153" s="228">
        <v>-1.5</v>
      </c>
      <c r="DL153" s="228">
        <v>-1.5</v>
      </c>
      <c r="DM153" s="228">
        <v>17.32</v>
      </c>
      <c r="DN153" s="228">
        <v>17.88</v>
      </c>
      <c r="DO153" s="228">
        <v>-0.56000000000000005</v>
      </c>
      <c r="DP153" s="228">
        <v>-0.56000000000000005</v>
      </c>
      <c r="DQ153" s="228">
        <v>0.35</v>
      </c>
      <c r="DR153" s="228">
        <v>0.33</v>
      </c>
      <c r="DS153" s="228">
        <v>0.02</v>
      </c>
      <c r="DT153" s="229">
        <v>6.0600000000000001E-2</v>
      </c>
      <c r="DU153" s="228">
        <v>250</v>
      </c>
      <c r="DV153" s="228">
        <v>240</v>
      </c>
      <c r="DW153" s="228">
        <v>0.52</v>
      </c>
      <c r="DX153" s="228">
        <v>0.45</v>
      </c>
      <c r="DY153" s="228">
        <v>7.0000000000000007E-2</v>
      </c>
      <c r="DZ153" s="229">
        <v>0.15559999999999999</v>
      </c>
      <c r="EA153" s="229">
        <v>2.18E-2</v>
      </c>
      <c r="EB153" s="230">
        <v>2016000</v>
      </c>
      <c r="EC153" s="229">
        <v>4.4999999999999997E-3</v>
      </c>
      <c r="ED153" s="229">
        <v>2.18E-2</v>
      </c>
      <c r="EE153" s="228">
        <v>1.1100000000000001</v>
      </c>
      <c r="EF153" s="229">
        <v>4.4999999999999997E-3</v>
      </c>
      <c r="EG153" s="230">
        <v>5812867</v>
      </c>
      <c r="EH153" s="230">
        <v>6200343</v>
      </c>
      <c r="EI153" s="229">
        <v>-6.25E-2</v>
      </c>
      <c r="EJ153" s="229">
        <v>0.6099</v>
      </c>
      <c r="EK153" s="231">
        <v>1233.75</v>
      </c>
      <c r="EL153" s="228">
        <v>619.74</v>
      </c>
      <c r="EM153" s="228">
        <v>275.45</v>
      </c>
      <c r="EN153" s="228">
        <v>58.2</v>
      </c>
      <c r="EO153" s="231">
        <v>2128.9499999999998</v>
      </c>
      <c r="EP153" s="231">
        <v>1729.05</v>
      </c>
      <c r="EQ153" s="228">
        <v>399.9</v>
      </c>
      <c r="ER153" s="229">
        <v>0.23130000000000001</v>
      </c>
      <c r="ES153" s="231">
        <v>1362.9</v>
      </c>
      <c r="ET153" s="228">
        <v>460.37</v>
      </c>
      <c r="EU153" s="231">
        <v>2440.81</v>
      </c>
      <c r="EV153" s="231">
        <v>517141211</v>
      </c>
      <c r="EW153" s="231">
        <v>4264.08</v>
      </c>
      <c r="EX153" s="231">
        <v>4269.0600000000004</v>
      </c>
      <c r="EY153" s="228">
        <v>-4.9800000000000004</v>
      </c>
      <c r="EZ153" s="229">
        <v>-1.1999999999999999E-3</v>
      </c>
      <c r="FA153" s="229">
        <v>0.33289999999999997</v>
      </c>
      <c r="FB153" s="227" t="s">
        <v>556</v>
      </c>
      <c r="FC153">
        <f t="shared" si="3"/>
        <v>0</v>
      </c>
    </row>
    <row r="154" spans="1:159" ht="17.25" thickBot="1" x14ac:dyDescent="0.3">
      <c r="A154" s="226">
        <v>45940</v>
      </c>
      <c r="B154" s="227" t="s">
        <v>197</v>
      </c>
      <c r="C154" s="227" t="s">
        <v>270</v>
      </c>
      <c r="D154" s="228">
        <v>15</v>
      </c>
      <c r="E154" s="228">
        <v>18</v>
      </c>
      <c r="F154" s="231">
        <v>41440</v>
      </c>
      <c r="G154" s="231">
        <v>41660</v>
      </c>
      <c r="H154" s="228">
        <v>-220</v>
      </c>
      <c r="I154" s="229">
        <v>-5.3E-3</v>
      </c>
      <c r="J154" s="231">
        <v>41640</v>
      </c>
      <c r="K154" s="231">
        <v>41740</v>
      </c>
      <c r="L154" s="228">
        <v>-100</v>
      </c>
      <c r="M154" s="229">
        <v>-2.3999999999999998E-3</v>
      </c>
      <c r="N154" s="231">
        <v>41440</v>
      </c>
      <c r="O154" s="231">
        <v>41660</v>
      </c>
      <c r="P154" s="228">
        <v>-220</v>
      </c>
      <c r="Q154" s="229">
        <v>-5.3E-3</v>
      </c>
      <c r="R154" s="231">
        <v>40905</v>
      </c>
      <c r="S154" s="231">
        <v>41130</v>
      </c>
      <c r="T154" s="228">
        <v>-225</v>
      </c>
      <c r="U154" s="229">
        <v>-5.4999999999999997E-3</v>
      </c>
      <c r="V154" s="231">
        <v>40735</v>
      </c>
      <c r="W154" s="231">
        <v>40780</v>
      </c>
      <c r="X154" s="228">
        <v>-45</v>
      </c>
      <c r="Y154" s="229">
        <v>-1.1000000000000001E-3</v>
      </c>
      <c r="Z154" s="228">
        <v>-200</v>
      </c>
      <c r="AA154" s="228">
        <v>-80</v>
      </c>
      <c r="AB154" s="228">
        <v>-120</v>
      </c>
      <c r="AC154" s="229">
        <v>-4.7999999999999996E-3</v>
      </c>
      <c r="AD154" s="228">
        <v>-200</v>
      </c>
      <c r="AE154" s="228">
        <v>-80</v>
      </c>
      <c r="AF154" s="228">
        <v>-120</v>
      </c>
      <c r="AG154" s="229">
        <v>-4.7999999999999996E-3</v>
      </c>
      <c r="AH154" s="228">
        <v>-735</v>
      </c>
      <c r="AI154" s="228">
        <v>-610</v>
      </c>
      <c r="AJ154" s="228">
        <v>-125</v>
      </c>
      <c r="AK154" s="229">
        <v>-1.77E-2</v>
      </c>
      <c r="AL154" s="228">
        <v>-905</v>
      </c>
      <c r="AM154" s="228">
        <v>-960</v>
      </c>
      <c r="AN154" s="228">
        <v>55</v>
      </c>
      <c r="AO154" s="229">
        <v>-2.1700000000000001E-2</v>
      </c>
      <c r="AP154" s="231">
        <v>41669.89</v>
      </c>
      <c r="AQ154" s="231">
        <v>41184.49</v>
      </c>
      <c r="AR154" s="228">
        <v>0</v>
      </c>
      <c r="AS154" s="228">
        <v>85</v>
      </c>
      <c r="AT154" s="228">
        <v>82</v>
      </c>
      <c r="AU154" s="228">
        <v>3</v>
      </c>
      <c r="AV154" s="229">
        <v>4.0399999999999998E-2</v>
      </c>
      <c r="AW154" s="228">
        <v>68</v>
      </c>
      <c r="AX154" s="228">
        <v>72</v>
      </c>
      <c r="AY154" s="228">
        <v>-4</v>
      </c>
      <c r="AZ154" s="229">
        <v>-5.4399999999999997E-2</v>
      </c>
      <c r="BA154" s="228">
        <v>13</v>
      </c>
      <c r="BB154" s="228">
        <v>9</v>
      </c>
      <c r="BC154" s="228">
        <v>4</v>
      </c>
      <c r="BD154" s="229">
        <v>0.45319999999999999</v>
      </c>
      <c r="BE154" s="228">
        <v>4</v>
      </c>
      <c r="BF154" s="228">
        <v>1</v>
      </c>
      <c r="BG154" s="228">
        <v>3</v>
      </c>
      <c r="BH154" s="229">
        <v>3.3125</v>
      </c>
      <c r="BI154" s="228">
        <v>258</v>
      </c>
      <c r="BJ154" s="228">
        <v>394</v>
      </c>
      <c r="BK154" s="228">
        <v>-135</v>
      </c>
      <c r="BL154" s="229">
        <v>-0.34339999999999998</v>
      </c>
      <c r="BM154" s="228">
        <v>48</v>
      </c>
      <c r="BN154" s="228">
        <v>43</v>
      </c>
      <c r="BO154" s="228">
        <v>5</v>
      </c>
      <c r="BP154" s="229">
        <v>0.1119</v>
      </c>
      <c r="BQ154" s="228">
        <v>392</v>
      </c>
      <c r="BR154" s="228">
        <v>519</v>
      </c>
      <c r="BS154" s="228">
        <v>-127</v>
      </c>
      <c r="BT154" s="229">
        <v>-0.245</v>
      </c>
      <c r="BU154" s="230">
        <v>22360</v>
      </c>
      <c r="BV154" s="230">
        <v>21109</v>
      </c>
      <c r="BW154" s="230">
        <v>1251</v>
      </c>
      <c r="BX154" s="229">
        <v>5.9299999999999999E-2</v>
      </c>
      <c r="BY154" s="228">
        <v>946</v>
      </c>
      <c r="BZ154" s="228">
        <v>937</v>
      </c>
      <c r="CA154" s="228">
        <v>9</v>
      </c>
      <c r="CB154" s="229">
        <v>9.2999999999999992E-3</v>
      </c>
      <c r="CC154" s="228">
        <v>899</v>
      </c>
      <c r="CD154" s="228">
        <v>896</v>
      </c>
      <c r="CE154" s="228">
        <v>2</v>
      </c>
      <c r="CF154" s="229">
        <v>2.3999999999999998E-3</v>
      </c>
      <c r="CG154" s="228">
        <v>43</v>
      </c>
      <c r="CH154" s="228">
        <v>39</v>
      </c>
      <c r="CI154" s="228">
        <v>4</v>
      </c>
      <c r="CJ154" s="229">
        <v>9.7600000000000006E-2</v>
      </c>
      <c r="CK154" s="228">
        <v>4</v>
      </c>
      <c r="CL154" s="228">
        <v>1</v>
      </c>
      <c r="CM154" s="228">
        <v>3</v>
      </c>
      <c r="CN154" s="229">
        <v>1.9544999999999999</v>
      </c>
      <c r="CO154" s="228">
        <v>330</v>
      </c>
      <c r="CP154" s="228">
        <v>308</v>
      </c>
      <c r="CQ154" s="228">
        <v>22</v>
      </c>
      <c r="CR154" s="229">
        <v>7.17E-2</v>
      </c>
      <c r="CS154" s="228">
        <v>134</v>
      </c>
      <c r="CT154" s="228">
        <v>131</v>
      </c>
      <c r="CU154" s="228">
        <v>3</v>
      </c>
      <c r="CV154" s="229">
        <v>2.4299999999999999E-2</v>
      </c>
      <c r="CW154" s="230">
        <v>1410</v>
      </c>
      <c r="CX154" s="230">
        <v>1376</v>
      </c>
      <c r="CY154" s="228">
        <v>34</v>
      </c>
      <c r="CZ154" s="229">
        <v>2.47E-2</v>
      </c>
      <c r="DA154" s="228">
        <v>25.75</v>
      </c>
      <c r="DB154" s="228">
        <v>26.53</v>
      </c>
      <c r="DC154" s="228">
        <v>-0.78</v>
      </c>
      <c r="DD154" s="228">
        <v>-0.78</v>
      </c>
      <c r="DE154" s="228">
        <v>29.62</v>
      </c>
      <c r="DF154" s="228">
        <v>29.7</v>
      </c>
      <c r="DG154" s="228">
        <v>-3.87</v>
      </c>
      <c r="DH154" s="228">
        <v>-0.08</v>
      </c>
      <c r="DI154" s="228">
        <v>25.98</v>
      </c>
      <c r="DJ154" s="228">
        <v>26.77</v>
      </c>
      <c r="DK154" s="228">
        <v>-0.79</v>
      </c>
      <c r="DL154" s="228">
        <v>-0.79</v>
      </c>
      <c r="DM154" s="228">
        <v>24.52</v>
      </c>
      <c r="DN154" s="228">
        <v>24.4</v>
      </c>
      <c r="DO154" s="228">
        <v>0.12</v>
      </c>
      <c r="DP154" s="228">
        <v>0.12</v>
      </c>
      <c r="DQ154" s="228">
        <v>0.41</v>
      </c>
      <c r="DR154" s="228">
        <v>0.42</v>
      </c>
      <c r="DS154" s="228">
        <v>-0.01</v>
      </c>
      <c r="DT154" s="229">
        <v>-2.3800000000000002E-2</v>
      </c>
      <c r="DU154" s="231">
        <v>45000</v>
      </c>
      <c r="DV154" s="231">
        <v>39000</v>
      </c>
      <c r="DW154" s="228">
        <v>0.19</v>
      </c>
      <c r="DX154" s="228">
        <v>0.11</v>
      </c>
      <c r="DY154" s="228">
        <v>0.08</v>
      </c>
      <c r="DZ154" s="229">
        <v>0.72729999999999995</v>
      </c>
      <c r="EA154" s="229">
        <v>5.0099999999999999E-2</v>
      </c>
      <c r="EB154" s="230">
        <v>9855</v>
      </c>
      <c r="EC154" s="229">
        <v>-1.29E-2</v>
      </c>
      <c r="ED154" s="229">
        <v>5.0099999999999999E-2</v>
      </c>
      <c r="EE154" s="228">
        <v>-485.4</v>
      </c>
      <c r="EF154" s="229">
        <v>-1.1599999999999999E-2</v>
      </c>
      <c r="EG154" s="230">
        <v>14930</v>
      </c>
      <c r="EH154" s="230">
        <v>10643</v>
      </c>
      <c r="EI154" s="229">
        <v>0.40279999999999999</v>
      </c>
      <c r="EJ154" s="229">
        <v>0.66769999999999996</v>
      </c>
      <c r="EK154" s="228">
        <v>276.97000000000003</v>
      </c>
      <c r="EL154" s="228">
        <v>46.96</v>
      </c>
      <c r="EM154" s="228">
        <v>85.17</v>
      </c>
      <c r="EN154" s="228">
        <v>17.649999999999999</v>
      </c>
      <c r="EO154" s="228">
        <v>409.1</v>
      </c>
      <c r="EP154" s="228">
        <v>554.44000000000005</v>
      </c>
      <c r="EQ154" s="228">
        <v>-145.34</v>
      </c>
      <c r="ER154" s="229">
        <v>-0.2621</v>
      </c>
      <c r="ES154" s="228">
        <v>352.15</v>
      </c>
      <c r="ET154" s="228">
        <v>132.13999999999999</v>
      </c>
      <c r="EU154" s="228">
        <v>945.38</v>
      </c>
      <c r="EV154" s="231">
        <v>955549</v>
      </c>
      <c r="EW154" s="231">
        <v>1429.68</v>
      </c>
      <c r="EX154" s="231">
        <v>1400.57</v>
      </c>
      <c r="EY154" s="228">
        <v>29.11</v>
      </c>
      <c r="EZ154" s="229">
        <v>2.0799999999999999E-2</v>
      </c>
      <c r="FA154" s="229">
        <v>0.35599999999999998</v>
      </c>
      <c r="FB154" s="227" t="s">
        <v>567</v>
      </c>
      <c r="FC154">
        <f t="shared" si="3"/>
        <v>0</v>
      </c>
    </row>
    <row r="155" spans="1:159" ht="17.25" thickBot="1" x14ac:dyDescent="0.3">
      <c r="A155" s="226">
        <v>45940</v>
      </c>
      <c r="B155" s="227" t="s">
        <v>168</v>
      </c>
      <c r="C155" s="227" t="s">
        <v>667</v>
      </c>
      <c r="D155" s="228">
        <v>900</v>
      </c>
      <c r="E155" s="228">
        <v>18</v>
      </c>
      <c r="F155" s="228">
        <v>594.75</v>
      </c>
      <c r="G155" s="228">
        <v>597.25</v>
      </c>
      <c r="H155" s="228">
        <v>-2.5</v>
      </c>
      <c r="I155" s="229">
        <v>-4.1999999999999997E-3</v>
      </c>
      <c r="J155" s="228">
        <v>594.1</v>
      </c>
      <c r="K155" s="228">
        <v>594.54999999999995</v>
      </c>
      <c r="L155" s="228">
        <v>-0.45</v>
      </c>
      <c r="M155" s="229">
        <v>-8.0000000000000004E-4</v>
      </c>
      <c r="N155" s="228">
        <v>594.75</v>
      </c>
      <c r="O155" s="228">
        <v>597.25</v>
      </c>
      <c r="P155" s="228">
        <v>-2.5</v>
      </c>
      <c r="Q155" s="229">
        <v>-4.1999999999999997E-3</v>
      </c>
      <c r="R155" s="228">
        <v>595.85</v>
      </c>
      <c r="S155" s="228">
        <v>599.29999999999995</v>
      </c>
      <c r="T155" s="228">
        <v>-3.45</v>
      </c>
      <c r="U155" s="229">
        <v>-5.7999999999999996E-3</v>
      </c>
      <c r="V155" s="228">
        <v>599.75</v>
      </c>
      <c r="W155" s="228">
        <v>605</v>
      </c>
      <c r="X155" s="228">
        <v>-5.25</v>
      </c>
      <c r="Y155" s="229">
        <v>-8.6999999999999994E-3</v>
      </c>
      <c r="Z155" s="228">
        <v>0.65</v>
      </c>
      <c r="AA155" s="228">
        <v>2.7</v>
      </c>
      <c r="AB155" s="228">
        <v>-2.0499999999999998</v>
      </c>
      <c r="AC155" s="229">
        <v>1.1000000000000001E-3</v>
      </c>
      <c r="AD155" s="228">
        <v>0.65</v>
      </c>
      <c r="AE155" s="228">
        <v>2.7</v>
      </c>
      <c r="AF155" s="228">
        <v>-2.0499999999999998</v>
      </c>
      <c r="AG155" s="229">
        <v>1.1000000000000001E-3</v>
      </c>
      <c r="AH155" s="228">
        <v>1.75</v>
      </c>
      <c r="AI155" s="228">
        <v>4.75</v>
      </c>
      <c r="AJ155" s="228">
        <v>-3</v>
      </c>
      <c r="AK155" s="229">
        <v>2.8999999999999998E-3</v>
      </c>
      <c r="AL155" s="228">
        <v>5.65</v>
      </c>
      <c r="AM155" s="228">
        <v>10.45</v>
      </c>
      <c r="AN155" s="228">
        <v>-4.8</v>
      </c>
      <c r="AO155" s="229">
        <v>9.4999999999999998E-3</v>
      </c>
      <c r="AP155" s="228">
        <v>596.75</v>
      </c>
      <c r="AQ155" s="228">
        <v>598.04</v>
      </c>
      <c r="AR155" s="228">
        <v>0</v>
      </c>
      <c r="AS155" s="228">
        <v>128</v>
      </c>
      <c r="AT155" s="228">
        <v>141</v>
      </c>
      <c r="AU155" s="228">
        <v>-13</v>
      </c>
      <c r="AV155" s="229">
        <v>-8.9099999999999999E-2</v>
      </c>
      <c r="AW155" s="228">
        <v>125</v>
      </c>
      <c r="AX155" s="228">
        <v>139</v>
      </c>
      <c r="AY155" s="228">
        <v>-14</v>
      </c>
      <c r="AZ155" s="229">
        <v>-0.1022</v>
      </c>
      <c r="BA155" s="228">
        <v>3</v>
      </c>
      <c r="BB155" s="228">
        <v>2</v>
      </c>
      <c r="BC155" s="228">
        <v>1</v>
      </c>
      <c r="BD155" s="229">
        <v>0.68569999999999998</v>
      </c>
      <c r="BE155" s="228">
        <v>0</v>
      </c>
      <c r="BF155" s="228">
        <v>0</v>
      </c>
      <c r="BG155" s="228">
        <v>0</v>
      </c>
      <c r="BH155" s="229">
        <v>0</v>
      </c>
      <c r="BI155" s="228">
        <v>154</v>
      </c>
      <c r="BJ155" s="228">
        <v>168</v>
      </c>
      <c r="BK155" s="228">
        <v>-14</v>
      </c>
      <c r="BL155" s="229">
        <v>-8.2699999999999996E-2</v>
      </c>
      <c r="BM155" s="228">
        <v>69</v>
      </c>
      <c r="BN155" s="228">
        <v>150</v>
      </c>
      <c r="BO155" s="228">
        <v>-81</v>
      </c>
      <c r="BP155" s="229">
        <v>-0.54190000000000005</v>
      </c>
      <c r="BQ155" s="228">
        <v>350</v>
      </c>
      <c r="BR155" s="228">
        <v>458</v>
      </c>
      <c r="BS155" s="228">
        <v>-108</v>
      </c>
      <c r="BT155" s="229">
        <v>-0.23499999999999999</v>
      </c>
      <c r="BU155" s="230">
        <v>336954</v>
      </c>
      <c r="BV155" s="230">
        <v>873522</v>
      </c>
      <c r="BW155" s="230">
        <v>-536568</v>
      </c>
      <c r="BX155" s="229">
        <v>-0.61429999999999996</v>
      </c>
      <c r="BY155" s="230">
        <v>1943</v>
      </c>
      <c r="BZ155" s="230">
        <v>1950</v>
      </c>
      <c r="CA155" s="228">
        <v>-8</v>
      </c>
      <c r="CB155" s="229">
        <v>-4.0000000000000001E-3</v>
      </c>
      <c r="CC155" s="230">
        <v>1927</v>
      </c>
      <c r="CD155" s="230">
        <v>1935</v>
      </c>
      <c r="CE155" s="228">
        <v>-8</v>
      </c>
      <c r="CF155" s="229">
        <v>-4.1999999999999997E-3</v>
      </c>
      <c r="CG155" s="228">
        <v>15</v>
      </c>
      <c r="CH155" s="228">
        <v>15</v>
      </c>
      <c r="CI155" s="228">
        <v>0</v>
      </c>
      <c r="CJ155" s="229">
        <v>1.84E-2</v>
      </c>
      <c r="CK155" s="228">
        <v>1</v>
      </c>
      <c r="CL155" s="228">
        <v>0</v>
      </c>
      <c r="CM155" s="228">
        <v>0</v>
      </c>
      <c r="CN155" s="229">
        <v>0.44440000000000002</v>
      </c>
      <c r="CO155" s="228">
        <v>359</v>
      </c>
      <c r="CP155" s="228">
        <v>319</v>
      </c>
      <c r="CQ155" s="228">
        <v>40</v>
      </c>
      <c r="CR155" s="229">
        <v>0.1249</v>
      </c>
      <c r="CS155" s="228">
        <v>155</v>
      </c>
      <c r="CT155" s="228">
        <v>153</v>
      </c>
      <c r="CU155" s="228">
        <v>2</v>
      </c>
      <c r="CV155" s="229">
        <v>1.12E-2</v>
      </c>
      <c r="CW155" s="230">
        <v>2457</v>
      </c>
      <c r="CX155" s="230">
        <v>2423</v>
      </c>
      <c r="CY155" s="228">
        <v>34</v>
      </c>
      <c r="CZ155" s="229">
        <v>1.4E-2</v>
      </c>
      <c r="DA155" s="228">
        <v>28.66</v>
      </c>
      <c r="DB155" s="228">
        <v>28.82</v>
      </c>
      <c r="DC155" s="228">
        <v>-0.16</v>
      </c>
      <c r="DD155" s="228">
        <v>-0.16</v>
      </c>
      <c r="DE155" s="228">
        <v>34.49</v>
      </c>
      <c r="DF155" s="228">
        <v>34.57</v>
      </c>
      <c r="DG155" s="228">
        <v>-5.83</v>
      </c>
      <c r="DH155" s="228">
        <v>-0.08</v>
      </c>
      <c r="DI155" s="228">
        <v>28.8</v>
      </c>
      <c r="DJ155" s="228">
        <v>28.76</v>
      </c>
      <c r="DK155" s="228">
        <v>0.04</v>
      </c>
      <c r="DL155" s="228">
        <v>0.04</v>
      </c>
      <c r="DM155" s="228">
        <v>28.36</v>
      </c>
      <c r="DN155" s="228">
        <v>28.88</v>
      </c>
      <c r="DO155" s="228">
        <v>-0.52</v>
      </c>
      <c r="DP155" s="228">
        <v>-0.52</v>
      </c>
      <c r="DQ155" s="228">
        <v>0.43</v>
      </c>
      <c r="DR155" s="228">
        <v>0.48</v>
      </c>
      <c r="DS155" s="228">
        <v>-0.05</v>
      </c>
      <c r="DT155" s="229">
        <v>-0.1042</v>
      </c>
      <c r="DU155" s="228">
        <v>600</v>
      </c>
      <c r="DV155" s="228">
        <v>600</v>
      </c>
      <c r="DW155" s="228">
        <v>0.45</v>
      </c>
      <c r="DX155" s="228">
        <v>0.89</v>
      </c>
      <c r="DY155" s="228">
        <v>-0.44</v>
      </c>
      <c r="DZ155" s="229">
        <v>-0.49440000000000001</v>
      </c>
      <c r="EA155" s="229">
        <v>8.0000000000000002E-3</v>
      </c>
      <c r="EB155" s="230">
        <v>252900</v>
      </c>
      <c r="EC155" s="229">
        <v>1.8E-3</v>
      </c>
      <c r="ED155" s="229">
        <v>8.0000000000000002E-3</v>
      </c>
      <c r="EE155" s="228">
        <v>1.29</v>
      </c>
      <c r="EF155" s="229">
        <v>2.2000000000000001E-3</v>
      </c>
      <c r="EG155" s="230">
        <v>164534</v>
      </c>
      <c r="EH155" s="230">
        <v>415081</v>
      </c>
      <c r="EI155" s="229">
        <v>-0.60360000000000003</v>
      </c>
      <c r="EJ155" s="229">
        <v>0.48830000000000001</v>
      </c>
      <c r="EK155" s="228">
        <v>161.68</v>
      </c>
      <c r="EL155" s="228">
        <v>69.48</v>
      </c>
      <c r="EM155" s="228">
        <v>128.53</v>
      </c>
      <c r="EN155" s="228">
        <v>26.96</v>
      </c>
      <c r="EO155" s="228">
        <v>359.7</v>
      </c>
      <c r="EP155" s="228">
        <v>469.48</v>
      </c>
      <c r="EQ155" s="228">
        <v>-109.79</v>
      </c>
      <c r="ER155" s="229">
        <v>-0.23380000000000001</v>
      </c>
      <c r="ES155" s="228">
        <v>370.14</v>
      </c>
      <c r="ET155" s="228">
        <v>152.31</v>
      </c>
      <c r="EU155" s="231">
        <v>1942.71</v>
      </c>
      <c r="EV155" s="231">
        <v>50840137</v>
      </c>
      <c r="EW155" s="231">
        <v>2465.16</v>
      </c>
      <c r="EX155" s="231">
        <v>2437.17</v>
      </c>
      <c r="EY155" s="228">
        <v>27.99</v>
      </c>
      <c r="EZ155" s="229">
        <v>1.15E-2</v>
      </c>
      <c r="FA155" s="229">
        <v>0.81240000000000001</v>
      </c>
      <c r="FB155" s="227" t="s">
        <v>568</v>
      </c>
      <c r="FC155">
        <f t="shared" si="3"/>
        <v>0</v>
      </c>
    </row>
    <row r="156" spans="1:159" ht="17.25" thickBot="1" x14ac:dyDescent="0.3">
      <c r="A156" s="226">
        <v>45940</v>
      </c>
      <c r="B156" s="227" t="s">
        <v>616</v>
      </c>
      <c r="C156" s="227" t="s">
        <v>576</v>
      </c>
      <c r="D156" s="228">
        <v>725</v>
      </c>
      <c r="E156" s="228">
        <v>18</v>
      </c>
      <c r="F156" s="231">
        <v>1243.2</v>
      </c>
      <c r="G156" s="231">
        <v>1253.9000000000001</v>
      </c>
      <c r="H156" s="228">
        <v>-10.7</v>
      </c>
      <c r="I156" s="229">
        <v>-8.5000000000000006E-3</v>
      </c>
      <c r="J156" s="231">
        <v>1236.9000000000001</v>
      </c>
      <c r="K156" s="231">
        <v>1246.3</v>
      </c>
      <c r="L156" s="228">
        <v>-9.4</v>
      </c>
      <c r="M156" s="229">
        <v>-7.4999999999999997E-3</v>
      </c>
      <c r="N156" s="231">
        <v>1243.2</v>
      </c>
      <c r="O156" s="231">
        <v>1253.9000000000001</v>
      </c>
      <c r="P156" s="228">
        <v>-10.7</v>
      </c>
      <c r="Q156" s="229">
        <v>-8.5000000000000006E-3</v>
      </c>
      <c r="R156" s="231">
        <v>1249.7</v>
      </c>
      <c r="S156" s="231">
        <v>1260.5999999999999</v>
      </c>
      <c r="T156" s="228">
        <v>-10.9</v>
      </c>
      <c r="U156" s="229">
        <v>-8.6E-3</v>
      </c>
      <c r="V156" s="231">
        <v>1256.3</v>
      </c>
      <c r="W156" s="231">
        <v>1268.8</v>
      </c>
      <c r="X156" s="228">
        <v>-12.5</v>
      </c>
      <c r="Y156" s="229">
        <v>-9.9000000000000008E-3</v>
      </c>
      <c r="Z156" s="228">
        <v>6.3</v>
      </c>
      <c r="AA156" s="228">
        <v>7.6</v>
      </c>
      <c r="AB156" s="228">
        <v>-1.3</v>
      </c>
      <c r="AC156" s="229">
        <v>5.1000000000000004E-3</v>
      </c>
      <c r="AD156" s="228">
        <v>6.3</v>
      </c>
      <c r="AE156" s="228">
        <v>7.6</v>
      </c>
      <c r="AF156" s="228">
        <v>-1.3</v>
      </c>
      <c r="AG156" s="229">
        <v>5.1000000000000004E-3</v>
      </c>
      <c r="AH156" s="228">
        <v>12.8</v>
      </c>
      <c r="AI156" s="228">
        <v>14.3</v>
      </c>
      <c r="AJ156" s="228">
        <v>-1.5</v>
      </c>
      <c r="AK156" s="229">
        <v>1.03E-2</v>
      </c>
      <c r="AL156" s="228">
        <v>19.399999999999999</v>
      </c>
      <c r="AM156" s="228">
        <v>22.5</v>
      </c>
      <c r="AN156" s="228">
        <v>-3.1</v>
      </c>
      <c r="AO156" s="229">
        <v>1.5699999999999999E-2</v>
      </c>
      <c r="AP156" s="231">
        <v>1250</v>
      </c>
      <c r="AQ156" s="231">
        <v>1255.71</v>
      </c>
      <c r="AR156" s="228">
        <v>0</v>
      </c>
      <c r="AS156" s="228">
        <v>674</v>
      </c>
      <c r="AT156" s="228">
        <v>840</v>
      </c>
      <c r="AU156" s="228">
        <v>-167</v>
      </c>
      <c r="AV156" s="229">
        <v>-0.19819999999999999</v>
      </c>
      <c r="AW156" s="228">
        <v>646</v>
      </c>
      <c r="AX156" s="228">
        <v>817</v>
      </c>
      <c r="AY156" s="228">
        <v>-171</v>
      </c>
      <c r="AZ156" s="229">
        <v>-0.20899999999999999</v>
      </c>
      <c r="BA156" s="228">
        <v>25</v>
      </c>
      <c r="BB156" s="228">
        <v>21</v>
      </c>
      <c r="BC156" s="228">
        <v>4</v>
      </c>
      <c r="BD156" s="229">
        <v>0.18529999999999999</v>
      </c>
      <c r="BE156" s="228">
        <v>3</v>
      </c>
      <c r="BF156" s="228">
        <v>3</v>
      </c>
      <c r="BG156" s="228">
        <v>0</v>
      </c>
      <c r="BH156" s="229">
        <v>0.1071</v>
      </c>
      <c r="BI156" s="230">
        <v>1630</v>
      </c>
      <c r="BJ156" s="230">
        <v>1480</v>
      </c>
      <c r="BK156" s="228">
        <v>150</v>
      </c>
      <c r="BL156" s="229">
        <v>0.10100000000000001</v>
      </c>
      <c r="BM156" s="228">
        <v>946</v>
      </c>
      <c r="BN156" s="228">
        <v>885</v>
      </c>
      <c r="BO156" s="228">
        <v>61</v>
      </c>
      <c r="BP156" s="229">
        <v>6.88E-2</v>
      </c>
      <c r="BQ156" s="230">
        <v>3249</v>
      </c>
      <c r="BR156" s="230">
        <v>3205</v>
      </c>
      <c r="BS156" s="228">
        <v>44</v>
      </c>
      <c r="BT156" s="229">
        <v>1.37E-2</v>
      </c>
      <c r="BU156" s="230">
        <v>4466421</v>
      </c>
      <c r="BV156" s="230">
        <v>3175626</v>
      </c>
      <c r="BW156" s="230">
        <v>1290795</v>
      </c>
      <c r="BX156" s="229">
        <v>0.40649999999999997</v>
      </c>
      <c r="BY156" s="230">
        <v>3332</v>
      </c>
      <c r="BZ156" s="230">
        <v>3364</v>
      </c>
      <c r="CA156" s="228">
        <v>-32</v>
      </c>
      <c r="CB156" s="229">
        <v>-9.4999999999999998E-3</v>
      </c>
      <c r="CC156" s="230">
        <v>3289</v>
      </c>
      <c r="CD156" s="230">
        <v>3321</v>
      </c>
      <c r="CE156" s="228">
        <v>-32</v>
      </c>
      <c r="CF156" s="229">
        <v>-9.7000000000000003E-3</v>
      </c>
      <c r="CG156" s="228">
        <v>37</v>
      </c>
      <c r="CH156" s="228">
        <v>38</v>
      </c>
      <c r="CI156" s="228">
        <v>-1</v>
      </c>
      <c r="CJ156" s="229">
        <v>-1.44E-2</v>
      </c>
      <c r="CK156" s="228">
        <v>6</v>
      </c>
      <c r="CL156" s="228">
        <v>5</v>
      </c>
      <c r="CM156" s="228">
        <v>1</v>
      </c>
      <c r="CN156" s="229">
        <v>0.16070000000000001</v>
      </c>
      <c r="CO156" s="228">
        <v>827</v>
      </c>
      <c r="CP156" s="228">
        <v>828</v>
      </c>
      <c r="CQ156" s="228">
        <v>-1</v>
      </c>
      <c r="CR156" s="229">
        <v>-8.9999999999999998E-4</v>
      </c>
      <c r="CS156" s="228">
        <v>721</v>
      </c>
      <c r="CT156" s="228">
        <v>725</v>
      </c>
      <c r="CU156" s="228">
        <v>-4</v>
      </c>
      <c r="CV156" s="229">
        <v>-5.1999999999999998E-3</v>
      </c>
      <c r="CW156" s="230">
        <v>4880</v>
      </c>
      <c r="CX156" s="230">
        <v>4917</v>
      </c>
      <c r="CY156" s="228">
        <v>-37</v>
      </c>
      <c r="CZ156" s="229">
        <v>-7.4000000000000003E-3</v>
      </c>
      <c r="DA156" s="228">
        <v>35.5</v>
      </c>
      <c r="DB156" s="228">
        <v>36.729999999999997</v>
      </c>
      <c r="DC156" s="228">
        <v>-1.23</v>
      </c>
      <c r="DD156" s="228">
        <v>-1.23</v>
      </c>
      <c r="DE156" s="228">
        <v>56.39</v>
      </c>
      <c r="DF156" s="228">
        <v>56.52</v>
      </c>
      <c r="DG156" s="228">
        <v>-20.89</v>
      </c>
      <c r="DH156" s="228">
        <v>-0.13</v>
      </c>
      <c r="DI156" s="228">
        <v>35.29</v>
      </c>
      <c r="DJ156" s="228">
        <v>36.11</v>
      </c>
      <c r="DK156" s="228">
        <v>-0.82</v>
      </c>
      <c r="DL156" s="228">
        <v>-0.82</v>
      </c>
      <c r="DM156" s="228">
        <v>35.85</v>
      </c>
      <c r="DN156" s="228">
        <v>37.76</v>
      </c>
      <c r="DO156" s="228">
        <v>-1.91</v>
      </c>
      <c r="DP156" s="228">
        <v>-1.91</v>
      </c>
      <c r="DQ156" s="228">
        <v>0.87</v>
      </c>
      <c r="DR156" s="228">
        <v>0.88</v>
      </c>
      <c r="DS156" s="228">
        <v>-0.01</v>
      </c>
      <c r="DT156" s="229">
        <v>-1.14E-2</v>
      </c>
      <c r="DU156" s="231">
        <v>1240</v>
      </c>
      <c r="DV156" s="231">
        <v>1100</v>
      </c>
      <c r="DW156" s="228">
        <v>0.57999999999999996</v>
      </c>
      <c r="DX156" s="228">
        <v>0.6</v>
      </c>
      <c r="DY156" s="228">
        <v>-0.02</v>
      </c>
      <c r="DZ156" s="229">
        <v>-3.3300000000000003E-2</v>
      </c>
      <c r="EA156" s="229">
        <v>1.29E-2</v>
      </c>
      <c r="EB156" s="230">
        <v>343650</v>
      </c>
      <c r="EC156" s="229">
        <v>5.1999999999999998E-3</v>
      </c>
      <c r="ED156" s="229">
        <v>1.29E-2</v>
      </c>
      <c r="EE156" s="228">
        <v>5.71</v>
      </c>
      <c r="EF156" s="229">
        <v>4.5999999999999999E-3</v>
      </c>
      <c r="EG156" s="230">
        <v>2038155</v>
      </c>
      <c r="EH156" s="230">
        <v>1481015</v>
      </c>
      <c r="EI156" s="229">
        <v>0.37619999999999998</v>
      </c>
      <c r="EJ156" s="229">
        <v>0.45629999999999998</v>
      </c>
      <c r="EK156" s="231">
        <v>1726.61</v>
      </c>
      <c r="EL156" s="228">
        <v>937.07</v>
      </c>
      <c r="EM156" s="228">
        <v>677.56</v>
      </c>
      <c r="EN156" s="228">
        <v>80.66</v>
      </c>
      <c r="EO156" s="231">
        <v>3341.24</v>
      </c>
      <c r="EP156" s="231">
        <v>3279.91</v>
      </c>
      <c r="EQ156" s="228">
        <v>61.33</v>
      </c>
      <c r="ER156" s="229">
        <v>1.8700000000000001E-2</v>
      </c>
      <c r="ES156" s="228">
        <v>839.07</v>
      </c>
      <c r="ET156" s="228">
        <v>671.93</v>
      </c>
      <c r="EU156" s="231">
        <v>3331.99</v>
      </c>
      <c r="EV156" s="231">
        <v>95715382</v>
      </c>
      <c r="EW156" s="231">
        <v>4842.9799999999996</v>
      </c>
      <c r="EX156" s="231">
        <v>4909.72</v>
      </c>
      <c r="EY156" s="228">
        <v>-66.739999999999995</v>
      </c>
      <c r="EZ156" s="229">
        <v>-1.3599999999999999E-2</v>
      </c>
      <c r="FA156" s="229">
        <v>0.41010000000000002</v>
      </c>
      <c r="FB156" s="227" t="s">
        <v>568</v>
      </c>
      <c r="FC156">
        <f t="shared" si="3"/>
        <v>0</v>
      </c>
    </row>
    <row r="157" spans="1:159" ht="17.25" thickBot="1" x14ac:dyDescent="0.3">
      <c r="A157" s="226">
        <v>45940</v>
      </c>
      <c r="B157" s="227" t="s">
        <v>221</v>
      </c>
      <c r="C157" s="227" t="s">
        <v>529</v>
      </c>
      <c r="D157" s="228">
        <v>100</v>
      </c>
      <c r="E157" s="228">
        <v>18</v>
      </c>
      <c r="F157" s="231">
        <v>5382.9</v>
      </c>
      <c r="G157" s="231">
        <v>5374.5</v>
      </c>
      <c r="H157" s="228">
        <v>8.4</v>
      </c>
      <c r="I157" s="229">
        <v>1.6000000000000001E-3</v>
      </c>
      <c r="J157" s="231">
        <v>5357.7</v>
      </c>
      <c r="K157" s="231">
        <v>5345.3</v>
      </c>
      <c r="L157" s="228">
        <v>12.4</v>
      </c>
      <c r="M157" s="229">
        <v>2.3E-3</v>
      </c>
      <c r="N157" s="231">
        <v>5382.9</v>
      </c>
      <c r="O157" s="231">
        <v>5374.5</v>
      </c>
      <c r="P157" s="228">
        <v>8.4</v>
      </c>
      <c r="Q157" s="229">
        <v>1.6000000000000001E-3</v>
      </c>
      <c r="R157" s="231">
        <v>5406.9</v>
      </c>
      <c r="S157" s="231">
        <v>5401.9</v>
      </c>
      <c r="T157" s="228">
        <v>5</v>
      </c>
      <c r="U157" s="229">
        <v>8.9999999999999998E-4</v>
      </c>
      <c r="V157" s="231">
        <v>5433.2</v>
      </c>
      <c r="W157" s="231">
        <v>5423.7</v>
      </c>
      <c r="X157" s="228">
        <v>9.5</v>
      </c>
      <c r="Y157" s="229">
        <v>1.8E-3</v>
      </c>
      <c r="Z157" s="228">
        <v>25.2</v>
      </c>
      <c r="AA157" s="228">
        <v>29.2</v>
      </c>
      <c r="AB157" s="228">
        <v>-4</v>
      </c>
      <c r="AC157" s="229">
        <v>4.7000000000000002E-3</v>
      </c>
      <c r="AD157" s="228">
        <v>25.2</v>
      </c>
      <c r="AE157" s="228">
        <v>29.2</v>
      </c>
      <c r="AF157" s="228">
        <v>-4</v>
      </c>
      <c r="AG157" s="229">
        <v>4.7000000000000002E-3</v>
      </c>
      <c r="AH157" s="228">
        <v>49.2</v>
      </c>
      <c r="AI157" s="228">
        <v>56.6</v>
      </c>
      <c r="AJ157" s="228">
        <v>-7.4</v>
      </c>
      <c r="AK157" s="229">
        <v>9.1999999999999998E-3</v>
      </c>
      <c r="AL157" s="228">
        <v>75.5</v>
      </c>
      <c r="AM157" s="228">
        <v>78.400000000000006</v>
      </c>
      <c r="AN157" s="228">
        <v>-2.9</v>
      </c>
      <c r="AO157" s="229">
        <v>1.41E-2</v>
      </c>
      <c r="AP157" s="231">
        <v>5378.81</v>
      </c>
      <c r="AQ157" s="231">
        <v>5407.5</v>
      </c>
      <c r="AR157" s="228">
        <v>0</v>
      </c>
      <c r="AS157" s="228">
        <v>256</v>
      </c>
      <c r="AT157" s="228">
        <v>279</v>
      </c>
      <c r="AU157" s="228">
        <v>-22</v>
      </c>
      <c r="AV157" s="229">
        <v>-8.0500000000000002E-2</v>
      </c>
      <c r="AW157" s="228">
        <v>243</v>
      </c>
      <c r="AX157" s="228">
        <v>267</v>
      </c>
      <c r="AY157" s="228">
        <v>-23</v>
      </c>
      <c r="AZ157" s="229">
        <v>-8.77E-2</v>
      </c>
      <c r="BA157" s="228">
        <v>10</v>
      </c>
      <c r="BB157" s="228">
        <v>10</v>
      </c>
      <c r="BC157" s="228">
        <v>0</v>
      </c>
      <c r="BD157" s="229">
        <v>5.3E-3</v>
      </c>
      <c r="BE157" s="228">
        <v>3</v>
      </c>
      <c r="BF157" s="228">
        <v>2</v>
      </c>
      <c r="BG157" s="228">
        <v>1</v>
      </c>
      <c r="BH157" s="229">
        <v>0.5</v>
      </c>
      <c r="BI157" s="228">
        <v>575</v>
      </c>
      <c r="BJ157" s="228">
        <v>520</v>
      </c>
      <c r="BK157" s="228">
        <v>55</v>
      </c>
      <c r="BL157" s="229">
        <v>0.10589999999999999</v>
      </c>
      <c r="BM157" s="228">
        <v>362</v>
      </c>
      <c r="BN157" s="228">
        <v>306</v>
      </c>
      <c r="BO157" s="228">
        <v>56</v>
      </c>
      <c r="BP157" s="229">
        <v>0.1817</v>
      </c>
      <c r="BQ157" s="230">
        <v>1193</v>
      </c>
      <c r="BR157" s="230">
        <v>1105</v>
      </c>
      <c r="BS157" s="228">
        <v>88</v>
      </c>
      <c r="BT157" s="229">
        <v>7.9799999999999996E-2</v>
      </c>
      <c r="BU157" s="230">
        <v>282674</v>
      </c>
      <c r="BV157" s="230">
        <v>240323</v>
      </c>
      <c r="BW157" s="230">
        <v>42351</v>
      </c>
      <c r="BX157" s="229">
        <v>0.1762</v>
      </c>
      <c r="BY157" s="230">
        <v>1709</v>
      </c>
      <c r="BZ157" s="230">
        <v>1729</v>
      </c>
      <c r="CA157" s="228">
        <v>-20</v>
      </c>
      <c r="CB157" s="229">
        <v>-1.1299999999999999E-2</v>
      </c>
      <c r="CC157" s="230">
        <v>1678</v>
      </c>
      <c r="CD157" s="230">
        <v>1697</v>
      </c>
      <c r="CE157" s="228">
        <v>-20</v>
      </c>
      <c r="CF157" s="229">
        <v>-1.15E-2</v>
      </c>
      <c r="CG157" s="228">
        <v>27</v>
      </c>
      <c r="CH157" s="228">
        <v>28</v>
      </c>
      <c r="CI157" s="228">
        <v>0</v>
      </c>
      <c r="CJ157" s="229">
        <v>-5.8999999999999999E-3</v>
      </c>
      <c r="CK157" s="228">
        <v>4</v>
      </c>
      <c r="CL157" s="228">
        <v>4</v>
      </c>
      <c r="CM157" s="228">
        <v>0</v>
      </c>
      <c r="CN157" s="229">
        <v>4.1700000000000001E-2</v>
      </c>
      <c r="CO157" s="228">
        <v>468</v>
      </c>
      <c r="CP157" s="228">
        <v>462</v>
      </c>
      <c r="CQ157" s="228">
        <v>6</v>
      </c>
      <c r="CR157" s="229">
        <v>1.2200000000000001E-2</v>
      </c>
      <c r="CS157" s="228">
        <v>324</v>
      </c>
      <c r="CT157" s="228">
        <v>322</v>
      </c>
      <c r="CU157" s="228">
        <v>2</v>
      </c>
      <c r="CV157" s="229">
        <v>7.1999999999999998E-3</v>
      </c>
      <c r="CW157" s="230">
        <v>2501</v>
      </c>
      <c r="CX157" s="230">
        <v>2513</v>
      </c>
      <c r="CY157" s="228">
        <v>-12</v>
      </c>
      <c r="CZ157" s="229">
        <v>-4.5999999999999999E-3</v>
      </c>
      <c r="DA157" s="228">
        <v>36.82</v>
      </c>
      <c r="DB157" s="228">
        <v>38.549999999999997</v>
      </c>
      <c r="DC157" s="228">
        <v>-1.73</v>
      </c>
      <c r="DD157" s="228">
        <v>-1.73</v>
      </c>
      <c r="DE157" s="228">
        <v>41.71</v>
      </c>
      <c r="DF157" s="228">
        <v>41.81</v>
      </c>
      <c r="DG157" s="228">
        <v>-4.8899999999999997</v>
      </c>
      <c r="DH157" s="228">
        <v>-0.1</v>
      </c>
      <c r="DI157" s="228">
        <v>36.1</v>
      </c>
      <c r="DJ157" s="228">
        <v>37.770000000000003</v>
      </c>
      <c r="DK157" s="228">
        <v>-1.67</v>
      </c>
      <c r="DL157" s="228">
        <v>-1.67</v>
      </c>
      <c r="DM157" s="228">
        <v>37.979999999999997</v>
      </c>
      <c r="DN157" s="228">
        <v>39.89</v>
      </c>
      <c r="DO157" s="228">
        <v>-1.91</v>
      </c>
      <c r="DP157" s="228">
        <v>-1.91</v>
      </c>
      <c r="DQ157" s="228">
        <v>0.69</v>
      </c>
      <c r="DR157" s="228">
        <v>0.7</v>
      </c>
      <c r="DS157" s="228">
        <v>-0.01</v>
      </c>
      <c r="DT157" s="229">
        <v>-1.43E-2</v>
      </c>
      <c r="DU157" s="231">
        <v>5400</v>
      </c>
      <c r="DV157" s="231">
        <v>5100</v>
      </c>
      <c r="DW157" s="228">
        <v>0.63</v>
      </c>
      <c r="DX157" s="228">
        <v>0.59</v>
      </c>
      <c r="DY157" s="228">
        <v>0.04</v>
      </c>
      <c r="DZ157" s="229">
        <v>6.7799999999999999E-2</v>
      </c>
      <c r="EA157" s="229">
        <v>1.84E-2</v>
      </c>
      <c r="EB157" s="230">
        <v>58400</v>
      </c>
      <c r="EC157" s="229">
        <v>4.4999999999999997E-3</v>
      </c>
      <c r="ED157" s="229">
        <v>1.84E-2</v>
      </c>
      <c r="EE157" s="228">
        <v>28.69</v>
      </c>
      <c r="EF157" s="229">
        <v>5.3E-3</v>
      </c>
      <c r="EG157" s="230">
        <v>101491</v>
      </c>
      <c r="EH157" s="230">
        <v>112292</v>
      </c>
      <c r="EI157" s="229">
        <v>-9.6199999999999994E-2</v>
      </c>
      <c r="EJ157" s="229">
        <v>0.35899999999999999</v>
      </c>
      <c r="EK157" s="228">
        <v>605.35</v>
      </c>
      <c r="EL157" s="228">
        <v>345.37</v>
      </c>
      <c r="EM157" s="228">
        <v>256.22000000000003</v>
      </c>
      <c r="EN157" s="228">
        <v>61.88</v>
      </c>
      <c r="EO157" s="231">
        <v>1206.94</v>
      </c>
      <c r="EP157" s="231">
        <v>1113.55</v>
      </c>
      <c r="EQ157" s="228">
        <v>93.4</v>
      </c>
      <c r="ER157" s="229">
        <v>8.3900000000000002E-2</v>
      </c>
      <c r="ES157" s="228">
        <v>480.14</v>
      </c>
      <c r="ET157" s="228">
        <v>299.25</v>
      </c>
      <c r="EU157" s="231">
        <v>1709.39</v>
      </c>
      <c r="EV157" s="231">
        <v>16151851</v>
      </c>
      <c r="EW157" s="231">
        <v>2488.7800000000002</v>
      </c>
      <c r="EX157" s="231">
        <v>2496.41</v>
      </c>
      <c r="EY157" s="228">
        <v>-7.63</v>
      </c>
      <c r="EZ157" s="229">
        <v>-3.0999999999999999E-3</v>
      </c>
      <c r="FA157" s="229">
        <v>0.28770000000000001</v>
      </c>
      <c r="FB157" s="227" t="s">
        <v>556</v>
      </c>
      <c r="FC157">
        <f t="shared" si="3"/>
        <v>0</v>
      </c>
    </row>
    <row r="158" spans="1:159" ht="17.25" thickBot="1" x14ac:dyDescent="0.3">
      <c r="A158" s="226">
        <v>45940</v>
      </c>
      <c r="B158" s="227" t="s">
        <v>193</v>
      </c>
      <c r="C158" s="227" t="s">
        <v>272</v>
      </c>
      <c r="D158" s="228">
        <v>1800</v>
      </c>
      <c r="E158" s="228">
        <v>18</v>
      </c>
      <c r="F158" s="228">
        <v>282.55</v>
      </c>
      <c r="G158" s="228">
        <v>284.55</v>
      </c>
      <c r="H158" s="228">
        <v>-2</v>
      </c>
      <c r="I158" s="229">
        <v>-7.0000000000000001E-3</v>
      </c>
      <c r="J158" s="228">
        <v>281.45</v>
      </c>
      <c r="K158" s="228">
        <v>282.85000000000002</v>
      </c>
      <c r="L158" s="228">
        <v>-1.4</v>
      </c>
      <c r="M158" s="229">
        <v>-4.8999999999999998E-3</v>
      </c>
      <c r="N158" s="228">
        <v>282.55</v>
      </c>
      <c r="O158" s="228">
        <v>284.55</v>
      </c>
      <c r="P158" s="228">
        <v>-2</v>
      </c>
      <c r="Q158" s="229">
        <v>-7.0000000000000001E-3</v>
      </c>
      <c r="R158" s="228">
        <v>284.14999999999998</v>
      </c>
      <c r="S158" s="228">
        <v>286.3</v>
      </c>
      <c r="T158" s="228">
        <v>-2.15</v>
      </c>
      <c r="U158" s="229">
        <v>-7.4999999999999997E-3</v>
      </c>
      <c r="V158" s="228">
        <v>285.85000000000002</v>
      </c>
      <c r="W158" s="228">
        <v>289</v>
      </c>
      <c r="X158" s="228">
        <v>-3.15</v>
      </c>
      <c r="Y158" s="229">
        <v>-1.09E-2</v>
      </c>
      <c r="Z158" s="228">
        <v>1.1000000000000001</v>
      </c>
      <c r="AA158" s="228">
        <v>1.7</v>
      </c>
      <c r="AB158" s="228">
        <v>-0.6</v>
      </c>
      <c r="AC158" s="229">
        <v>3.8999999999999998E-3</v>
      </c>
      <c r="AD158" s="228">
        <v>1.1000000000000001</v>
      </c>
      <c r="AE158" s="228">
        <v>1.7</v>
      </c>
      <c r="AF158" s="228">
        <v>-0.6</v>
      </c>
      <c r="AG158" s="229">
        <v>3.8999999999999998E-3</v>
      </c>
      <c r="AH158" s="228">
        <v>2.7</v>
      </c>
      <c r="AI158" s="228">
        <v>3.45</v>
      </c>
      <c r="AJ158" s="228">
        <v>-0.75</v>
      </c>
      <c r="AK158" s="229">
        <v>9.5999999999999992E-3</v>
      </c>
      <c r="AL158" s="228">
        <v>4.4000000000000004</v>
      </c>
      <c r="AM158" s="228">
        <v>6.15</v>
      </c>
      <c r="AN158" s="228">
        <v>-1.75</v>
      </c>
      <c r="AO158" s="229">
        <v>1.5599999999999999E-2</v>
      </c>
      <c r="AP158" s="228">
        <v>283.39999999999998</v>
      </c>
      <c r="AQ158" s="228">
        <v>285.27999999999997</v>
      </c>
      <c r="AR158" s="228">
        <v>0</v>
      </c>
      <c r="AS158" s="228">
        <v>63</v>
      </c>
      <c r="AT158" s="228">
        <v>59</v>
      </c>
      <c r="AU158" s="228">
        <v>4</v>
      </c>
      <c r="AV158" s="229">
        <v>6.9099999999999995E-2</v>
      </c>
      <c r="AW158" s="228">
        <v>57</v>
      </c>
      <c r="AX158" s="228">
        <v>55</v>
      </c>
      <c r="AY158" s="228">
        <v>2</v>
      </c>
      <c r="AZ158" s="229">
        <v>2.7699999999999999E-2</v>
      </c>
      <c r="BA158" s="228">
        <v>5</v>
      </c>
      <c r="BB158" s="228">
        <v>3</v>
      </c>
      <c r="BC158" s="228">
        <v>2</v>
      </c>
      <c r="BD158" s="229">
        <v>0.71430000000000005</v>
      </c>
      <c r="BE158" s="228">
        <v>1</v>
      </c>
      <c r="BF158" s="228">
        <v>1</v>
      </c>
      <c r="BG158" s="228">
        <v>0</v>
      </c>
      <c r="BH158" s="229">
        <v>0.5</v>
      </c>
      <c r="BI158" s="228">
        <v>132</v>
      </c>
      <c r="BJ158" s="228">
        <v>118</v>
      </c>
      <c r="BK158" s="228">
        <v>13</v>
      </c>
      <c r="BL158" s="229">
        <v>0.11360000000000001</v>
      </c>
      <c r="BM158" s="228">
        <v>45</v>
      </c>
      <c r="BN158" s="228">
        <v>34</v>
      </c>
      <c r="BO158" s="228">
        <v>11</v>
      </c>
      <c r="BP158" s="229">
        <v>0.32929999999999998</v>
      </c>
      <c r="BQ158" s="228">
        <v>239</v>
      </c>
      <c r="BR158" s="228">
        <v>211</v>
      </c>
      <c r="BS158" s="228">
        <v>29</v>
      </c>
      <c r="BT158" s="229">
        <v>0.1358</v>
      </c>
      <c r="BU158" s="230">
        <v>1172741</v>
      </c>
      <c r="BV158" s="230">
        <v>1668389</v>
      </c>
      <c r="BW158" s="230">
        <v>-495648</v>
      </c>
      <c r="BX158" s="229">
        <v>-0.29709999999999998</v>
      </c>
      <c r="BY158" s="230">
        <v>1211</v>
      </c>
      <c r="BZ158" s="230">
        <v>1202</v>
      </c>
      <c r="CA158" s="228">
        <v>9</v>
      </c>
      <c r="CB158" s="229">
        <v>7.4000000000000003E-3</v>
      </c>
      <c r="CC158" s="230">
        <v>1187</v>
      </c>
      <c r="CD158" s="230">
        <v>1181</v>
      </c>
      <c r="CE158" s="228">
        <v>6</v>
      </c>
      <c r="CF158" s="229">
        <v>4.8999999999999998E-3</v>
      </c>
      <c r="CG158" s="228">
        <v>21</v>
      </c>
      <c r="CH158" s="228">
        <v>19</v>
      </c>
      <c r="CI158" s="228">
        <v>2</v>
      </c>
      <c r="CJ158" s="229">
        <v>0.1346</v>
      </c>
      <c r="CK158" s="228">
        <v>3</v>
      </c>
      <c r="CL158" s="228">
        <v>3</v>
      </c>
      <c r="CM158" s="228">
        <v>1</v>
      </c>
      <c r="CN158" s="229">
        <v>0.2</v>
      </c>
      <c r="CO158" s="228">
        <v>430</v>
      </c>
      <c r="CP158" s="228">
        <v>420</v>
      </c>
      <c r="CQ158" s="228">
        <v>10</v>
      </c>
      <c r="CR158" s="229">
        <v>2.4199999999999999E-2</v>
      </c>
      <c r="CS158" s="228">
        <v>436</v>
      </c>
      <c r="CT158" s="228">
        <v>434</v>
      </c>
      <c r="CU158" s="228">
        <v>2</v>
      </c>
      <c r="CV158" s="229">
        <v>4.7000000000000002E-3</v>
      </c>
      <c r="CW158" s="230">
        <v>2077</v>
      </c>
      <c r="CX158" s="230">
        <v>2056</v>
      </c>
      <c r="CY158" s="228">
        <v>21</v>
      </c>
      <c r="CZ158" s="229">
        <v>1.0200000000000001E-2</v>
      </c>
      <c r="DA158" s="228">
        <v>23.74</v>
      </c>
      <c r="DB158" s="228">
        <v>24.14</v>
      </c>
      <c r="DC158" s="228">
        <v>-0.4</v>
      </c>
      <c r="DD158" s="228">
        <v>-0.4</v>
      </c>
      <c r="DE158" s="228">
        <v>33.14</v>
      </c>
      <c r="DF158" s="228">
        <v>33.21</v>
      </c>
      <c r="DG158" s="228">
        <v>-9.4</v>
      </c>
      <c r="DH158" s="228">
        <v>-7.0000000000000007E-2</v>
      </c>
      <c r="DI158" s="228">
        <v>23.33</v>
      </c>
      <c r="DJ158" s="228">
        <v>23.86</v>
      </c>
      <c r="DK158" s="228">
        <v>-0.53</v>
      </c>
      <c r="DL158" s="228">
        <v>-0.53</v>
      </c>
      <c r="DM158" s="228">
        <v>24.95</v>
      </c>
      <c r="DN158" s="228">
        <v>25.11</v>
      </c>
      <c r="DO158" s="228">
        <v>-0.16</v>
      </c>
      <c r="DP158" s="228">
        <v>-0.16</v>
      </c>
      <c r="DQ158" s="228">
        <v>1.01</v>
      </c>
      <c r="DR158" s="228">
        <v>1.03</v>
      </c>
      <c r="DS158" s="228">
        <v>-0.02</v>
      </c>
      <c r="DT158" s="229">
        <v>-1.9400000000000001E-2</v>
      </c>
      <c r="DU158" s="228">
        <v>300</v>
      </c>
      <c r="DV158" s="228">
        <v>270</v>
      </c>
      <c r="DW158" s="228">
        <v>0.34</v>
      </c>
      <c r="DX158" s="228">
        <v>0.28999999999999998</v>
      </c>
      <c r="DY158" s="228">
        <v>0.05</v>
      </c>
      <c r="DZ158" s="229">
        <v>0.1724</v>
      </c>
      <c r="EA158" s="229">
        <v>2.01E-2</v>
      </c>
      <c r="EB158" s="230">
        <v>754200</v>
      </c>
      <c r="EC158" s="229">
        <v>5.7000000000000002E-3</v>
      </c>
      <c r="ED158" s="229">
        <v>2.01E-2</v>
      </c>
      <c r="EE158" s="228">
        <v>1.88</v>
      </c>
      <c r="EF158" s="229">
        <v>6.6E-3</v>
      </c>
      <c r="EG158" s="230">
        <v>733394</v>
      </c>
      <c r="EH158" s="230">
        <v>1079947</v>
      </c>
      <c r="EI158" s="229">
        <v>-0.32090000000000002</v>
      </c>
      <c r="EJ158" s="229">
        <v>0.62539999999999996</v>
      </c>
      <c r="EK158" s="228">
        <v>137.26</v>
      </c>
      <c r="EL158" s="228">
        <v>44.51</v>
      </c>
      <c r="EM158" s="228">
        <v>63.15</v>
      </c>
      <c r="EN158" s="228">
        <v>24.05</v>
      </c>
      <c r="EO158" s="228">
        <v>244.91</v>
      </c>
      <c r="EP158" s="228">
        <v>217.44</v>
      </c>
      <c r="EQ158" s="228">
        <v>27.47</v>
      </c>
      <c r="ER158" s="229">
        <v>0.1263</v>
      </c>
      <c r="ES158" s="228">
        <v>446.63</v>
      </c>
      <c r="ET158" s="228">
        <v>433.24</v>
      </c>
      <c r="EU158" s="231">
        <v>1211.1099999999999</v>
      </c>
      <c r="EV158" s="231">
        <v>93668136</v>
      </c>
      <c r="EW158" s="231">
        <v>2090.98</v>
      </c>
      <c r="EX158" s="231">
        <v>2078.23</v>
      </c>
      <c r="EY158" s="228">
        <v>12.75</v>
      </c>
      <c r="EZ158" s="229">
        <v>6.1000000000000004E-3</v>
      </c>
      <c r="FA158" s="229">
        <v>0.78469999999999995</v>
      </c>
      <c r="FB158" s="227" t="s">
        <v>567</v>
      </c>
      <c r="FC158">
        <f t="shared" si="3"/>
        <v>0</v>
      </c>
    </row>
    <row r="159" spans="1:159" ht="17.25" thickBot="1" x14ac:dyDescent="0.3">
      <c r="A159" s="226">
        <v>45940</v>
      </c>
      <c r="B159" s="227" t="s">
        <v>175</v>
      </c>
      <c r="C159" s="227" t="s">
        <v>273</v>
      </c>
      <c r="D159" s="228">
        <v>1300</v>
      </c>
      <c r="E159" s="228">
        <v>18</v>
      </c>
      <c r="F159" s="228">
        <v>405.8</v>
      </c>
      <c r="G159" s="228">
        <v>403.6</v>
      </c>
      <c r="H159" s="228">
        <v>2.2000000000000002</v>
      </c>
      <c r="I159" s="229">
        <v>5.4999999999999997E-3</v>
      </c>
      <c r="J159" s="228">
        <v>403.85</v>
      </c>
      <c r="K159" s="228">
        <v>402.35</v>
      </c>
      <c r="L159" s="228">
        <v>1.5</v>
      </c>
      <c r="M159" s="229">
        <v>3.7000000000000002E-3</v>
      </c>
      <c r="N159" s="228">
        <v>405.8</v>
      </c>
      <c r="O159" s="228">
        <v>403.6</v>
      </c>
      <c r="P159" s="228">
        <v>2.2000000000000002</v>
      </c>
      <c r="Q159" s="229">
        <v>5.4999999999999997E-3</v>
      </c>
      <c r="R159" s="228">
        <v>405.35</v>
      </c>
      <c r="S159" s="228">
        <v>403.1</v>
      </c>
      <c r="T159" s="228">
        <v>2.25</v>
      </c>
      <c r="U159" s="229">
        <v>5.5999999999999999E-3</v>
      </c>
      <c r="V159" s="228">
        <v>407.25</v>
      </c>
      <c r="W159" s="228">
        <v>405.2</v>
      </c>
      <c r="X159" s="228">
        <v>2.0499999999999998</v>
      </c>
      <c r="Y159" s="229">
        <v>5.1000000000000004E-3</v>
      </c>
      <c r="Z159" s="228">
        <v>1.95</v>
      </c>
      <c r="AA159" s="228">
        <v>1.25</v>
      </c>
      <c r="AB159" s="228">
        <v>0.7</v>
      </c>
      <c r="AC159" s="229">
        <v>4.7999999999999996E-3</v>
      </c>
      <c r="AD159" s="228">
        <v>1.95</v>
      </c>
      <c r="AE159" s="228">
        <v>1.25</v>
      </c>
      <c r="AF159" s="228">
        <v>0.7</v>
      </c>
      <c r="AG159" s="229">
        <v>4.7999999999999996E-3</v>
      </c>
      <c r="AH159" s="228">
        <v>1.5</v>
      </c>
      <c r="AI159" s="228">
        <v>0.75</v>
      </c>
      <c r="AJ159" s="228">
        <v>0.75</v>
      </c>
      <c r="AK159" s="229">
        <v>3.7000000000000002E-3</v>
      </c>
      <c r="AL159" s="228">
        <v>3.4</v>
      </c>
      <c r="AM159" s="228">
        <v>2.85</v>
      </c>
      <c r="AN159" s="228">
        <v>0.55000000000000004</v>
      </c>
      <c r="AO159" s="229">
        <v>8.3999999999999995E-3</v>
      </c>
      <c r="AP159" s="228">
        <v>407.49</v>
      </c>
      <c r="AQ159" s="228">
        <v>406.92</v>
      </c>
      <c r="AR159" s="228">
        <v>0</v>
      </c>
      <c r="AS159" s="228">
        <v>270</v>
      </c>
      <c r="AT159" s="228">
        <v>232</v>
      </c>
      <c r="AU159" s="228">
        <v>38</v>
      </c>
      <c r="AV159" s="229">
        <v>0.16350000000000001</v>
      </c>
      <c r="AW159" s="228">
        <v>231</v>
      </c>
      <c r="AX159" s="228">
        <v>209</v>
      </c>
      <c r="AY159" s="228">
        <v>22</v>
      </c>
      <c r="AZ159" s="229">
        <v>0.1067</v>
      </c>
      <c r="BA159" s="228">
        <v>35</v>
      </c>
      <c r="BB159" s="228">
        <v>20</v>
      </c>
      <c r="BC159" s="228">
        <v>15</v>
      </c>
      <c r="BD159" s="229">
        <v>0.7218</v>
      </c>
      <c r="BE159" s="228">
        <v>4</v>
      </c>
      <c r="BF159" s="228">
        <v>3</v>
      </c>
      <c r="BG159" s="228">
        <v>1</v>
      </c>
      <c r="BH159" s="229">
        <v>0.4118</v>
      </c>
      <c r="BI159" s="228">
        <v>693</v>
      </c>
      <c r="BJ159" s="228">
        <v>638</v>
      </c>
      <c r="BK159" s="228">
        <v>55</v>
      </c>
      <c r="BL159" s="229">
        <v>8.6300000000000002E-2</v>
      </c>
      <c r="BM159" s="228">
        <v>420</v>
      </c>
      <c r="BN159" s="228">
        <v>328</v>
      </c>
      <c r="BO159" s="228">
        <v>92</v>
      </c>
      <c r="BP159" s="229">
        <v>0.27910000000000001</v>
      </c>
      <c r="BQ159" s="230">
        <v>1383</v>
      </c>
      <c r="BR159" s="230">
        <v>1198</v>
      </c>
      <c r="BS159" s="228">
        <v>185</v>
      </c>
      <c r="BT159" s="229">
        <v>0.15409999999999999</v>
      </c>
      <c r="BU159" s="230">
        <v>2394931</v>
      </c>
      <c r="BV159" s="230">
        <v>2748451</v>
      </c>
      <c r="BW159" s="230">
        <v>-353520</v>
      </c>
      <c r="BX159" s="229">
        <v>-0.12859999999999999</v>
      </c>
      <c r="BY159" s="230">
        <v>2211</v>
      </c>
      <c r="BZ159" s="230">
        <v>2220</v>
      </c>
      <c r="CA159" s="228">
        <v>-9</v>
      </c>
      <c r="CB159" s="229">
        <v>-3.8999999999999998E-3</v>
      </c>
      <c r="CC159" s="230">
        <v>2037</v>
      </c>
      <c r="CD159" s="230">
        <v>2043</v>
      </c>
      <c r="CE159" s="228">
        <v>-6</v>
      </c>
      <c r="CF159" s="229">
        <v>-3.0000000000000001E-3</v>
      </c>
      <c r="CG159" s="228">
        <v>164</v>
      </c>
      <c r="CH159" s="228">
        <v>167</v>
      </c>
      <c r="CI159" s="228">
        <v>-3</v>
      </c>
      <c r="CJ159" s="229">
        <v>-1.55E-2</v>
      </c>
      <c r="CK159" s="228">
        <v>10</v>
      </c>
      <c r="CL159" s="228">
        <v>10</v>
      </c>
      <c r="CM159" s="228">
        <v>0</v>
      </c>
      <c r="CN159" s="229">
        <v>5.1999999999999998E-3</v>
      </c>
      <c r="CO159" s="228">
        <v>945</v>
      </c>
      <c r="CP159" s="228">
        <v>973</v>
      </c>
      <c r="CQ159" s="228">
        <v>-29</v>
      </c>
      <c r="CR159" s="229">
        <v>-2.9399999999999999E-2</v>
      </c>
      <c r="CS159" s="228">
        <v>719</v>
      </c>
      <c r="CT159" s="228">
        <v>731</v>
      </c>
      <c r="CU159" s="228">
        <v>-12</v>
      </c>
      <c r="CV159" s="229">
        <v>-1.67E-2</v>
      </c>
      <c r="CW159" s="230">
        <v>3875</v>
      </c>
      <c r="CX159" s="230">
        <v>3925</v>
      </c>
      <c r="CY159" s="228">
        <v>-50</v>
      </c>
      <c r="CZ159" s="229">
        <v>-1.26E-2</v>
      </c>
      <c r="DA159" s="228">
        <v>23.65</v>
      </c>
      <c r="DB159" s="228">
        <v>24.92</v>
      </c>
      <c r="DC159" s="228">
        <v>-1.27</v>
      </c>
      <c r="DD159" s="228">
        <v>-1.27</v>
      </c>
      <c r="DE159" s="228">
        <v>44.88</v>
      </c>
      <c r="DF159" s="228">
        <v>44.99</v>
      </c>
      <c r="DG159" s="228">
        <v>-21.23</v>
      </c>
      <c r="DH159" s="228">
        <v>-0.11</v>
      </c>
      <c r="DI159" s="228">
        <v>23.95</v>
      </c>
      <c r="DJ159" s="228">
        <v>25.08</v>
      </c>
      <c r="DK159" s="228">
        <v>-1.1299999999999999</v>
      </c>
      <c r="DL159" s="228">
        <v>-1.1299999999999999</v>
      </c>
      <c r="DM159" s="228">
        <v>23.16</v>
      </c>
      <c r="DN159" s="228">
        <v>24.59</v>
      </c>
      <c r="DO159" s="228">
        <v>-1.43</v>
      </c>
      <c r="DP159" s="228">
        <v>-1.43</v>
      </c>
      <c r="DQ159" s="228">
        <v>0.76</v>
      </c>
      <c r="DR159" s="228">
        <v>0.75</v>
      </c>
      <c r="DS159" s="228">
        <v>0.01</v>
      </c>
      <c r="DT159" s="229">
        <v>1.3299999999999999E-2</v>
      </c>
      <c r="DU159" s="228">
        <v>410</v>
      </c>
      <c r="DV159" s="228">
        <v>410</v>
      </c>
      <c r="DW159" s="228">
        <v>0.61</v>
      </c>
      <c r="DX159" s="228">
        <v>0.51</v>
      </c>
      <c r="DY159" s="228">
        <v>0.1</v>
      </c>
      <c r="DZ159" s="229">
        <v>0.1961</v>
      </c>
      <c r="EA159" s="229">
        <v>7.9000000000000001E-2</v>
      </c>
      <c r="EB159" s="230">
        <v>4365400</v>
      </c>
      <c r="EC159" s="229">
        <v>-1.1000000000000001E-3</v>
      </c>
      <c r="ED159" s="229">
        <v>7.9000000000000001E-2</v>
      </c>
      <c r="EE159" s="228">
        <v>-0.56999999999999995</v>
      </c>
      <c r="EF159" s="229">
        <v>-1.4E-3</v>
      </c>
      <c r="EG159" s="230">
        <v>1215126</v>
      </c>
      <c r="EH159" s="230">
        <v>1462987</v>
      </c>
      <c r="EI159" s="229">
        <v>-0.1694</v>
      </c>
      <c r="EJ159" s="229">
        <v>0.50739999999999996</v>
      </c>
      <c r="EK159" s="228">
        <v>720.31</v>
      </c>
      <c r="EL159" s="228">
        <v>421.4</v>
      </c>
      <c r="EM159" s="228">
        <v>270.98</v>
      </c>
      <c r="EN159" s="228">
        <v>55.35</v>
      </c>
      <c r="EO159" s="231">
        <v>1412.69</v>
      </c>
      <c r="EP159" s="231">
        <v>1219.3399999999999</v>
      </c>
      <c r="EQ159" s="228">
        <v>193.34</v>
      </c>
      <c r="ER159" s="229">
        <v>0.15859999999999999</v>
      </c>
      <c r="ES159" s="228">
        <v>983.77</v>
      </c>
      <c r="ET159" s="228">
        <v>716.33</v>
      </c>
      <c r="EU159" s="231">
        <v>2211.09</v>
      </c>
      <c r="EV159" s="231">
        <v>203602113</v>
      </c>
      <c r="EW159" s="231">
        <v>3911.19</v>
      </c>
      <c r="EX159" s="231">
        <v>3948.38</v>
      </c>
      <c r="EY159" s="228">
        <v>-37.19</v>
      </c>
      <c r="EZ159" s="229">
        <v>-9.4000000000000004E-3</v>
      </c>
      <c r="FA159" s="229">
        <v>0.46899999999999997</v>
      </c>
      <c r="FB159" s="227" t="s">
        <v>556</v>
      </c>
      <c r="FC159">
        <f t="shared" si="3"/>
        <v>0</v>
      </c>
    </row>
    <row r="160" spans="1:159" ht="17.25" thickBot="1" x14ac:dyDescent="0.3">
      <c r="A160" s="226">
        <v>45940</v>
      </c>
      <c r="B160" s="227" t="s">
        <v>184</v>
      </c>
      <c r="C160" s="227" t="s">
        <v>682</v>
      </c>
      <c r="D160" s="228">
        <v>700</v>
      </c>
      <c r="E160" s="228">
        <v>18</v>
      </c>
      <c r="F160" s="228">
        <v>589.25</v>
      </c>
      <c r="G160" s="228">
        <v>557.65</v>
      </c>
      <c r="H160" s="228">
        <v>31.6</v>
      </c>
      <c r="I160" s="229">
        <v>5.67E-2</v>
      </c>
      <c r="J160" s="228">
        <v>585.95000000000005</v>
      </c>
      <c r="K160" s="228">
        <v>553.15</v>
      </c>
      <c r="L160" s="228">
        <v>32.799999999999997</v>
      </c>
      <c r="M160" s="229">
        <v>5.9299999999999999E-2</v>
      </c>
      <c r="N160" s="228">
        <v>589.25</v>
      </c>
      <c r="O160" s="228">
        <v>557.65</v>
      </c>
      <c r="P160" s="228">
        <v>31.6</v>
      </c>
      <c r="Q160" s="229">
        <v>5.67E-2</v>
      </c>
      <c r="R160" s="228">
        <v>591.35</v>
      </c>
      <c r="S160" s="228">
        <v>560.1</v>
      </c>
      <c r="T160" s="228">
        <v>31.25</v>
      </c>
      <c r="U160" s="229">
        <v>5.5800000000000002E-2</v>
      </c>
      <c r="V160" s="228">
        <v>594.70000000000005</v>
      </c>
      <c r="W160" s="228">
        <v>561.29999999999995</v>
      </c>
      <c r="X160" s="228">
        <v>33.4</v>
      </c>
      <c r="Y160" s="229">
        <v>5.9499999999999997E-2</v>
      </c>
      <c r="Z160" s="228">
        <v>3.3</v>
      </c>
      <c r="AA160" s="228">
        <v>4.5</v>
      </c>
      <c r="AB160" s="228">
        <v>-1.2</v>
      </c>
      <c r="AC160" s="229">
        <v>5.5999999999999999E-3</v>
      </c>
      <c r="AD160" s="228">
        <v>3.3</v>
      </c>
      <c r="AE160" s="228">
        <v>4.5</v>
      </c>
      <c r="AF160" s="228">
        <v>-1.2</v>
      </c>
      <c r="AG160" s="229">
        <v>5.5999999999999999E-3</v>
      </c>
      <c r="AH160" s="228">
        <v>5.4</v>
      </c>
      <c r="AI160" s="228">
        <v>6.95</v>
      </c>
      <c r="AJ160" s="228">
        <v>-1.55</v>
      </c>
      <c r="AK160" s="229">
        <v>9.1999999999999998E-3</v>
      </c>
      <c r="AL160" s="228">
        <v>8.75</v>
      </c>
      <c r="AM160" s="228">
        <v>8.15</v>
      </c>
      <c r="AN160" s="228">
        <v>0.6</v>
      </c>
      <c r="AO160" s="229">
        <v>1.49E-2</v>
      </c>
      <c r="AP160" s="228">
        <v>581.15</v>
      </c>
      <c r="AQ160" s="228">
        <v>581.74</v>
      </c>
      <c r="AR160" s="228">
        <v>0</v>
      </c>
      <c r="AS160" s="228">
        <v>514</v>
      </c>
      <c r="AT160" s="228">
        <v>571</v>
      </c>
      <c r="AU160" s="228">
        <v>-57</v>
      </c>
      <c r="AV160" s="229">
        <v>-9.9199999999999997E-2</v>
      </c>
      <c r="AW160" s="228">
        <v>477</v>
      </c>
      <c r="AX160" s="228">
        <v>539</v>
      </c>
      <c r="AY160" s="228">
        <v>-61</v>
      </c>
      <c r="AZ160" s="229">
        <v>-0.11360000000000001</v>
      </c>
      <c r="BA160" s="228">
        <v>34</v>
      </c>
      <c r="BB160" s="228">
        <v>29</v>
      </c>
      <c r="BC160" s="228">
        <v>4</v>
      </c>
      <c r="BD160" s="229">
        <v>0.15459999999999999</v>
      </c>
      <c r="BE160" s="228">
        <v>3</v>
      </c>
      <c r="BF160" s="228">
        <v>3</v>
      </c>
      <c r="BG160" s="228">
        <v>0</v>
      </c>
      <c r="BH160" s="229">
        <v>2.7E-2</v>
      </c>
      <c r="BI160" s="230">
        <v>2902</v>
      </c>
      <c r="BJ160" s="230">
        <v>2870</v>
      </c>
      <c r="BK160" s="228">
        <v>32</v>
      </c>
      <c r="BL160" s="229">
        <v>1.11E-2</v>
      </c>
      <c r="BM160" s="230">
        <v>1075</v>
      </c>
      <c r="BN160" s="228">
        <v>942</v>
      </c>
      <c r="BO160" s="228">
        <v>132</v>
      </c>
      <c r="BP160" s="229">
        <v>0.1404</v>
      </c>
      <c r="BQ160" s="230">
        <v>4491</v>
      </c>
      <c r="BR160" s="230">
        <v>4383</v>
      </c>
      <c r="BS160" s="228">
        <v>108</v>
      </c>
      <c r="BT160" s="229">
        <v>2.4500000000000001E-2</v>
      </c>
      <c r="BU160" s="230">
        <v>14653163</v>
      </c>
      <c r="BV160" s="230">
        <v>19981094</v>
      </c>
      <c r="BW160" s="230">
        <v>-5327931</v>
      </c>
      <c r="BX160" s="229">
        <v>-0.2666</v>
      </c>
      <c r="BY160" s="228">
        <v>658</v>
      </c>
      <c r="BZ160" s="228">
        <v>556</v>
      </c>
      <c r="CA160" s="228">
        <v>102</v>
      </c>
      <c r="CB160" s="229">
        <v>0.1832</v>
      </c>
      <c r="CC160" s="228">
        <v>638</v>
      </c>
      <c r="CD160" s="228">
        <v>535</v>
      </c>
      <c r="CE160" s="228">
        <v>103</v>
      </c>
      <c r="CF160" s="229">
        <v>0.192</v>
      </c>
      <c r="CG160" s="228">
        <v>17</v>
      </c>
      <c r="CH160" s="228">
        <v>19</v>
      </c>
      <c r="CI160" s="228">
        <v>-1</v>
      </c>
      <c r="CJ160" s="229">
        <v>-7.9100000000000004E-2</v>
      </c>
      <c r="CK160" s="228">
        <v>3</v>
      </c>
      <c r="CL160" s="228">
        <v>3</v>
      </c>
      <c r="CM160" s="228">
        <v>1</v>
      </c>
      <c r="CN160" s="229">
        <v>0.2581</v>
      </c>
      <c r="CO160" s="228">
        <v>400</v>
      </c>
      <c r="CP160" s="228">
        <v>340</v>
      </c>
      <c r="CQ160" s="228">
        <v>60</v>
      </c>
      <c r="CR160" s="229">
        <v>0.17680000000000001</v>
      </c>
      <c r="CS160" s="228">
        <v>368</v>
      </c>
      <c r="CT160" s="228">
        <v>227</v>
      </c>
      <c r="CU160" s="228">
        <v>141</v>
      </c>
      <c r="CV160" s="229">
        <v>0.62409999999999999</v>
      </c>
      <c r="CW160" s="230">
        <v>1426</v>
      </c>
      <c r="CX160" s="230">
        <v>1123</v>
      </c>
      <c r="CY160" s="228">
        <v>303</v>
      </c>
      <c r="CZ160" s="229">
        <v>0.2702</v>
      </c>
      <c r="DA160" s="228">
        <v>42.24</v>
      </c>
      <c r="DB160" s="228">
        <v>41.59</v>
      </c>
      <c r="DC160" s="228">
        <v>0.65</v>
      </c>
      <c r="DD160" s="228">
        <v>0.65</v>
      </c>
      <c r="DE160" s="228">
        <v>70.53</v>
      </c>
      <c r="DF160" s="228">
        <v>70.31</v>
      </c>
      <c r="DG160" s="228">
        <v>-28.29</v>
      </c>
      <c r="DH160" s="228">
        <v>0.22</v>
      </c>
      <c r="DI160" s="228">
        <v>41.8</v>
      </c>
      <c r="DJ160" s="228">
        <v>41.16</v>
      </c>
      <c r="DK160" s="228">
        <v>0.64</v>
      </c>
      <c r="DL160" s="228">
        <v>0.64</v>
      </c>
      <c r="DM160" s="228">
        <v>43.44</v>
      </c>
      <c r="DN160" s="228">
        <v>42.89</v>
      </c>
      <c r="DO160" s="228">
        <v>0.55000000000000004</v>
      </c>
      <c r="DP160" s="228">
        <v>0.55000000000000004</v>
      </c>
      <c r="DQ160" s="228">
        <v>0.92</v>
      </c>
      <c r="DR160" s="228">
        <v>0.67</v>
      </c>
      <c r="DS160" s="228">
        <v>0.25</v>
      </c>
      <c r="DT160" s="229">
        <v>0.37309999999999999</v>
      </c>
      <c r="DU160" s="228">
        <v>600</v>
      </c>
      <c r="DV160" s="228">
        <v>500</v>
      </c>
      <c r="DW160" s="228">
        <v>0.37</v>
      </c>
      <c r="DX160" s="228">
        <v>0.33</v>
      </c>
      <c r="DY160" s="228">
        <v>0.04</v>
      </c>
      <c r="DZ160" s="229">
        <v>0.1212</v>
      </c>
      <c r="EA160" s="229">
        <v>3.1099999999999999E-2</v>
      </c>
      <c r="EB160" s="230">
        <v>361900</v>
      </c>
      <c r="EC160" s="229">
        <v>3.5999999999999999E-3</v>
      </c>
      <c r="ED160" s="229">
        <v>3.1099999999999999E-2</v>
      </c>
      <c r="EE160" s="228">
        <v>0.59</v>
      </c>
      <c r="EF160" s="229">
        <v>1E-3</v>
      </c>
      <c r="EG160" s="230">
        <v>2486474</v>
      </c>
      <c r="EH160" s="230">
        <v>2905469</v>
      </c>
      <c r="EI160" s="229">
        <v>-0.14419999999999999</v>
      </c>
      <c r="EJ160" s="229">
        <v>0.16969999999999999</v>
      </c>
      <c r="EK160" s="231">
        <v>3017.84</v>
      </c>
      <c r="EL160" s="231">
        <v>1022.85</v>
      </c>
      <c r="EM160" s="228">
        <v>507.06</v>
      </c>
      <c r="EN160" s="228">
        <v>51.16</v>
      </c>
      <c r="EO160" s="231">
        <v>4547.75</v>
      </c>
      <c r="EP160" s="231">
        <v>4215.96</v>
      </c>
      <c r="EQ160" s="228">
        <v>331.78</v>
      </c>
      <c r="ER160" s="229">
        <v>7.8700000000000006E-2</v>
      </c>
      <c r="ES160" s="228">
        <v>402.16</v>
      </c>
      <c r="ET160" s="228">
        <v>330.75</v>
      </c>
      <c r="EU160" s="228">
        <v>658.24</v>
      </c>
      <c r="EV160" s="231">
        <v>23897684</v>
      </c>
      <c r="EW160" s="231">
        <v>1391.14</v>
      </c>
      <c r="EX160" s="231">
        <v>1051.6500000000001</v>
      </c>
      <c r="EY160" s="228">
        <v>339.49</v>
      </c>
      <c r="EZ160" s="229">
        <v>0.32279999999999998</v>
      </c>
      <c r="FA160" s="229">
        <v>1.0127999999999999</v>
      </c>
      <c r="FB160" s="227" t="s">
        <v>555</v>
      </c>
      <c r="FC160">
        <f t="shared" si="3"/>
        <v>0</v>
      </c>
    </row>
    <row r="161" spans="1:159" ht="17.25" thickBot="1" x14ac:dyDescent="0.3">
      <c r="A161" s="226">
        <v>45940</v>
      </c>
      <c r="B161" s="227" t="s">
        <v>206</v>
      </c>
      <c r="C161" s="227" t="s">
        <v>646</v>
      </c>
      <c r="D161" s="228">
        <v>350</v>
      </c>
      <c r="E161" s="228">
        <v>18</v>
      </c>
      <c r="F161" s="231">
        <v>1602.9</v>
      </c>
      <c r="G161" s="231">
        <v>1601.6</v>
      </c>
      <c r="H161" s="228">
        <v>1.3</v>
      </c>
      <c r="I161" s="229">
        <v>8.0000000000000004E-4</v>
      </c>
      <c r="J161" s="231">
        <v>1597.8</v>
      </c>
      <c r="K161" s="231">
        <v>1593.8</v>
      </c>
      <c r="L161" s="228">
        <v>4</v>
      </c>
      <c r="M161" s="229">
        <v>2.5000000000000001E-3</v>
      </c>
      <c r="N161" s="231">
        <v>1602.9</v>
      </c>
      <c r="O161" s="231">
        <v>1601.6</v>
      </c>
      <c r="P161" s="228">
        <v>1.3</v>
      </c>
      <c r="Q161" s="229">
        <v>8.0000000000000004E-4</v>
      </c>
      <c r="R161" s="231">
        <v>1610.6</v>
      </c>
      <c r="S161" s="231">
        <v>1610.8</v>
      </c>
      <c r="T161" s="228">
        <v>-0.2</v>
      </c>
      <c r="U161" s="229">
        <v>-1E-4</v>
      </c>
      <c r="V161" s="231">
        <v>1619</v>
      </c>
      <c r="W161" s="231">
        <v>1620.5</v>
      </c>
      <c r="X161" s="228">
        <v>-1.5</v>
      </c>
      <c r="Y161" s="229">
        <v>-8.9999999999999998E-4</v>
      </c>
      <c r="Z161" s="228">
        <v>5.0999999999999996</v>
      </c>
      <c r="AA161" s="228">
        <v>7.8</v>
      </c>
      <c r="AB161" s="228">
        <v>-2.7</v>
      </c>
      <c r="AC161" s="229">
        <v>3.2000000000000002E-3</v>
      </c>
      <c r="AD161" s="228">
        <v>5.0999999999999996</v>
      </c>
      <c r="AE161" s="228">
        <v>7.8</v>
      </c>
      <c r="AF161" s="228">
        <v>-2.7</v>
      </c>
      <c r="AG161" s="229">
        <v>3.2000000000000002E-3</v>
      </c>
      <c r="AH161" s="228">
        <v>12.8</v>
      </c>
      <c r="AI161" s="228">
        <v>17</v>
      </c>
      <c r="AJ161" s="228">
        <v>-4.2</v>
      </c>
      <c r="AK161" s="229">
        <v>8.0000000000000002E-3</v>
      </c>
      <c r="AL161" s="228">
        <v>21.2</v>
      </c>
      <c r="AM161" s="228">
        <v>26.7</v>
      </c>
      <c r="AN161" s="228">
        <v>-5.5</v>
      </c>
      <c r="AO161" s="229">
        <v>1.3299999999999999E-2</v>
      </c>
      <c r="AP161" s="231">
        <v>1614.2</v>
      </c>
      <c r="AQ161" s="231">
        <v>1620.1</v>
      </c>
      <c r="AR161" s="228">
        <v>0</v>
      </c>
      <c r="AS161" s="228">
        <v>71</v>
      </c>
      <c r="AT161" s="228">
        <v>78</v>
      </c>
      <c r="AU161" s="228">
        <v>-7</v>
      </c>
      <c r="AV161" s="229">
        <v>-9.11E-2</v>
      </c>
      <c r="AW161" s="228">
        <v>67</v>
      </c>
      <c r="AX161" s="228">
        <v>64</v>
      </c>
      <c r="AY161" s="228">
        <v>4</v>
      </c>
      <c r="AZ161" s="229">
        <v>5.5500000000000001E-2</v>
      </c>
      <c r="BA161" s="228">
        <v>3</v>
      </c>
      <c r="BB161" s="228">
        <v>13</v>
      </c>
      <c r="BC161" s="228">
        <v>-10</v>
      </c>
      <c r="BD161" s="229">
        <v>-0.75109999999999999</v>
      </c>
      <c r="BE161" s="228">
        <v>0</v>
      </c>
      <c r="BF161" s="228">
        <v>1</v>
      </c>
      <c r="BG161" s="228">
        <v>-1</v>
      </c>
      <c r="BH161" s="229">
        <v>-0.93330000000000002</v>
      </c>
      <c r="BI161" s="228">
        <v>178</v>
      </c>
      <c r="BJ161" s="228">
        <v>103</v>
      </c>
      <c r="BK161" s="228">
        <v>75</v>
      </c>
      <c r="BL161" s="229">
        <v>0.72189999999999999</v>
      </c>
      <c r="BM161" s="228">
        <v>97</v>
      </c>
      <c r="BN161" s="228">
        <v>41</v>
      </c>
      <c r="BO161" s="228">
        <v>56</v>
      </c>
      <c r="BP161" s="229">
        <v>1.3877999999999999</v>
      </c>
      <c r="BQ161" s="228">
        <v>345</v>
      </c>
      <c r="BR161" s="228">
        <v>221</v>
      </c>
      <c r="BS161" s="228">
        <v>124</v>
      </c>
      <c r="BT161" s="229">
        <v>0.55879999999999996</v>
      </c>
      <c r="BU161" s="230">
        <v>278884</v>
      </c>
      <c r="BV161" s="230">
        <v>278956</v>
      </c>
      <c r="BW161" s="228">
        <v>-72</v>
      </c>
      <c r="BX161" s="229">
        <v>-2.9999999999999997E-4</v>
      </c>
      <c r="BY161" s="228">
        <v>660</v>
      </c>
      <c r="BZ161" s="228">
        <v>667</v>
      </c>
      <c r="CA161" s="228">
        <v>-6</v>
      </c>
      <c r="CB161" s="229">
        <v>-9.4999999999999998E-3</v>
      </c>
      <c r="CC161" s="228">
        <v>648</v>
      </c>
      <c r="CD161" s="228">
        <v>655</v>
      </c>
      <c r="CE161" s="228">
        <v>-7</v>
      </c>
      <c r="CF161" s="229">
        <v>-1.04E-2</v>
      </c>
      <c r="CG161" s="228">
        <v>11</v>
      </c>
      <c r="CH161" s="228">
        <v>11</v>
      </c>
      <c r="CI161" s="228">
        <v>0</v>
      </c>
      <c r="CJ161" s="229">
        <v>4.1000000000000002E-2</v>
      </c>
      <c r="CK161" s="228">
        <v>1</v>
      </c>
      <c r="CL161" s="228">
        <v>1</v>
      </c>
      <c r="CM161" s="228">
        <v>0</v>
      </c>
      <c r="CN161" s="229">
        <v>6.6699999999999995E-2</v>
      </c>
      <c r="CO161" s="228">
        <v>131</v>
      </c>
      <c r="CP161" s="228">
        <v>129</v>
      </c>
      <c r="CQ161" s="228">
        <v>2</v>
      </c>
      <c r="CR161" s="229">
        <v>1.3899999999999999E-2</v>
      </c>
      <c r="CS161" s="228">
        <v>82</v>
      </c>
      <c r="CT161" s="228">
        <v>75</v>
      </c>
      <c r="CU161" s="228">
        <v>7</v>
      </c>
      <c r="CV161" s="229">
        <v>9.4600000000000004E-2</v>
      </c>
      <c r="CW161" s="228">
        <v>874</v>
      </c>
      <c r="CX161" s="228">
        <v>871</v>
      </c>
      <c r="CY161" s="228">
        <v>3</v>
      </c>
      <c r="CZ161" s="229">
        <v>3.0000000000000001E-3</v>
      </c>
      <c r="DA161" s="228">
        <v>29.13</v>
      </c>
      <c r="DB161" s="228">
        <v>31.27</v>
      </c>
      <c r="DC161" s="228">
        <v>-2.14</v>
      </c>
      <c r="DD161" s="228">
        <v>-2.14</v>
      </c>
      <c r="DE161" s="228">
        <v>44.68</v>
      </c>
      <c r="DF161" s="228">
        <v>44.79</v>
      </c>
      <c r="DG161" s="228">
        <v>-15.55</v>
      </c>
      <c r="DH161" s="228">
        <v>-0.11</v>
      </c>
      <c r="DI161" s="228">
        <v>29.11</v>
      </c>
      <c r="DJ161" s="228">
        <v>31.15</v>
      </c>
      <c r="DK161" s="228">
        <v>-2.04</v>
      </c>
      <c r="DL161" s="228">
        <v>-2.04</v>
      </c>
      <c r="DM161" s="228">
        <v>29.16</v>
      </c>
      <c r="DN161" s="228">
        <v>31.56</v>
      </c>
      <c r="DO161" s="228">
        <v>-2.4</v>
      </c>
      <c r="DP161" s="228">
        <v>-2.4</v>
      </c>
      <c r="DQ161" s="228">
        <v>0.63</v>
      </c>
      <c r="DR161" s="228">
        <v>0.57999999999999996</v>
      </c>
      <c r="DS161" s="228">
        <v>0.05</v>
      </c>
      <c r="DT161" s="229">
        <v>8.6199999999999999E-2</v>
      </c>
      <c r="DU161" s="231">
        <v>1600</v>
      </c>
      <c r="DV161" s="231">
        <v>1500</v>
      </c>
      <c r="DW161" s="228">
        <v>0.54</v>
      </c>
      <c r="DX161" s="228">
        <v>0.39</v>
      </c>
      <c r="DY161" s="228">
        <v>0.15</v>
      </c>
      <c r="DZ161" s="229">
        <v>0.3846</v>
      </c>
      <c r="EA161" s="229">
        <v>1.8599999999999998E-2</v>
      </c>
      <c r="EB161" s="230">
        <v>73500</v>
      </c>
      <c r="EC161" s="229">
        <v>4.7999999999999996E-3</v>
      </c>
      <c r="ED161" s="229">
        <v>1.8599999999999998E-2</v>
      </c>
      <c r="EE161" s="228">
        <v>5.9</v>
      </c>
      <c r="EF161" s="229">
        <v>3.7000000000000002E-3</v>
      </c>
      <c r="EG161" s="230">
        <v>133605</v>
      </c>
      <c r="EH161" s="230">
        <v>151303</v>
      </c>
      <c r="EI161" s="229">
        <v>-0.11700000000000001</v>
      </c>
      <c r="EJ161" s="229">
        <v>0.47910000000000003</v>
      </c>
      <c r="EK161" s="228">
        <v>186.01</v>
      </c>
      <c r="EL161" s="228">
        <v>96.05</v>
      </c>
      <c r="EM161" s="228">
        <v>71.03</v>
      </c>
      <c r="EN161" s="228">
        <v>12.64</v>
      </c>
      <c r="EO161" s="228">
        <v>353.09</v>
      </c>
      <c r="EP161" s="228">
        <v>225.9</v>
      </c>
      <c r="EQ161" s="228">
        <v>127.19</v>
      </c>
      <c r="ER161" s="229">
        <v>0.56299999999999994</v>
      </c>
      <c r="ES161" s="228">
        <v>135.03</v>
      </c>
      <c r="ET161" s="228">
        <v>79.25</v>
      </c>
      <c r="EU161" s="228">
        <v>660.49</v>
      </c>
      <c r="EV161" s="231">
        <v>28283155</v>
      </c>
      <c r="EW161" s="228">
        <v>874.78</v>
      </c>
      <c r="EX161" s="228">
        <v>871.87</v>
      </c>
      <c r="EY161" s="228">
        <v>2.91</v>
      </c>
      <c r="EZ161" s="229">
        <v>3.3E-3</v>
      </c>
      <c r="FA161" s="229">
        <v>0.19270000000000001</v>
      </c>
      <c r="FB161" s="227" t="s">
        <v>556</v>
      </c>
      <c r="FC161">
        <f t="shared" si="3"/>
        <v>0</v>
      </c>
    </row>
    <row r="162" spans="1:159" ht="17.25" thickBot="1" x14ac:dyDescent="0.3">
      <c r="A162" s="226">
        <v>45940</v>
      </c>
      <c r="B162" s="227" t="s">
        <v>168</v>
      </c>
      <c r="C162" s="227" t="s">
        <v>274</v>
      </c>
      <c r="D162" s="228">
        <v>500</v>
      </c>
      <c r="E162" s="228">
        <v>18</v>
      </c>
      <c r="F162" s="231">
        <v>1514.9</v>
      </c>
      <c r="G162" s="231">
        <v>1517.7</v>
      </c>
      <c r="H162" s="228">
        <v>-2.8</v>
      </c>
      <c r="I162" s="229">
        <v>-1.8E-3</v>
      </c>
      <c r="J162" s="231">
        <v>1510.6</v>
      </c>
      <c r="K162" s="231">
        <v>1510.4</v>
      </c>
      <c r="L162" s="228">
        <v>0.2</v>
      </c>
      <c r="M162" s="229">
        <v>1E-4</v>
      </c>
      <c r="N162" s="231">
        <v>1514.9</v>
      </c>
      <c r="O162" s="231">
        <v>1517.7</v>
      </c>
      <c r="P162" s="228">
        <v>-2.8</v>
      </c>
      <c r="Q162" s="229">
        <v>-1.8E-3</v>
      </c>
      <c r="R162" s="231">
        <v>1521.6</v>
      </c>
      <c r="S162" s="231">
        <v>1525.6</v>
      </c>
      <c r="T162" s="228">
        <v>-4</v>
      </c>
      <c r="U162" s="229">
        <v>-2.5999999999999999E-3</v>
      </c>
      <c r="V162" s="231">
        <v>1530.2</v>
      </c>
      <c r="W162" s="231">
        <v>1532</v>
      </c>
      <c r="X162" s="228">
        <v>-1.8</v>
      </c>
      <c r="Y162" s="229">
        <v>-1.1999999999999999E-3</v>
      </c>
      <c r="Z162" s="228">
        <v>4.3</v>
      </c>
      <c r="AA162" s="228">
        <v>7.3</v>
      </c>
      <c r="AB162" s="228">
        <v>-3</v>
      </c>
      <c r="AC162" s="229">
        <v>2.8E-3</v>
      </c>
      <c r="AD162" s="228">
        <v>4.3</v>
      </c>
      <c r="AE162" s="228">
        <v>7.3</v>
      </c>
      <c r="AF162" s="228">
        <v>-3</v>
      </c>
      <c r="AG162" s="229">
        <v>2.8E-3</v>
      </c>
      <c r="AH162" s="228">
        <v>11</v>
      </c>
      <c r="AI162" s="228">
        <v>15.2</v>
      </c>
      <c r="AJ162" s="228">
        <v>-4.2</v>
      </c>
      <c r="AK162" s="229">
        <v>7.3000000000000001E-3</v>
      </c>
      <c r="AL162" s="228">
        <v>19.600000000000001</v>
      </c>
      <c r="AM162" s="228">
        <v>21.6</v>
      </c>
      <c r="AN162" s="228">
        <v>-2</v>
      </c>
      <c r="AO162" s="229">
        <v>1.2999999999999999E-2</v>
      </c>
      <c r="AP162" s="231">
        <v>1518.61</v>
      </c>
      <c r="AQ162" s="231">
        <v>1525.88</v>
      </c>
      <c r="AR162" s="228">
        <v>0</v>
      </c>
      <c r="AS162" s="228">
        <v>137</v>
      </c>
      <c r="AT162" s="228">
        <v>224</v>
      </c>
      <c r="AU162" s="228">
        <v>-87</v>
      </c>
      <c r="AV162" s="229">
        <v>-0.38779999999999998</v>
      </c>
      <c r="AW162" s="228">
        <v>133</v>
      </c>
      <c r="AX162" s="228">
        <v>219</v>
      </c>
      <c r="AY162" s="228">
        <v>-86</v>
      </c>
      <c r="AZ162" s="229">
        <v>-0.39179999999999998</v>
      </c>
      <c r="BA162" s="228">
        <v>4</v>
      </c>
      <c r="BB162" s="228">
        <v>5</v>
      </c>
      <c r="BC162" s="228">
        <v>-1</v>
      </c>
      <c r="BD162" s="229">
        <v>-0.21879999999999999</v>
      </c>
      <c r="BE162" s="228">
        <v>0</v>
      </c>
      <c r="BF162" s="228">
        <v>0</v>
      </c>
      <c r="BG162" s="228">
        <v>0</v>
      </c>
      <c r="BH162" s="229">
        <v>0</v>
      </c>
      <c r="BI162" s="228">
        <v>229</v>
      </c>
      <c r="BJ162" s="228">
        <v>520</v>
      </c>
      <c r="BK162" s="228">
        <v>-291</v>
      </c>
      <c r="BL162" s="229">
        <v>-0.56010000000000004</v>
      </c>
      <c r="BM162" s="228">
        <v>79</v>
      </c>
      <c r="BN162" s="228">
        <v>175</v>
      </c>
      <c r="BO162" s="228">
        <v>-96</v>
      </c>
      <c r="BP162" s="229">
        <v>-0.54720000000000002</v>
      </c>
      <c r="BQ162" s="228">
        <v>445</v>
      </c>
      <c r="BR162" s="228">
        <v>919</v>
      </c>
      <c r="BS162" s="228">
        <v>-474</v>
      </c>
      <c r="BT162" s="229">
        <v>-0.51570000000000005</v>
      </c>
      <c r="BU162" s="230">
        <v>489697</v>
      </c>
      <c r="BV162" s="230">
        <v>557055</v>
      </c>
      <c r="BW162" s="230">
        <v>-67358</v>
      </c>
      <c r="BX162" s="229">
        <v>-0.12089999999999999</v>
      </c>
      <c r="BY162" s="230">
        <v>1462</v>
      </c>
      <c r="BZ162" s="230">
        <v>1452</v>
      </c>
      <c r="CA162" s="228">
        <v>10</v>
      </c>
      <c r="CB162" s="229">
        <v>7.1000000000000004E-3</v>
      </c>
      <c r="CC162" s="230">
        <v>1449</v>
      </c>
      <c r="CD162" s="230">
        <v>1439</v>
      </c>
      <c r="CE162" s="228">
        <v>10</v>
      </c>
      <c r="CF162" s="229">
        <v>6.7000000000000002E-3</v>
      </c>
      <c r="CG162" s="228">
        <v>13</v>
      </c>
      <c r="CH162" s="228">
        <v>12</v>
      </c>
      <c r="CI162" s="228">
        <v>1</v>
      </c>
      <c r="CJ162" s="229">
        <v>0.05</v>
      </c>
      <c r="CK162" s="228">
        <v>0</v>
      </c>
      <c r="CL162" s="228">
        <v>0</v>
      </c>
      <c r="CM162" s="228">
        <v>0</v>
      </c>
      <c r="CN162" s="229">
        <v>0.25</v>
      </c>
      <c r="CO162" s="228">
        <v>206</v>
      </c>
      <c r="CP162" s="228">
        <v>213</v>
      </c>
      <c r="CQ162" s="228">
        <v>-7</v>
      </c>
      <c r="CR162" s="229">
        <v>-3.3500000000000002E-2</v>
      </c>
      <c r="CS162" s="228">
        <v>135</v>
      </c>
      <c r="CT162" s="228">
        <v>138</v>
      </c>
      <c r="CU162" s="228">
        <v>-3</v>
      </c>
      <c r="CV162" s="229">
        <v>-2.1399999999999999E-2</v>
      </c>
      <c r="CW162" s="230">
        <v>1803</v>
      </c>
      <c r="CX162" s="230">
        <v>1803</v>
      </c>
      <c r="CY162" s="228">
        <v>0</v>
      </c>
      <c r="CZ162" s="229">
        <v>2.0000000000000001E-4</v>
      </c>
      <c r="DA162" s="228">
        <v>17.510000000000002</v>
      </c>
      <c r="DB162" s="228">
        <v>18.850000000000001</v>
      </c>
      <c r="DC162" s="228">
        <v>-1.34</v>
      </c>
      <c r="DD162" s="228">
        <v>-1.34</v>
      </c>
      <c r="DE162" s="228">
        <v>22.16</v>
      </c>
      <c r="DF162" s="228">
        <v>22.21</v>
      </c>
      <c r="DG162" s="228">
        <v>-4.6500000000000004</v>
      </c>
      <c r="DH162" s="228">
        <v>-0.05</v>
      </c>
      <c r="DI162" s="228">
        <v>17.260000000000002</v>
      </c>
      <c r="DJ162" s="228">
        <v>18.739999999999998</v>
      </c>
      <c r="DK162" s="228">
        <v>-1.48</v>
      </c>
      <c r="DL162" s="228">
        <v>-1.48</v>
      </c>
      <c r="DM162" s="228">
        <v>18.239999999999998</v>
      </c>
      <c r="DN162" s="228">
        <v>19.18</v>
      </c>
      <c r="DO162" s="228">
        <v>-0.94</v>
      </c>
      <c r="DP162" s="228">
        <v>-0.94</v>
      </c>
      <c r="DQ162" s="228">
        <v>0.66</v>
      </c>
      <c r="DR162" s="228">
        <v>0.65</v>
      </c>
      <c r="DS162" s="228">
        <v>0.01</v>
      </c>
      <c r="DT162" s="229">
        <v>1.54E-2</v>
      </c>
      <c r="DU162" s="231">
        <v>1550</v>
      </c>
      <c r="DV162" s="231">
        <v>1500</v>
      </c>
      <c r="DW162" s="228">
        <v>0.35</v>
      </c>
      <c r="DX162" s="228">
        <v>0.34</v>
      </c>
      <c r="DY162" s="228">
        <v>0.01</v>
      </c>
      <c r="DZ162" s="229">
        <v>2.9399999999999999E-2</v>
      </c>
      <c r="EA162" s="229">
        <v>8.9999999999999993E-3</v>
      </c>
      <c r="EB162" s="230">
        <v>82000</v>
      </c>
      <c r="EC162" s="229">
        <v>4.4000000000000003E-3</v>
      </c>
      <c r="ED162" s="229">
        <v>8.9999999999999993E-3</v>
      </c>
      <c r="EE162" s="228">
        <v>7.27</v>
      </c>
      <c r="EF162" s="229">
        <v>4.7999999999999996E-3</v>
      </c>
      <c r="EG162" s="230">
        <v>300883</v>
      </c>
      <c r="EH162" s="230">
        <v>304783</v>
      </c>
      <c r="EI162" s="229">
        <v>-1.2800000000000001E-2</v>
      </c>
      <c r="EJ162" s="229">
        <v>0.61439999999999995</v>
      </c>
      <c r="EK162" s="228">
        <v>234.38</v>
      </c>
      <c r="EL162" s="228">
        <v>78.569999999999993</v>
      </c>
      <c r="EM162" s="228">
        <v>137.61000000000001</v>
      </c>
      <c r="EN162" s="228">
        <v>19.760000000000002</v>
      </c>
      <c r="EO162" s="228">
        <v>450.55</v>
      </c>
      <c r="EP162" s="228">
        <v>928.67</v>
      </c>
      <c r="EQ162" s="228">
        <v>-478.12</v>
      </c>
      <c r="ER162" s="229">
        <v>-0.51480000000000004</v>
      </c>
      <c r="ES162" s="228">
        <v>208.42</v>
      </c>
      <c r="ET162" s="228">
        <v>131.32</v>
      </c>
      <c r="EU162" s="231">
        <v>1462.24</v>
      </c>
      <c r="EV162" s="231">
        <v>31170515</v>
      </c>
      <c r="EW162" s="231">
        <v>1801.99</v>
      </c>
      <c r="EX162" s="231">
        <v>1803.98</v>
      </c>
      <c r="EY162" s="228">
        <v>-1.99</v>
      </c>
      <c r="EZ162" s="229">
        <v>-1.1000000000000001E-3</v>
      </c>
      <c r="FA162" s="229">
        <v>0.38179999999999997</v>
      </c>
      <c r="FB162" s="227" t="s">
        <v>567</v>
      </c>
      <c r="FC162">
        <f t="shared" si="3"/>
        <v>0</v>
      </c>
    </row>
    <row r="163" spans="1:159" ht="17.25" thickBot="1" x14ac:dyDescent="0.3">
      <c r="A163" s="226">
        <v>45940</v>
      </c>
      <c r="B163" s="227" t="s">
        <v>498</v>
      </c>
      <c r="C163" s="227" t="s">
        <v>483</v>
      </c>
      <c r="D163" s="228">
        <v>175</v>
      </c>
      <c r="E163" s="228">
        <v>18</v>
      </c>
      <c r="F163" s="231">
        <v>3583.2</v>
      </c>
      <c r="G163" s="231">
        <v>3547.5</v>
      </c>
      <c r="H163" s="228">
        <v>35.700000000000003</v>
      </c>
      <c r="I163" s="229">
        <v>1.01E-2</v>
      </c>
      <c r="J163" s="231">
        <v>3564.6</v>
      </c>
      <c r="K163" s="231">
        <v>3531.7</v>
      </c>
      <c r="L163" s="228">
        <v>32.9</v>
      </c>
      <c r="M163" s="229">
        <v>9.2999999999999992E-3</v>
      </c>
      <c r="N163" s="231">
        <v>3583.2</v>
      </c>
      <c r="O163" s="231">
        <v>3547.5</v>
      </c>
      <c r="P163" s="228">
        <v>35.700000000000003</v>
      </c>
      <c r="Q163" s="229">
        <v>1.01E-2</v>
      </c>
      <c r="R163" s="231">
        <v>3587.6</v>
      </c>
      <c r="S163" s="231">
        <v>3551</v>
      </c>
      <c r="T163" s="228">
        <v>36.6</v>
      </c>
      <c r="U163" s="229">
        <v>1.03E-2</v>
      </c>
      <c r="V163" s="231">
        <v>3628</v>
      </c>
      <c r="W163" s="231">
        <v>3556.1</v>
      </c>
      <c r="X163" s="228">
        <v>71.900000000000006</v>
      </c>
      <c r="Y163" s="229">
        <v>2.0199999999999999E-2</v>
      </c>
      <c r="Z163" s="228">
        <v>18.600000000000001</v>
      </c>
      <c r="AA163" s="228">
        <v>15.8</v>
      </c>
      <c r="AB163" s="228">
        <v>2.8</v>
      </c>
      <c r="AC163" s="229">
        <v>5.1999999999999998E-3</v>
      </c>
      <c r="AD163" s="228">
        <v>18.600000000000001</v>
      </c>
      <c r="AE163" s="228">
        <v>15.8</v>
      </c>
      <c r="AF163" s="228">
        <v>2.8</v>
      </c>
      <c r="AG163" s="229">
        <v>5.1999999999999998E-3</v>
      </c>
      <c r="AH163" s="228">
        <v>23</v>
      </c>
      <c r="AI163" s="228">
        <v>19.3</v>
      </c>
      <c r="AJ163" s="228">
        <v>3.7</v>
      </c>
      <c r="AK163" s="229">
        <v>6.4999999999999997E-3</v>
      </c>
      <c r="AL163" s="228">
        <v>63.4</v>
      </c>
      <c r="AM163" s="228">
        <v>24.4</v>
      </c>
      <c r="AN163" s="228">
        <v>39</v>
      </c>
      <c r="AO163" s="229">
        <v>1.78E-2</v>
      </c>
      <c r="AP163" s="231">
        <v>3594.47</v>
      </c>
      <c r="AQ163" s="231">
        <v>3597.35</v>
      </c>
      <c r="AR163" s="228">
        <v>0</v>
      </c>
      <c r="AS163" s="228">
        <v>248</v>
      </c>
      <c r="AT163" s="228">
        <v>62</v>
      </c>
      <c r="AU163" s="228">
        <v>185</v>
      </c>
      <c r="AV163" s="229">
        <v>2.9839000000000002</v>
      </c>
      <c r="AW163" s="228">
        <v>233</v>
      </c>
      <c r="AX163" s="228">
        <v>58</v>
      </c>
      <c r="AY163" s="228">
        <v>175</v>
      </c>
      <c r="AZ163" s="229">
        <v>3.0074999999999998</v>
      </c>
      <c r="BA163" s="228">
        <v>14</v>
      </c>
      <c r="BB163" s="228">
        <v>4</v>
      </c>
      <c r="BC163" s="228">
        <v>10</v>
      </c>
      <c r="BD163" s="229">
        <v>2.7288000000000001</v>
      </c>
      <c r="BE163" s="228">
        <v>0</v>
      </c>
      <c r="BF163" s="228">
        <v>0</v>
      </c>
      <c r="BG163" s="228">
        <v>0</v>
      </c>
      <c r="BH163" s="229">
        <v>0.66669999999999996</v>
      </c>
      <c r="BI163" s="228">
        <v>323</v>
      </c>
      <c r="BJ163" s="228">
        <v>101</v>
      </c>
      <c r="BK163" s="228">
        <v>222</v>
      </c>
      <c r="BL163" s="229">
        <v>2.2056</v>
      </c>
      <c r="BM163" s="228">
        <v>87</v>
      </c>
      <c r="BN163" s="228">
        <v>25</v>
      </c>
      <c r="BO163" s="228">
        <v>62</v>
      </c>
      <c r="BP163" s="229">
        <v>2.4611999999999998</v>
      </c>
      <c r="BQ163" s="228">
        <v>657</v>
      </c>
      <c r="BR163" s="228">
        <v>188</v>
      </c>
      <c r="BS163" s="228">
        <v>469</v>
      </c>
      <c r="BT163" s="229">
        <v>2.4971999999999999</v>
      </c>
      <c r="BU163" s="230">
        <v>381438</v>
      </c>
      <c r="BV163" s="230">
        <v>214461</v>
      </c>
      <c r="BW163" s="230">
        <v>166977</v>
      </c>
      <c r="BX163" s="229">
        <v>0.77859999999999996</v>
      </c>
      <c r="BY163" s="228">
        <v>644</v>
      </c>
      <c r="BZ163" s="228">
        <v>653</v>
      </c>
      <c r="CA163" s="228">
        <v>-9</v>
      </c>
      <c r="CB163" s="229">
        <v>-1.38E-2</v>
      </c>
      <c r="CC163" s="228">
        <v>627</v>
      </c>
      <c r="CD163" s="228">
        <v>636</v>
      </c>
      <c r="CE163" s="228">
        <v>-9</v>
      </c>
      <c r="CF163" s="229">
        <v>-1.4500000000000001E-2</v>
      </c>
      <c r="CG163" s="228">
        <v>15</v>
      </c>
      <c r="CH163" s="228">
        <v>15</v>
      </c>
      <c r="CI163" s="228">
        <v>0</v>
      </c>
      <c r="CJ163" s="229">
        <v>2.9399999999999999E-2</v>
      </c>
      <c r="CK163" s="228">
        <v>1</v>
      </c>
      <c r="CL163" s="228">
        <v>2</v>
      </c>
      <c r="CM163" s="228">
        <v>0</v>
      </c>
      <c r="CN163" s="229">
        <v>-0.16669999999999999</v>
      </c>
      <c r="CO163" s="228">
        <v>133</v>
      </c>
      <c r="CP163" s="228">
        <v>133</v>
      </c>
      <c r="CQ163" s="228">
        <v>0</v>
      </c>
      <c r="CR163" s="229">
        <v>0</v>
      </c>
      <c r="CS163" s="228">
        <v>101</v>
      </c>
      <c r="CT163" s="228">
        <v>97</v>
      </c>
      <c r="CU163" s="228">
        <v>4</v>
      </c>
      <c r="CV163" s="229">
        <v>4.3999999999999997E-2</v>
      </c>
      <c r="CW163" s="228">
        <v>878</v>
      </c>
      <c r="CX163" s="228">
        <v>883</v>
      </c>
      <c r="CY163" s="228">
        <v>-5</v>
      </c>
      <c r="CZ163" s="229">
        <v>-5.4000000000000003E-3</v>
      </c>
      <c r="DA163" s="228">
        <v>23.52</v>
      </c>
      <c r="DB163" s="228">
        <v>23.5</v>
      </c>
      <c r="DC163" s="228">
        <v>0.02</v>
      </c>
      <c r="DD163" s="228">
        <v>0.02</v>
      </c>
      <c r="DE163" s="228">
        <v>30.41</v>
      </c>
      <c r="DF163" s="228">
        <v>30.46</v>
      </c>
      <c r="DG163" s="228">
        <v>-6.89</v>
      </c>
      <c r="DH163" s="228">
        <v>-0.05</v>
      </c>
      <c r="DI163" s="228">
        <v>23.47</v>
      </c>
      <c r="DJ163" s="228">
        <v>23.32</v>
      </c>
      <c r="DK163" s="228">
        <v>0.15</v>
      </c>
      <c r="DL163" s="228">
        <v>0.15</v>
      </c>
      <c r="DM163" s="228">
        <v>23.68</v>
      </c>
      <c r="DN163" s="228">
        <v>24.23</v>
      </c>
      <c r="DO163" s="228">
        <v>-0.55000000000000004</v>
      </c>
      <c r="DP163" s="228">
        <v>-0.55000000000000004</v>
      </c>
      <c r="DQ163" s="228">
        <v>0.76</v>
      </c>
      <c r="DR163" s="228">
        <v>0.73</v>
      </c>
      <c r="DS163" s="228">
        <v>0.03</v>
      </c>
      <c r="DT163" s="229">
        <v>4.1099999999999998E-2</v>
      </c>
      <c r="DU163" s="231">
        <v>3800</v>
      </c>
      <c r="DV163" s="231">
        <v>3400</v>
      </c>
      <c r="DW163" s="228">
        <v>0.27</v>
      </c>
      <c r="DX163" s="228">
        <v>0.25</v>
      </c>
      <c r="DY163" s="228">
        <v>0.02</v>
      </c>
      <c r="DZ163" s="229">
        <v>0.08</v>
      </c>
      <c r="EA163" s="229">
        <v>2.58E-2</v>
      </c>
      <c r="EB163" s="230">
        <v>45850</v>
      </c>
      <c r="EC163" s="229">
        <v>1.1999999999999999E-3</v>
      </c>
      <c r="ED163" s="229">
        <v>2.58E-2</v>
      </c>
      <c r="EE163" s="228">
        <v>2.88</v>
      </c>
      <c r="EF163" s="229">
        <v>8.0000000000000004E-4</v>
      </c>
      <c r="EG163" s="230">
        <v>233918</v>
      </c>
      <c r="EH163" s="230">
        <v>174436</v>
      </c>
      <c r="EI163" s="229">
        <v>0.34100000000000003</v>
      </c>
      <c r="EJ163" s="229">
        <v>0.61329999999999996</v>
      </c>
      <c r="EK163" s="228">
        <v>334.25</v>
      </c>
      <c r="EL163" s="228">
        <v>87.32</v>
      </c>
      <c r="EM163" s="228">
        <v>248.35</v>
      </c>
      <c r="EN163" s="228">
        <v>16.670000000000002</v>
      </c>
      <c r="EO163" s="228">
        <v>669.92</v>
      </c>
      <c r="EP163" s="228">
        <v>189.16</v>
      </c>
      <c r="EQ163" s="228">
        <v>480.76</v>
      </c>
      <c r="ER163" s="229">
        <v>2.5415999999999999</v>
      </c>
      <c r="ES163" s="228">
        <v>137.85</v>
      </c>
      <c r="ET163" s="228">
        <v>99.47</v>
      </c>
      <c r="EU163" s="228">
        <v>643.84</v>
      </c>
      <c r="EV163" s="231">
        <v>8178275</v>
      </c>
      <c r="EW163" s="228">
        <v>881.16</v>
      </c>
      <c r="EX163" s="228">
        <v>879.45</v>
      </c>
      <c r="EY163" s="228">
        <v>1.71</v>
      </c>
      <c r="EZ163" s="229">
        <v>1.9E-3</v>
      </c>
      <c r="FA163" s="229">
        <v>0.29959999999999998</v>
      </c>
      <c r="FB163" s="227" t="s">
        <v>556</v>
      </c>
      <c r="FC163">
        <f t="shared" si="3"/>
        <v>0</v>
      </c>
    </row>
    <row r="164" spans="1:159" ht="17.25" thickBot="1" x14ac:dyDescent="0.3">
      <c r="A164" s="226">
        <v>45940</v>
      </c>
      <c r="B164" s="227" t="s">
        <v>172</v>
      </c>
      <c r="C164" s="227" t="s">
        <v>275</v>
      </c>
      <c r="D164" s="228">
        <v>8000</v>
      </c>
      <c r="E164" s="228">
        <v>18</v>
      </c>
      <c r="F164" s="228">
        <v>117.65</v>
      </c>
      <c r="G164" s="228">
        <v>114.97</v>
      </c>
      <c r="H164" s="228">
        <v>2.68</v>
      </c>
      <c r="I164" s="229">
        <v>2.3300000000000001E-2</v>
      </c>
      <c r="J164" s="228">
        <v>117.24</v>
      </c>
      <c r="K164" s="228">
        <v>114.3</v>
      </c>
      <c r="L164" s="228">
        <v>2.94</v>
      </c>
      <c r="M164" s="229">
        <v>2.5700000000000001E-2</v>
      </c>
      <c r="N164" s="228">
        <v>117.65</v>
      </c>
      <c r="O164" s="228">
        <v>114.97</v>
      </c>
      <c r="P164" s="228">
        <v>2.68</v>
      </c>
      <c r="Q164" s="229">
        <v>2.3300000000000001E-2</v>
      </c>
      <c r="R164" s="228">
        <v>118.3</v>
      </c>
      <c r="S164" s="228">
        <v>115.52</v>
      </c>
      <c r="T164" s="228">
        <v>2.78</v>
      </c>
      <c r="U164" s="229">
        <v>2.41E-2</v>
      </c>
      <c r="V164" s="228">
        <v>118.96</v>
      </c>
      <c r="W164" s="228">
        <v>116.23</v>
      </c>
      <c r="X164" s="228">
        <v>2.73</v>
      </c>
      <c r="Y164" s="229">
        <v>2.35E-2</v>
      </c>
      <c r="Z164" s="228">
        <v>0.41</v>
      </c>
      <c r="AA164" s="228">
        <v>0.67</v>
      </c>
      <c r="AB164" s="228">
        <v>-0.26</v>
      </c>
      <c r="AC164" s="229">
        <v>3.5000000000000001E-3</v>
      </c>
      <c r="AD164" s="228">
        <v>0.41</v>
      </c>
      <c r="AE164" s="228">
        <v>0.67</v>
      </c>
      <c r="AF164" s="228">
        <v>-0.26</v>
      </c>
      <c r="AG164" s="229">
        <v>3.5000000000000001E-3</v>
      </c>
      <c r="AH164" s="228">
        <v>1.06</v>
      </c>
      <c r="AI164" s="228">
        <v>1.22</v>
      </c>
      <c r="AJ164" s="228">
        <v>-0.16</v>
      </c>
      <c r="AK164" s="229">
        <v>8.9999999999999993E-3</v>
      </c>
      <c r="AL164" s="228">
        <v>1.72</v>
      </c>
      <c r="AM164" s="228">
        <v>1.93</v>
      </c>
      <c r="AN164" s="228">
        <v>-0.21</v>
      </c>
      <c r="AO164" s="229">
        <v>1.47E-2</v>
      </c>
      <c r="AP164" s="228">
        <v>117.25</v>
      </c>
      <c r="AQ164" s="228">
        <v>117.91</v>
      </c>
      <c r="AR164" s="228">
        <v>0</v>
      </c>
      <c r="AS164" s="230">
        <v>1127</v>
      </c>
      <c r="AT164" s="228">
        <v>421</v>
      </c>
      <c r="AU164" s="228">
        <v>706</v>
      </c>
      <c r="AV164" s="229">
        <v>1.6758999999999999</v>
      </c>
      <c r="AW164" s="230">
        <v>1005</v>
      </c>
      <c r="AX164" s="228">
        <v>381</v>
      </c>
      <c r="AY164" s="228">
        <v>624</v>
      </c>
      <c r="AZ164" s="229">
        <v>1.6388</v>
      </c>
      <c r="BA164" s="228">
        <v>106</v>
      </c>
      <c r="BB164" s="228">
        <v>36</v>
      </c>
      <c r="BC164" s="228">
        <v>70</v>
      </c>
      <c r="BD164" s="229">
        <v>1.9500999999999999</v>
      </c>
      <c r="BE164" s="228">
        <v>16</v>
      </c>
      <c r="BF164" s="228">
        <v>4</v>
      </c>
      <c r="BG164" s="228">
        <v>11</v>
      </c>
      <c r="BH164" s="229">
        <v>2.6888999999999998</v>
      </c>
      <c r="BI164" s="230">
        <v>4481</v>
      </c>
      <c r="BJ164" s="230">
        <v>1191</v>
      </c>
      <c r="BK164" s="230">
        <v>3290</v>
      </c>
      <c r="BL164" s="229">
        <v>2.7631999999999999</v>
      </c>
      <c r="BM164" s="230">
        <v>2101</v>
      </c>
      <c r="BN164" s="228">
        <v>630</v>
      </c>
      <c r="BO164" s="230">
        <v>1471</v>
      </c>
      <c r="BP164" s="229">
        <v>2.3357999999999999</v>
      </c>
      <c r="BQ164" s="230">
        <v>7708</v>
      </c>
      <c r="BR164" s="230">
        <v>2241</v>
      </c>
      <c r="BS164" s="230">
        <v>5467</v>
      </c>
      <c r="BT164" s="229">
        <v>2.4388999999999998</v>
      </c>
      <c r="BU164" s="230">
        <v>44962656</v>
      </c>
      <c r="BV164" s="230">
        <v>13285403</v>
      </c>
      <c r="BW164" s="230">
        <v>31677253</v>
      </c>
      <c r="BX164" s="229">
        <v>2.3843999999999999</v>
      </c>
      <c r="BY164" s="230">
        <v>3015</v>
      </c>
      <c r="BZ164" s="230">
        <v>3021</v>
      </c>
      <c r="CA164" s="228">
        <v>-6</v>
      </c>
      <c r="CB164" s="229">
        <v>-2E-3</v>
      </c>
      <c r="CC164" s="230">
        <v>2860</v>
      </c>
      <c r="CD164" s="230">
        <v>2878</v>
      </c>
      <c r="CE164" s="228">
        <v>-18</v>
      </c>
      <c r="CF164" s="229">
        <v>-6.1999999999999998E-3</v>
      </c>
      <c r="CG164" s="228">
        <v>141</v>
      </c>
      <c r="CH164" s="228">
        <v>129</v>
      </c>
      <c r="CI164" s="228">
        <v>12</v>
      </c>
      <c r="CJ164" s="229">
        <v>9.1800000000000007E-2</v>
      </c>
      <c r="CK164" s="228">
        <v>14</v>
      </c>
      <c r="CL164" s="228">
        <v>14</v>
      </c>
      <c r="CM164" s="228">
        <v>0</v>
      </c>
      <c r="CN164" s="229">
        <v>0</v>
      </c>
      <c r="CO164" s="230">
        <v>1329</v>
      </c>
      <c r="CP164" s="230">
        <v>1424</v>
      </c>
      <c r="CQ164" s="228">
        <v>-96</v>
      </c>
      <c r="CR164" s="229">
        <v>-6.7100000000000007E-2</v>
      </c>
      <c r="CS164" s="230">
        <v>1104</v>
      </c>
      <c r="CT164" s="228">
        <v>971</v>
      </c>
      <c r="CU164" s="228">
        <v>133</v>
      </c>
      <c r="CV164" s="229">
        <v>0.1371</v>
      </c>
      <c r="CW164" s="230">
        <v>5448</v>
      </c>
      <c r="CX164" s="230">
        <v>5416</v>
      </c>
      <c r="CY164" s="228">
        <v>32</v>
      </c>
      <c r="CZ164" s="229">
        <v>5.7999999999999996E-3</v>
      </c>
      <c r="DA164" s="228">
        <v>25.63</v>
      </c>
      <c r="DB164" s="228">
        <v>25.87</v>
      </c>
      <c r="DC164" s="228">
        <v>-0.24</v>
      </c>
      <c r="DD164" s="228">
        <v>-0.24</v>
      </c>
      <c r="DE164" s="228">
        <v>37.32</v>
      </c>
      <c r="DF164" s="228">
        <v>37.28</v>
      </c>
      <c r="DG164" s="228">
        <v>-11.69</v>
      </c>
      <c r="DH164" s="228">
        <v>0.04</v>
      </c>
      <c r="DI164" s="228">
        <v>25.48</v>
      </c>
      <c r="DJ164" s="228">
        <v>25.64</v>
      </c>
      <c r="DK164" s="228">
        <v>-0.16</v>
      </c>
      <c r="DL164" s="228">
        <v>-0.16</v>
      </c>
      <c r="DM164" s="228">
        <v>25.94</v>
      </c>
      <c r="DN164" s="228">
        <v>26.31</v>
      </c>
      <c r="DO164" s="228">
        <v>-0.37</v>
      </c>
      <c r="DP164" s="228">
        <v>-0.37</v>
      </c>
      <c r="DQ164" s="228">
        <v>0.83</v>
      </c>
      <c r="DR164" s="228">
        <v>0.68</v>
      </c>
      <c r="DS164" s="228">
        <v>0.15</v>
      </c>
      <c r="DT164" s="229">
        <v>0.22059999999999999</v>
      </c>
      <c r="DU164" s="228">
        <v>120</v>
      </c>
      <c r="DV164" s="228">
        <v>115</v>
      </c>
      <c r="DW164" s="228">
        <v>0.47</v>
      </c>
      <c r="DX164" s="228">
        <v>0.53</v>
      </c>
      <c r="DY164" s="228">
        <v>-0.06</v>
      </c>
      <c r="DZ164" s="229">
        <v>-0.1132</v>
      </c>
      <c r="EA164" s="229">
        <v>5.1499999999999997E-2</v>
      </c>
      <c r="EB164" s="230">
        <v>12184000</v>
      </c>
      <c r="EC164" s="229">
        <v>5.4999999999999997E-3</v>
      </c>
      <c r="ED164" s="229">
        <v>5.1499999999999997E-2</v>
      </c>
      <c r="EE164" s="228">
        <v>0.66</v>
      </c>
      <c r="EF164" s="229">
        <v>5.5999999999999999E-3</v>
      </c>
      <c r="EG164" s="230">
        <v>21073028</v>
      </c>
      <c r="EH164" s="230">
        <v>5760535</v>
      </c>
      <c r="EI164" s="229">
        <v>2.6581999999999999</v>
      </c>
      <c r="EJ164" s="229">
        <v>0.46870000000000001</v>
      </c>
      <c r="EK164" s="231">
        <v>4599.51</v>
      </c>
      <c r="EL164" s="231">
        <v>2064.89</v>
      </c>
      <c r="EM164" s="231">
        <v>1123.75</v>
      </c>
      <c r="EN164" s="228">
        <v>55.54</v>
      </c>
      <c r="EO164" s="231">
        <v>7788.16</v>
      </c>
      <c r="EP164" s="231">
        <v>2217.67</v>
      </c>
      <c r="EQ164" s="231">
        <v>5570.48</v>
      </c>
      <c r="ER164" s="229">
        <v>2.5118999999999998</v>
      </c>
      <c r="ES164" s="231">
        <v>1334.34</v>
      </c>
      <c r="ET164" s="231">
        <v>1042.6600000000001</v>
      </c>
      <c r="EU164" s="231">
        <v>3016.16</v>
      </c>
      <c r="EV164" s="231">
        <v>447910372</v>
      </c>
      <c r="EW164" s="231">
        <v>5393.16</v>
      </c>
      <c r="EX164" s="231">
        <v>5282.09</v>
      </c>
      <c r="EY164" s="228">
        <v>111.07</v>
      </c>
      <c r="EZ164" s="229">
        <v>2.1000000000000001E-2</v>
      </c>
      <c r="FA164" s="229">
        <v>1.0338000000000001</v>
      </c>
      <c r="FB164" s="227" t="s">
        <v>556</v>
      </c>
      <c r="FC164">
        <f t="shared" si="3"/>
        <v>0</v>
      </c>
    </row>
    <row r="165" spans="1:159" ht="17.25" thickBot="1" x14ac:dyDescent="0.3">
      <c r="A165" s="226">
        <v>45940</v>
      </c>
      <c r="B165" s="227" t="s">
        <v>175</v>
      </c>
      <c r="C165" s="227" t="s">
        <v>672</v>
      </c>
      <c r="D165" s="228">
        <v>650</v>
      </c>
      <c r="E165" s="228">
        <v>18</v>
      </c>
      <c r="F165" s="228">
        <v>858.35</v>
      </c>
      <c r="G165" s="228">
        <v>880.75</v>
      </c>
      <c r="H165" s="228">
        <v>-22.4</v>
      </c>
      <c r="I165" s="229">
        <v>-2.5399999999999999E-2</v>
      </c>
      <c r="J165" s="228">
        <v>853.6</v>
      </c>
      <c r="K165" s="228">
        <v>876.1</v>
      </c>
      <c r="L165" s="228">
        <v>-22.5</v>
      </c>
      <c r="M165" s="229">
        <v>-2.5700000000000001E-2</v>
      </c>
      <c r="N165" s="228">
        <v>858.35</v>
      </c>
      <c r="O165" s="228">
        <v>880.75</v>
      </c>
      <c r="P165" s="228">
        <v>-22.4</v>
      </c>
      <c r="Q165" s="229">
        <v>-2.5399999999999999E-2</v>
      </c>
      <c r="R165" s="228">
        <v>862.9</v>
      </c>
      <c r="S165" s="228">
        <v>884.85</v>
      </c>
      <c r="T165" s="228">
        <v>-21.95</v>
      </c>
      <c r="U165" s="229">
        <v>-2.4799999999999999E-2</v>
      </c>
      <c r="V165" s="228">
        <v>869.35</v>
      </c>
      <c r="W165" s="228">
        <v>889.05</v>
      </c>
      <c r="X165" s="228">
        <v>-19.7</v>
      </c>
      <c r="Y165" s="229">
        <v>-2.2200000000000001E-2</v>
      </c>
      <c r="Z165" s="228">
        <v>4.75</v>
      </c>
      <c r="AA165" s="228">
        <v>4.6500000000000004</v>
      </c>
      <c r="AB165" s="228">
        <v>0.1</v>
      </c>
      <c r="AC165" s="229">
        <v>5.5999999999999999E-3</v>
      </c>
      <c r="AD165" s="228">
        <v>4.75</v>
      </c>
      <c r="AE165" s="228">
        <v>4.6500000000000004</v>
      </c>
      <c r="AF165" s="228">
        <v>0.1</v>
      </c>
      <c r="AG165" s="229">
        <v>5.5999999999999999E-3</v>
      </c>
      <c r="AH165" s="228">
        <v>9.3000000000000007</v>
      </c>
      <c r="AI165" s="228">
        <v>8.75</v>
      </c>
      <c r="AJ165" s="228">
        <v>0.55000000000000004</v>
      </c>
      <c r="AK165" s="229">
        <v>1.09E-2</v>
      </c>
      <c r="AL165" s="228">
        <v>15.75</v>
      </c>
      <c r="AM165" s="228">
        <v>12.95</v>
      </c>
      <c r="AN165" s="228">
        <v>2.8</v>
      </c>
      <c r="AO165" s="229">
        <v>1.8499999999999999E-2</v>
      </c>
      <c r="AP165" s="228">
        <v>865.56</v>
      </c>
      <c r="AQ165" s="228">
        <v>870.82</v>
      </c>
      <c r="AR165" s="228">
        <v>0</v>
      </c>
      <c r="AS165" s="228">
        <v>178</v>
      </c>
      <c r="AT165" s="228">
        <v>121</v>
      </c>
      <c r="AU165" s="228">
        <v>58</v>
      </c>
      <c r="AV165" s="229">
        <v>0.47760000000000002</v>
      </c>
      <c r="AW165" s="228">
        <v>159</v>
      </c>
      <c r="AX165" s="228">
        <v>111</v>
      </c>
      <c r="AY165" s="228">
        <v>47</v>
      </c>
      <c r="AZ165" s="229">
        <v>0.4224</v>
      </c>
      <c r="BA165" s="228">
        <v>17</v>
      </c>
      <c r="BB165" s="228">
        <v>8</v>
      </c>
      <c r="BC165" s="228">
        <v>9</v>
      </c>
      <c r="BD165" s="229">
        <v>1.1773</v>
      </c>
      <c r="BE165" s="228">
        <v>3</v>
      </c>
      <c r="BF165" s="228">
        <v>1</v>
      </c>
      <c r="BG165" s="228">
        <v>1</v>
      </c>
      <c r="BH165" s="229">
        <v>0.95830000000000004</v>
      </c>
      <c r="BI165" s="228">
        <v>264</v>
      </c>
      <c r="BJ165" s="228">
        <v>168</v>
      </c>
      <c r="BK165" s="228">
        <v>96</v>
      </c>
      <c r="BL165" s="229">
        <v>0.57299999999999995</v>
      </c>
      <c r="BM165" s="228">
        <v>124</v>
      </c>
      <c r="BN165" s="228">
        <v>56</v>
      </c>
      <c r="BO165" s="228">
        <v>69</v>
      </c>
      <c r="BP165" s="229">
        <v>1.228</v>
      </c>
      <c r="BQ165" s="228">
        <v>567</v>
      </c>
      <c r="BR165" s="228">
        <v>344</v>
      </c>
      <c r="BS165" s="228">
        <v>222</v>
      </c>
      <c r="BT165" s="229">
        <v>0.64570000000000005</v>
      </c>
      <c r="BU165" s="230">
        <v>1296646</v>
      </c>
      <c r="BV165" s="230">
        <v>852410</v>
      </c>
      <c r="BW165" s="230">
        <v>444236</v>
      </c>
      <c r="BX165" s="229">
        <v>0.5212</v>
      </c>
      <c r="BY165" s="230">
        <v>1304</v>
      </c>
      <c r="BZ165" s="230">
        <v>1285</v>
      </c>
      <c r="CA165" s="228">
        <v>19</v>
      </c>
      <c r="CB165" s="229">
        <v>1.46E-2</v>
      </c>
      <c r="CC165" s="230">
        <v>1267</v>
      </c>
      <c r="CD165" s="230">
        <v>1256</v>
      </c>
      <c r="CE165" s="228">
        <v>11</v>
      </c>
      <c r="CF165" s="229">
        <v>8.8000000000000005E-3</v>
      </c>
      <c r="CG165" s="228">
        <v>31</v>
      </c>
      <c r="CH165" s="228">
        <v>25</v>
      </c>
      <c r="CI165" s="228">
        <v>6</v>
      </c>
      <c r="CJ165" s="229">
        <v>0.24379999999999999</v>
      </c>
      <c r="CK165" s="228">
        <v>6</v>
      </c>
      <c r="CL165" s="228">
        <v>4</v>
      </c>
      <c r="CM165" s="228">
        <v>2</v>
      </c>
      <c r="CN165" s="229">
        <v>0.41670000000000001</v>
      </c>
      <c r="CO165" s="228">
        <v>349</v>
      </c>
      <c r="CP165" s="228">
        <v>311</v>
      </c>
      <c r="CQ165" s="228">
        <v>38</v>
      </c>
      <c r="CR165" s="229">
        <v>0.12180000000000001</v>
      </c>
      <c r="CS165" s="228">
        <v>256</v>
      </c>
      <c r="CT165" s="228">
        <v>211</v>
      </c>
      <c r="CU165" s="228">
        <v>44</v>
      </c>
      <c r="CV165" s="229">
        <v>0.2099</v>
      </c>
      <c r="CW165" s="230">
        <v>1909</v>
      </c>
      <c r="CX165" s="230">
        <v>1808</v>
      </c>
      <c r="CY165" s="228">
        <v>101</v>
      </c>
      <c r="CZ165" s="229">
        <v>5.5899999999999998E-2</v>
      </c>
      <c r="DA165" s="228">
        <v>38.409999999999997</v>
      </c>
      <c r="DB165" s="228">
        <v>36.33</v>
      </c>
      <c r="DC165" s="228">
        <v>2.08</v>
      </c>
      <c r="DD165" s="228">
        <v>2.08</v>
      </c>
      <c r="DE165" s="228">
        <v>49.5</v>
      </c>
      <c r="DF165" s="228">
        <v>49.49</v>
      </c>
      <c r="DG165" s="228">
        <v>-11.09</v>
      </c>
      <c r="DH165" s="228">
        <v>0.01</v>
      </c>
      <c r="DI165" s="228">
        <v>38.49</v>
      </c>
      <c r="DJ165" s="228">
        <v>36.340000000000003</v>
      </c>
      <c r="DK165" s="228">
        <v>2.15</v>
      </c>
      <c r="DL165" s="228">
        <v>2.15</v>
      </c>
      <c r="DM165" s="228">
        <v>38.25</v>
      </c>
      <c r="DN165" s="228">
        <v>36.299999999999997</v>
      </c>
      <c r="DO165" s="228">
        <v>1.95</v>
      </c>
      <c r="DP165" s="228">
        <v>1.95</v>
      </c>
      <c r="DQ165" s="228">
        <v>0.73</v>
      </c>
      <c r="DR165" s="228">
        <v>0.68</v>
      </c>
      <c r="DS165" s="228">
        <v>0.05</v>
      </c>
      <c r="DT165" s="229">
        <v>7.3499999999999996E-2</v>
      </c>
      <c r="DU165" s="228">
        <v>900</v>
      </c>
      <c r="DV165" s="228">
        <v>850</v>
      </c>
      <c r="DW165" s="228">
        <v>0.47</v>
      </c>
      <c r="DX165" s="228">
        <v>0.33</v>
      </c>
      <c r="DY165" s="228">
        <v>0.14000000000000001</v>
      </c>
      <c r="DZ165" s="229">
        <v>0.42420000000000002</v>
      </c>
      <c r="EA165" s="229">
        <v>2.8199999999999999E-2</v>
      </c>
      <c r="EB165" s="230">
        <v>337350</v>
      </c>
      <c r="EC165" s="229">
        <v>5.3E-3</v>
      </c>
      <c r="ED165" s="229">
        <v>2.8199999999999999E-2</v>
      </c>
      <c r="EE165" s="228">
        <v>5.26</v>
      </c>
      <c r="EF165" s="229">
        <v>6.1000000000000004E-3</v>
      </c>
      <c r="EG165" s="230">
        <v>696580</v>
      </c>
      <c r="EH165" s="230">
        <v>410389</v>
      </c>
      <c r="EI165" s="229">
        <v>0.69740000000000002</v>
      </c>
      <c r="EJ165" s="229">
        <v>0.53720000000000001</v>
      </c>
      <c r="EK165" s="228">
        <v>283.63</v>
      </c>
      <c r="EL165" s="228">
        <v>123.54</v>
      </c>
      <c r="EM165" s="228">
        <v>179.95</v>
      </c>
      <c r="EN165" s="228">
        <v>24.11</v>
      </c>
      <c r="EO165" s="228">
        <v>587.11</v>
      </c>
      <c r="EP165" s="228">
        <v>362.33</v>
      </c>
      <c r="EQ165" s="228">
        <v>224.79</v>
      </c>
      <c r="ER165" s="229">
        <v>0.62039999999999995</v>
      </c>
      <c r="ES165" s="228">
        <v>372.43</v>
      </c>
      <c r="ET165" s="228">
        <v>248.29</v>
      </c>
      <c r="EU165" s="231">
        <v>1304.28</v>
      </c>
      <c r="EV165" s="231">
        <v>28062406</v>
      </c>
      <c r="EW165" s="231">
        <v>1925</v>
      </c>
      <c r="EX165" s="231">
        <v>1858.29</v>
      </c>
      <c r="EY165" s="228">
        <v>66.709999999999994</v>
      </c>
      <c r="EZ165" s="229">
        <v>3.5900000000000001E-2</v>
      </c>
      <c r="FA165" s="229">
        <v>0.79259999999999997</v>
      </c>
      <c r="FB165" s="227" t="s">
        <v>567</v>
      </c>
      <c r="FC165">
        <f t="shared" si="3"/>
        <v>0</v>
      </c>
    </row>
    <row r="166" spans="1:159" ht="17.25" thickBot="1" x14ac:dyDescent="0.3">
      <c r="A166" s="226">
        <v>45940</v>
      </c>
      <c r="B166" s="227" t="s">
        <v>616</v>
      </c>
      <c r="C166" s="227" t="s">
        <v>574</v>
      </c>
      <c r="D166" s="228">
        <v>350</v>
      </c>
      <c r="E166" s="228">
        <v>18</v>
      </c>
      <c r="F166" s="231">
        <v>1752.9</v>
      </c>
      <c r="G166" s="231">
        <v>1743.9</v>
      </c>
      <c r="H166" s="228">
        <v>9</v>
      </c>
      <c r="I166" s="229">
        <v>5.1999999999999998E-3</v>
      </c>
      <c r="J166" s="231">
        <v>1745.4</v>
      </c>
      <c r="K166" s="231">
        <v>1735.7</v>
      </c>
      <c r="L166" s="228">
        <v>9.6999999999999993</v>
      </c>
      <c r="M166" s="229">
        <v>5.5999999999999999E-3</v>
      </c>
      <c r="N166" s="231">
        <v>1752.9</v>
      </c>
      <c r="O166" s="231">
        <v>1743.9</v>
      </c>
      <c r="P166" s="228">
        <v>9</v>
      </c>
      <c r="Q166" s="229">
        <v>5.1999999999999998E-3</v>
      </c>
      <c r="R166" s="231">
        <v>1761.7</v>
      </c>
      <c r="S166" s="231">
        <v>1752.4</v>
      </c>
      <c r="T166" s="228">
        <v>9.3000000000000007</v>
      </c>
      <c r="U166" s="229">
        <v>5.3E-3</v>
      </c>
      <c r="V166" s="231">
        <v>1764.9</v>
      </c>
      <c r="W166" s="231">
        <v>1764.9</v>
      </c>
      <c r="X166" s="228">
        <v>0</v>
      </c>
      <c r="Y166" s="229">
        <v>0</v>
      </c>
      <c r="Z166" s="228">
        <v>7.5</v>
      </c>
      <c r="AA166" s="228">
        <v>8.1999999999999993</v>
      </c>
      <c r="AB166" s="228">
        <v>-0.7</v>
      </c>
      <c r="AC166" s="229">
        <v>4.3E-3</v>
      </c>
      <c r="AD166" s="228">
        <v>7.5</v>
      </c>
      <c r="AE166" s="228">
        <v>8.1999999999999993</v>
      </c>
      <c r="AF166" s="228">
        <v>-0.7</v>
      </c>
      <c r="AG166" s="229">
        <v>4.3E-3</v>
      </c>
      <c r="AH166" s="228">
        <v>16.3</v>
      </c>
      <c r="AI166" s="228">
        <v>16.7</v>
      </c>
      <c r="AJ166" s="228">
        <v>-0.4</v>
      </c>
      <c r="AK166" s="229">
        <v>9.2999999999999992E-3</v>
      </c>
      <c r="AL166" s="228">
        <v>19.5</v>
      </c>
      <c r="AM166" s="228">
        <v>29.2</v>
      </c>
      <c r="AN166" s="228">
        <v>-9.6999999999999993</v>
      </c>
      <c r="AO166" s="229">
        <v>1.12E-2</v>
      </c>
      <c r="AP166" s="231">
        <v>1748.26</v>
      </c>
      <c r="AQ166" s="231">
        <v>1756.21</v>
      </c>
      <c r="AR166" s="228">
        <v>0</v>
      </c>
      <c r="AS166" s="228">
        <v>188</v>
      </c>
      <c r="AT166" s="228">
        <v>440</v>
      </c>
      <c r="AU166" s="228">
        <v>-252</v>
      </c>
      <c r="AV166" s="229">
        <v>-0.57379999999999998</v>
      </c>
      <c r="AW166" s="228">
        <v>182</v>
      </c>
      <c r="AX166" s="228">
        <v>430</v>
      </c>
      <c r="AY166" s="228">
        <v>-249</v>
      </c>
      <c r="AZ166" s="229">
        <v>-0.57820000000000005</v>
      </c>
      <c r="BA166" s="228">
        <v>6</v>
      </c>
      <c r="BB166" s="228">
        <v>10</v>
      </c>
      <c r="BC166" s="228">
        <v>-3</v>
      </c>
      <c r="BD166" s="229">
        <v>-0.36770000000000003</v>
      </c>
      <c r="BE166" s="228">
        <v>0</v>
      </c>
      <c r="BF166" s="228">
        <v>0</v>
      </c>
      <c r="BG166" s="228">
        <v>0</v>
      </c>
      <c r="BH166" s="229">
        <v>-1</v>
      </c>
      <c r="BI166" s="228">
        <v>250</v>
      </c>
      <c r="BJ166" s="228">
        <v>678</v>
      </c>
      <c r="BK166" s="228">
        <v>-427</v>
      </c>
      <c r="BL166" s="229">
        <v>-0.63039999999999996</v>
      </c>
      <c r="BM166" s="228">
        <v>117</v>
      </c>
      <c r="BN166" s="228">
        <v>367</v>
      </c>
      <c r="BO166" s="228">
        <v>-250</v>
      </c>
      <c r="BP166" s="229">
        <v>-0.68079999999999996</v>
      </c>
      <c r="BQ166" s="228">
        <v>555</v>
      </c>
      <c r="BR166" s="230">
        <v>1485</v>
      </c>
      <c r="BS166" s="228">
        <v>-930</v>
      </c>
      <c r="BT166" s="229">
        <v>-0.62609999999999999</v>
      </c>
      <c r="BU166" s="230">
        <v>718301</v>
      </c>
      <c r="BV166" s="230">
        <v>1119573</v>
      </c>
      <c r="BW166" s="230">
        <v>-401272</v>
      </c>
      <c r="BX166" s="229">
        <v>-0.3584</v>
      </c>
      <c r="BY166" s="230">
        <v>1206</v>
      </c>
      <c r="BZ166" s="230">
        <v>1239</v>
      </c>
      <c r="CA166" s="228">
        <v>-33</v>
      </c>
      <c r="CB166" s="229">
        <v>-2.6599999999999999E-2</v>
      </c>
      <c r="CC166" s="230">
        <v>1196</v>
      </c>
      <c r="CD166" s="230">
        <v>1229</v>
      </c>
      <c r="CE166" s="228">
        <v>-33</v>
      </c>
      <c r="CF166" s="229">
        <v>-2.7099999999999999E-2</v>
      </c>
      <c r="CG166" s="228">
        <v>9</v>
      </c>
      <c r="CH166" s="228">
        <v>9</v>
      </c>
      <c r="CI166" s="228">
        <v>0</v>
      </c>
      <c r="CJ166" s="229">
        <v>3.4000000000000002E-2</v>
      </c>
      <c r="CK166" s="228">
        <v>1</v>
      </c>
      <c r="CL166" s="228">
        <v>1</v>
      </c>
      <c r="CM166" s="228">
        <v>0</v>
      </c>
      <c r="CN166" s="229">
        <v>0</v>
      </c>
      <c r="CO166" s="228">
        <v>209</v>
      </c>
      <c r="CP166" s="228">
        <v>213</v>
      </c>
      <c r="CQ166" s="228">
        <v>-4</v>
      </c>
      <c r="CR166" s="229">
        <v>-2.1000000000000001E-2</v>
      </c>
      <c r="CS166" s="228">
        <v>159</v>
      </c>
      <c r="CT166" s="228">
        <v>159</v>
      </c>
      <c r="CU166" s="228">
        <v>1</v>
      </c>
      <c r="CV166" s="229">
        <v>5.4000000000000003E-3</v>
      </c>
      <c r="CW166" s="230">
        <v>1574</v>
      </c>
      <c r="CX166" s="230">
        <v>1610</v>
      </c>
      <c r="CY166" s="228">
        <v>-37</v>
      </c>
      <c r="CZ166" s="229">
        <v>-2.2700000000000001E-2</v>
      </c>
      <c r="DA166" s="228">
        <v>29.52</v>
      </c>
      <c r="DB166" s="228">
        <v>31.08</v>
      </c>
      <c r="DC166" s="228">
        <v>-1.56</v>
      </c>
      <c r="DD166" s="228">
        <v>-1.56</v>
      </c>
      <c r="DE166" s="228">
        <v>47.85</v>
      </c>
      <c r="DF166" s="228">
        <v>47.96</v>
      </c>
      <c r="DG166" s="228">
        <v>-18.329999999999998</v>
      </c>
      <c r="DH166" s="228">
        <v>-0.11</v>
      </c>
      <c r="DI166" s="228">
        <v>29.25</v>
      </c>
      <c r="DJ166" s="228">
        <v>30.7</v>
      </c>
      <c r="DK166" s="228">
        <v>-1.45</v>
      </c>
      <c r="DL166" s="228">
        <v>-1.45</v>
      </c>
      <c r="DM166" s="228">
        <v>30.1</v>
      </c>
      <c r="DN166" s="228">
        <v>31.78</v>
      </c>
      <c r="DO166" s="228">
        <v>-1.68</v>
      </c>
      <c r="DP166" s="228">
        <v>-1.68</v>
      </c>
      <c r="DQ166" s="228">
        <v>0.76</v>
      </c>
      <c r="DR166" s="228">
        <v>0.74</v>
      </c>
      <c r="DS166" s="228">
        <v>0.02</v>
      </c>
      <c r="DT166" s="229">
        <v>2.7E-2</v>
      </c>
      <c r="DU166" s="231">
        <v>1800</v>
      </c>
      <c r="DV166" s="231">
        <v>1700</v>
      </c>
      <c r="DW166" s="228">
        <v>0.47</v>
      </c>
      <c r="DX166" s="228">
        <v>0.54</v>
      </c>
      <c r="DY166" s="228">
        <v>-7.0000000000000007E-2</v>
      </c>
      <c r="DZ166" s="229">
        <v>-0.12959999999999999</v>
      </c>
      <c r="EA166" s="229">
        <v>8.3000000000000001E-3</v>
      </c>
      <c r="EB166" s="230">
        <v>55300</v>
      </c>
      <c r="EC166" s="229">
        <v>5.0000000000000001E-3</v>
      </c>
      <c r="ED166" s="229">
        <v>8.3000000000000001E-3</v>
      </c>
      <c r="EE166" s="228">
        <v>7.95</v>
      </c>
      <c r="EF166" s="229">
        <v>4.4999999999999997E-3</v>
      </c>
      <c r="EG166" s="230">
        <v>349328</v>
      </c>
      <c r="EH166" s="230">
        <v>485566</v>
      </c>
      <c r="EI166" s="229">
        <v>-0.28060000000000002</v>
      </c>
      <c r="EJ166" s="229">
        <v>0.48630000000000001</v>
      </c>
      <c r="EK166" s="228">
        <v>260.60000000000002</v>
      </c>
      <c r="EL166" s="228">
        <v>116.19</v>
      </c>
      <c r="EM166" s="228">
        <v>187.08</v>
      </c>
      <c r="EN166" s="228">
        <v>46.1</v>
      </c>
      <c r="EO166" s="228">
        <v>563.87</v>
      </c>
      <c r="EP166" s="231">
        <v>1513.15</v>
      </c>
      <c r="EQ166" s="228">
        <v>-949.27</v>
      </c>
      <c r="ER166" s="229">
        <v>-0.62739999999999996</v>
      </c>
      <c r="ES166" s="228">
        <v>220.01</v>
      </c>
      <c r="ET166" s="228">
        <v>150.37</v>
      </c>
      <c r="EU166" s="231">
        <v>1205.98</v>
      </c>
      <c r="EV166" s="231">
        <v>51720057</v>
      </c>
      <c r="EW166" s="231">
        <v>1576.36</v>
      </c>
      <c r="EX166" s="231">
        <v>1606.8</v>
      </c>
      <c r="EY166" s="228">
        <v>-30.44</v>
      </c>
      <c r="EZ166" s="229">
        <v>-1.89E-2</v>
      </c>
      <c r="FA166" s="229">
        <v>0.1736</v>
      </c>
      <c r="FB166" s="227" t="s">
        <v>556</v>
      </c>
      <c r="FC166">
        <f t="shared" si="3"/>
        <v>0</v>
      </c>
    </row>
    <row r="167" spans="1:159" ht="17.25" thickBot="1" x14ac:dyDescent="0.3">
      <c r="A167" s="226">
        <v>45940</v>
      </c>
      <c r="B167" s="227" t="s">
        <v>184</v>
      </c>
      <c r="C167" s="227" t="s">
        <v>519</v>
      </c>
      <c r="D167" s="228">
        <v>125</v>
      </c>
      <c r="E167" s="228">
        <v>18</v>
      </c>
      <c r="F167" s="231">
        <v>7768.5</v>
      </c>
      <c r="G167" s="231">
        <v>7673</v>
      </c>
      <c r="H167" s="228">
        <v>95.5</v>
      </c>
      <c r="I167" s="229">
        <v>1.24E-2</v>
      </c>
      <c r="J167" s="231">
        <v>7730</v>
      </c>
      <c r="K167" s="231">
        <v>7631</v>
      </c>
      <c r="L167" s="228">
        <v>99</v>
      </c>
      <c r="M167" s="229">
        <v>1.2999999999999999E-2</v>
      </c>
      <c r="N167" s="231">
        <v>7768.5</v>
      </c>
      <c r="O167" s="231">
        <v>7673</v>
      </c>
      <c r="P167" s="228">
        <v>95.5</v>
      </c>
      <c r="Q167" s="229">
        <v>1.24E-2</v>
      </c>
      <c r="R167" s="231">
        <v>7806.5</v>
      </c>
      <c r="S167" s="231">
        <v>7711.5</v>
      </c>
      <c r="T167" s="228">
        <v>95</v>
      </c>
      <c r="U167" s="229">
        <v>1.23E-2</v>
      </c>
      <c r="V167" s="231">
        <v>7847</v>
      </c>
      <c r="W167" s="231">
        <v>7746.5</v>
      </c>
      <c r="X167" s="228">
        <v>100.5</v>
      </c>
      <c r="Y167" s="229">
        <v>1.2999999999999999E-2</v>
      </c>
      <c r="Z167" s="228">
        <v>38.5</v>
      </c>
      <c r="AA167" s="228">
        <v>42</v>
      </c>
      <c r="AB167" s="228">
        <v>-3.5</v>
      </c>
      <c r="AC167" s="229">
        <v>5.0000000000000001E-3</v>
      </c>
      <c r="AD167" s="228">
        <v>38.5</v>
      </c>
      <c r="AE167" s="228">
        <v>42</v>
      </c>
      <c r="AF167" s="228">
        <v>-3.5</v>
      </c>
      <c r="AG167" s="229">
        <v>5.0000000000000001E-3</v>
      </c>
      <c r="AH167" s="228">
        <v>76.5</v>
      </c>
      <c r="AI167" s="228">
        <v>80.5</v>
      </c>
      <c r="AJ167" s="228">
        <v>-4</v>
      </c>
      <c r="AK167" s="229">
        <v>9.9000000000000008E-3</v>
      </c>
      <c r="AL167" s="228">
        <v>117</v>
      </c>
      <c r="AM167" s="228">
        <v>115.5</v>
      </c>
      <c r="AN167" s="228">
        <v>1.5</v>
      </c>
      <c r="AO167" s="229">
        <v>1.5100000000000001E-2</v>
      </c>
      <c r="AP167" s="231">
        <v>7778.91</v>
      </c>
      <c r="AQ167" s="231">
        <v>7816.38</v>
      </c>
      <c r="AR167" s="228">
        <v>0</v>
      </c>
      <c r="AS167" s="228">
        <v>416</v>
      </c>
      <c r="AT167" s="228">
        <v>246</v>
      </c>
      <c r="AU167" s="228">
        <v>170</v>
      </c>
      <c r="AV167" s="229">
        <v>0.69220000000000004</v>
      </c>
      <c r="AW167" s="228">
        <v>387</v>
      </c>
      <c r="AX167" s="228">
        <v>239</v>
      </c>
      <c r="AY167" s="228">
        <v>148</v>
      </c>
      <c r="AZ167" s="229">
        <v>0.61970000000000003</v>
      </c>
      <c r="BA167" s="228">
        <v>24</v>
      </c>
      <c r="BB167" s="228">
        <v>6</v>
      </c>
      <c r="BC167" s="228">
        <v>18</v>
      </c>
      <c r="BD167" s="229">
        <v>2.8182</v>
      </c>
      <c r="BE167" s="228">
        <v>5</v>
      </c>
      <c r="BF167" s="228">
        <v>1</v>
      </c>
      <c r="BG167" s="228">
        <v>4</v>
      </c>
      <c r="BH167" s="229">
        <v>6.1429</v>
      </c>
      <c r="BI167" s="230">
        <v>2572</v>
      </c>
      <c r="BJ167" s="228">
        <v>514</v>
      </c>
      <c r="BK167" s="230">
        <v>2058</v>
      </c>
      <c r="BL167" s="229">
        <v>4</v>
      </c>
      <c r="BM167" s="228">
        <v>685</v>
      </c>
      <c r="BN167" s="228">
        <v>343</v>
      </c>
      <c r="BO167" s="228">
        <v>342</v>
      </c>
      <c r="BP167" s="229">
        <v>0.99490000000000001</v>
      </c>
      <c r="BQ167" s="230">
        <v>3674</v>
      </c>
      <c r="BR167" s="230">
        <v>1104</v>
      </c>
      <c r="BS167" s="230">
        <v>2570</v>
      </c>
      <c r="BT167" s="229">
        <v>2.3277999999999999</v>
      </c>
      <c r="BU167" s="230">
        <v>245958</v>
      </c>
      <c r="BV167" s="230">
        <v>100522</v>
      </c>
      <c r="BW167" s="230">
        <v>145436</v>
      </c>
      <c r="BX167" s="229">
        <v>1.4468000000000001</v>
      </c>
      <c r="BY167" s="230">
        <v>1361</v>
      </c>
      <c r="BZ167" s="230">
        <v>1340</v>
      </c>
      <c r="CA167" s="228">
        <v>21</v>
      </c>
      <c r="CB167" s="229">
        <v>1.5699999999999999E-2</v>
      </c>
      <c r="CC167" s="230">
        <v>1323</v>
      </c>
      <c r="CD167" s="230">
        <v>1311</v>
      </c>
      <c r="CE167" s="228">
        <v>13</v>
      </c>
      <c r="CF167" s="229">
        <v>9.5999999999999992E-3</v>
      </c>
      <c r="CG167" s="228">
        <v>32</v>
      </c>
      <c r="CH167" s="228">
        <v>25</v>
      </c>
      <c r="CI167" s="228">
        <v>7</v>
      </c>
      <c r="CJ167" s="229">
        <v>0.2969</v>
      </c>
      <c r="CK167" s="228">
        <v>5</v>
      </c>
      <c r="CL167" s="228">
        <v>4</v>
      </c>
      <c r="CM167" s="228">
        <v>1</v>
      </c>
      <c r="CN167" s="229">
        <v>0.27910000000000001</v>
      </c>
      <c r="CO167" s="228">
        <v>680</v>
      </c>
      <c r="CP167" s="228">
        <v>510</v>
      </c>
      <c r="CQ167" s="228">
        <v>170</v>
      </c>
      <c r="CR167" s="229">
        <v>0.33400000000000002</v>
      </c>
      <c r="CS167" s="228">
        <v>328</v>
      </c>
      <c r="CT167" s="228">
        <v>295</v>
      </c>
      <c r="CU167" s="228">
        <v>33</v>
      </c>
      <c r="CV167" s="229">
        <v>0.1106</v>
      </c>
      <c r="CW167" s="230">
        <v>2369</v>
      </c>
      <c r="CX167" s="230">
        <v>2145</v>
      </c>
      <c r="CY167" s="228">
        <v>224</v>
      </c>
      <c r="CZ167" s="229">
        <v>0.1045</v>
      </c>
      <c r="DA167" s="228">
        <v>31.65</v>
      </c>
      <c r="DB167" s="228">
        <v>31.65</v>
      </c>
      <c r="DC167" s="228">
        <v>0</v>
      </c>
      <c r="DD167" s="228">
        <v>0</v>
      </c>
      <c r="DE167" s="228">
        <v>41.15</v>
      </c>
      <c r="DF167" s="228">
        <v>41.21</v>
      </c>
      <c r="DG167" s="228">
        <v>-9.5</v>
      </c>
      <c r="DH167" s="228">
        <v>-0.06</v>
      </c>
      <c r="DI167" s="228">
        <v>31.12</v>
      </c>
      <c r="DJ167" s="228">
        <v>30.2</v>
      </c>
      <c r="DK167" s="228">
        <v>0.92</v>
      </c>
      <c r="DL167" s="228">
        <v>0.92</v>
      </c>
      <c r="DM167" s="228">
        <v>33.64</v>
      </c>
      <c r="DN167" s="228">
        <v>33.82</v>
      </c>
      <c r="DO167" s="228">
        <v>-0.18</v>
      </c>
      <c r="DP167" s="228">
        <v>-0.18</v>
      </c>
      <c r="DQ167" s="228">
        <v>0.48</v>
      </c>
      <c r="DR167" s="228">
        <v>0.57999999999999996</v>
      </c>
      <c r="DS167" s="228">
        <v>-0.1</v>
      </c>
      <c r="DT167" s="229">
        <v>-0.1724</v>
      </c>
      <c r="DU167" s="231">
        <v>8000</v>
      </c>
      <c r="DV167" s="231">
        <v>7000</v>
      </c>
      <c r="DW167" s="228">
        <v>0.27</v>
      </c>
      <c r="DX167" s="228">
        <v>0.67</v>
      </c>
      <c r="DY167" s="228">
        <v>-0.4</v>
      </c>
      <c r="DZ167" s="229">
        <v>-0.59699999999999998</v>
      </c>
      <c r="EA167" s="229">
        <v>2.76E-2</v>
      </c>
      <c r="EB167" s="230">
        <v>37375</v>
      </c>
      <c r="EC167" s="229">
        <v>4.8999999999999998E-3</v>
      </c>
      <c r="ED167" s="229">
        <v>2.76E-2</v>
      </c>
      <c r="EE167" s="228">
        <v>37.47</v>
      </c>
      <c r="EF167" s="229">
        <v>4.7999999999999996E-3</v>
      </c>
      <c r="EG167" s="230">
        <v>63954</v>
      </c>
      <c r="EH167" s="230">
        <v>47566</v>
      </c>
      <c r="EI167" s="229">
        <v>0.34449999999999997</v>
      </c>
      <c r="EJ167" s="229">
        <v>0.26</v>
      </c>
      <c r="EK167" s="231">
        <v>2682.48</v>
      </c>
      <c r="EL167" s="228">
        <v>651.71</v>
      </c>
      <c r="EM167" s="228">
        <v>417.12</v>
      </c>
      <c r="EN167" s="228">
        <v>27.66</v>
      </c>
      <c r="EO167" s="231">
        <v>3751.3</v>
      </c>
      <c r="EP167" s="231">
        <v>1092.08</v>
      </c>
      <c r="EQ167" s="231">
        <v>2659.22</v>
      </c>
      <c r="ER167" s="229">
        <v>2.4350000000000001</v>
      </c>
      <c r="ES167" s="228">
        <v>687.39</v>
      </c>
      <c r="ET167" s="228">
        <v>306.13</v>
      </c>
      <c r="EU167" s="231">
        <v>1361.06</v>
      </c>
      <c r="EV167" s="231">
        <v>8350688</v>
      </c>
      <c r="EW167" s="231">
        <v>2354.58</v>
      </c>
      <c r="EX167" s="231">
        <v>2107.2399999999998</v>
      </c>
      <c r="EY167" s="228">
        <v>247.34</v>
      </c>
      <c r="EZ167" s="229">
        <v>0.1174</v>
      </c>
      <c r="FA167" s="229">
        <v>0.36509999999999998</v>
      </c>
      <c r="FB167" s="227" t="s">
        <v>555</v>
      </c>
      <c r="FC167">
        <f t="shared" si="3"/>
        <v>0</v>
      </c>
    </row>
    <row r="168" spans="1:159" ht="17.25" thickBot="1" x14ac:dyDescent="0.3">
      <c r="A168" s="226">
        <v>45940</v>
      </c>
      <c r="B168" s="227" t="s">
        <v>161</v>
      </c>
      <c r="C168" s="227" t="s">
        <v>276</v>
      </c>
      <c r="D168" s="228">
        <v>1900</v>
      </c>
      <c r="E168" s="228">
        <v>18</v>
      </c>
      <c r="F168" s="228">
        <v>289.60000000000002</v>
      </c>
      <c r="G168" s="228">
        <v>286.89999999999998</v>
      </c>
      <c r="H168" s="228">
        <v>2.7</v>
      </c>
      <c r="I168" s="229">
        <v>9.4000000000000004E-3</v>
      </c>
      <c r="J168" s="228">
        <v>289.14999999999998</v>
      </c>
      <c r="K168" s="228">
        <v>286.14999999999998</v>
      </c>
      <c r="L168" s="228">
        <v>3</v>
      </c>
      <c r="M168" s="229">
        <v>1.0500000000000001E-2</v>
      </c>
      <c r="N168" s="228">
        <v>289.60000000000002</v>
      </c>
      <c r="O168" s="228">
        <v>286.89999999999998</v>
      </c>
      <c r="P168" s="228">
        <v>2.7</v>
      </c>
      <c r="Q168" s="229">
        <v>9.4000000000000004E-3</v>
      </c>
      <c r="R168" s="228">
        <v>287.85000000000002</v>
      </c>
      <c r="S168" s="228">
        <v>285.05</v>
      </c>
      <c r="T168" s="228">
        <v>2.8</v>
      </c>
      <c r="U168" s="229">
        <v>9.7999999999999997E-3</v>
      </c>
      <c r="V168" s="228">
        <v>289.89999999999998</v>
      </c>
      <c r="W168" s="228">
        <v>286.5</v>
      </c>
      <c r="X168" s="228">
        <v>3.4</v>
      </c>
      <c r="Y168" s="229">
        <v>1.1900000000000001E-2</v>
      </c>
      <c r="Z168" s="228">
        <v>0.45</v>
      </c>
      <c r="AA168" s="228">
        <v>0.75</v>
      </c>
      <c r="AB168" s="228">
        <v>-0.3</v>
      </c>
      <c r="AC168" s="229">
        <v>1.6000000000000001E-3</v>
      </c>
      <c r="AD168" s="228">
        <v>0.45</v>
      </c>
      <c r="AE168" s="228">
        <v>0.75</v>
      </c>
      <c r="AF168" s="228">
        <v>-0.3</v>
      </c>
      <c r="AG168" s="229">
        <v>1.6000000000000001E-3</v>
      </c>
      <c r="AH168" s="228">
        <v>-1.3</v>
      </c>
      <c r="AI168" s="228">
        <v>-1.1000000000000001</v>
      </c>
      <c r="AJ168" s="228">
        <v>-0.2</v>
      </c>
      <c r="AK168" s="229">
        <v>-4.4999999999999997E-3</v>
      </c>
      <c r="AL168" s="228">
        <v>0.75</v>
      </c>
      <c r="AM168" s="228">
        <v>0.35</v>
      </c>
      <c r="AN168" s="228">
        <v>0.4</v>
      </c>
      <c r="AO168" s="229">
        <v>2.5999999999999999E-3</v>
      </c>
      <c r="AP168" s="228">
        <v>290.17</v>
      </c>
      <c r="AQ168" s="228">
        <v>288.23</v>
      </c>
      <c r="AR168" s="228">
        <v>0</v>
      </c>
      <c r="AS168" s="228">
        <v>300</v>
      </c>
      <c r="AT168" s="228">
        <v>219</v>
      </c>
      <c r="AU168" s="228">
        <v>81</v>
      </c>
      <c r="AV168" s="229">
        <v>0.37130000000000002</v>
      </c>
      <c r="AW168" s="228">
        <v>270</v>
      </c>
      <c r="AX168" s="228">
        <v>195</v>
      </c>
      <c r="AY168" s="228">
        <v>75</v>
      </c>
      <c r="AZ168" s="229">
        <v>0.38200000000000001</v>
      </c>
      <c r="BA168" s="228">
        <v>23</v>
      </c>
      <c r="BB168" s="228">
        <v>19</v>
      </c>
      <c r="BC168" s="228">
        <v>4</v>
      </c>
      <c r="BD168" s="229">
        <v>0.21310000000000001</v>
      </c>
      <c r="BE168" s="228">
        <v>6</v>
      </c>
      <c r="BF168" s="228">
        <v>4</v>
      </c>
      <c r="BG168" s="228">
        <v>2</v>
      </c>
      <c r="BH168" s="229">
        <v>0.62319999999999998</v>
      </c>
      <c r="BI168" s="230">
        <v>1004</v>
      </c>
      <c r="BJ168" s="228">
        <v>565</v>
      </c>
      <c r="BK168" s="228">
        <v>439</v>
      </c>
      <c r="BL168" s="229">
        <v>0.77680000000000005</v>
      </c>
      <c r="BM168" s="228">
        <v>418</v>
      </c>
      <c r="BN168" s="228">
        <v>331</v>
      </c>
      <c r="BO168" s="228">
        <v>86</v>
      </c>
      <c r="BP168" s="229">
        <v>0.2606</v>
      </c>
      <c r="BQ168" s="230">
        <v>1721</v>
      </c>
      <c r="BR168" s="230">
        <v>1115</v>
      </c>
      <c r="BS168" s="228">
        <v>606</v>
      </c>
      <c r="BT168" s="229">
        <v>0.54390000000000005</v>
      </c>
      <c r="BU168" s="230">
        <v>11024571</v>
      </c>
      <c r="BV168" s="230">
        <v>11091309</v>
      </c>
      <c r="BW168" s="230">
        <v>-66738</v>
      </c>
      <c r="BX168" s="229">
        <v>-6.0000000000000001E-3</v>
      </c>
      <c r="BY168" s="230">
        <v>2125</v>
      </c>
      <c r="BZ168" s="230">
        <v>2118</v>
      </c>
      <c r="CA168" s="228">
        <v>7</v>
      </c>
      <c r="CB168" s="229">
        <v>3.5000000000000001E-3</v>
      </c>
      <c r="CC168" s="230">
        <v>2050</v>
      </c>
      <c r="CD168" s="230">
        <v>2044</v>
      </c>
      <c r="CE168" s="228">
        <v>6</v>
      </c>
      <c r="CF168" s="229">
        <v>2.7000000000000001E-3</v>
      </c>
      <c r="CG168" s="228">
        <v>69</v>
      </c>
      <c r="CH168" s="228">
        <v>70</v>
      </c>
      <c r="CI168" s="228">
        <v>-1</v>
      </c>
      <c r="CJ168" s="229">
        <v>-8.6999999999999994E-3</v>
      </c>
      <c r="CK168" s="228">
        <v>6</v>
      </c>
      <c r="CL168" s="228">
        <v>4</v>
      </c>
      <c r="CM168" s="228">
        <v>2</v>
      </c>
      <c r="CN168" s="229">
        <v>0.67159999999999997</v>
      </c>
      <c r="CO168" s="228">
        <v>899</v>
      </c>
      <c r="CP168" s="228">
        <v>904</v>
      </c>
      <c r="CQ168" s="228">
        <v>-5</v>
      </c>
      <c r="CR168" s="229">
        <v>-5.1000000000000004E-3</v>
      </c>
      <c r="CS168" s="228">
        <v>458</v>
      </c>
      <c r="CT168" s="228">
        <v>461</v>
      </c>
      <c r="CU168" s="228">
        <v>-3</v>
      </c>
      <c r="CV168" s="229">
        <v>-7.4999999999999997E-3</v>
      </c>
      <c r="CW168" s="230">
        <v>3482</v>
      </c>
      <c r="CX168" s="230">
        <v>3483</v>
      </c>
      <c r="CY168" s="228">
        <v>-1</v>
      </c>
      <c r="CZ168" s="229">
        <v>-2.0000000000000001E-4</v>
      </c>
      <c r="DA168" s="228">
        <v>17.600000000000001</v>
      </c>
      <c r="DB168" s="228">
        <v>19.5</v>
      </c>
      <c r="DC168" s="228">
        <v>-1.9</v>
      </c>
      <c r="DD168" s="228">
        <v>-1.9</v>
      </c>
      <c r="DE168" s="228">
        <v>29.6</v>
      </c>
      <c r="DF168" s="228">
        <v>29.64</v>
      </c>
      <c r="DG168" s="228">
        <v>-12</v>
      </c>
      <c r="DH168" s="228">
        <v>-0.04</v>
      </c>
      <c r="DI168" s="228">
        <v>17.61</v>
      </c>
      <c r="DJ168" s="228">
        <v>19.809999999999999</v>
      </c>
      <c r="DK168" s="228">
        <v>-2.2000000000000002</v>
      </c>
      <c r="DL168" s="228">
        <v>-2.2000000000000002</v>
      </c>
      <c r="DM168" s="228">
        <v>17.57</v>
      </c>
      <c r="DN168" s="228">
        <v>18.98</v>
      </c>
      <c r="DO168" s="228">
        <v>-1.41</v>
      </c>
      <c r="DP168" s="228">
        <v>-1.41</v>
      </c>
      <c r="DQ168" s="228">
        <v>0.51</v>
      </c>
      <c r="DR168" s="228">
        <v>0.51</v>
      </c>
      <c r="DS168" s="228">
        <v>0</v>
      </c>
      <c r="DT168" s="229">
        <v>0</v>
      </c>
      <c r="DU168" s="228">
        <v>300</v>
      </c>
      <c r="DV168" s="228">
        <v>290</v>
      </c>
      <c r="DW168" s="228">
        <v>0.42</v>
      </c>
      <c r="DX168" s="228">
        <v>0.59</v>
      </c>
      <c r="DY168" s="228">
        <v>-0.17</v>
      </c>
      <c r="DZ168" s="229">
        <v>-0.28810000000000002</v>
      </c>
      <c r="EA168" s="229">
        <v>3.5499999999999997E-2</v>
      </c>
      <c r="EB168" s="230">
        <v>2542200</v>
      </c>
      <c r="EC168" s="229">
        <v>-6.0000000000000001E-3</v>
      </c>
      <c r="ED168" s="229">
        <v>3.5499999999999997E-2</v>
      </c>
      <c r="EE168" s="228">
        <v>-1.94</v>
      </c>
      <c r="EF168" s="229">
        <v>-6.7000000000000002E-3</v>
      </c>
      <c r="EG168" s="230">
        <v>7283704</v>
      </c>
      <c r="EH168" s="230">
        <v>7136728</v>
      </c>
      <c r="EI168" s="229">
        <v>2.06E-2</v>
      </c>
      <c r="EJ168" s="229">
        <v>0.66069999999999995</v>
      </c>
      <c r="EK168" s="231">
        <v>1031.57</v>
      </c>
      <c r="EL168" s="228">
        <v>418.39</v>
      </c>
      <c r="EM168" s="228">
        <v>300.20999999999998</v>
      </c>
      <c r="EN168" s="228">
        <v>48.38</v>
      </c>
      <c r="EO168" s="231">
        <v>1750.17</v>
      </c>
      <c r="EP168" s="231">
        <v>1119.57</v>
      </c>
      <c r="EQ168" s="228">
        <v>630.6</v>
      </c>
      <c r="ER168" s="229">
        <v>0.56330000000000002</v>
      </c>
      <c r="ES168" s="228">
        <v>928.96</v>
      </c>
      <c r="ET168" s="228">
        <v>450.51</v>
      </c>
      <c r="EU168" s="231">
        <v>2124.7199999999998</v>
      </c>
      <c r="EV168" s="231">
        <v>488832949</v>
      </c>
      <c r="EW168" s="231">
        <v>3504.19</v>
      </c>
      <c r="EX168" s="231">
        <v>3483.15</v>
      </c>
      <c r="EY168" s="228">
        <v>21.04</v>
      </c>
      <c r="EZ168" s="229">
        <v>6.0000000000000001E-3</v>
      </c>
      <c r="FA168" s="229">
        <v>0.246</v>
      </c>
      <c r="FB168" s="227" t="s">
        <v>555</v>
      </c>
      <c r="FC168">
        <f t="shared" si="3"/>
        <v>0</v>
      </c>
    </row>
    <row r="169" spans="1:159" ht="17.25" thickBot="1" x14ac:dyDescent="0.3">
      <c r="A169" s="226">
        <v>45940</v>
      </c>
      <c r="B169" s="227" t="s">
        <v>184</v>
      </c>
      <c r="C169" s="227" t="s">
        <v>689</v>
      </c>
      <c r="D169" s="228">
        <v>50</v>
      </c>
      <c r="E169" s="228">
        <v>18</v>
      </c>
      <c r="F169" s="231">
        <v>17716</v>
      </c>
      <c r="G169" s="231">
        <v>17840</v>
      </c>
      <c r="H169" s="228">
        <v>-124</v>
      </c>
      <c r="I169" s="229">
        <v>-7.0000000000000001E-3</v>
      </c>
      <c r="J169" s="231">
        <v>17645</v>
      </c>
      <c r="K169" s="231">
        <v>17731</v>
      </c>
      <c r="L169" s="228">
        <v>-86</v>
      </c>
      <c r="M169" s="229">
        <v>-4.8999999999999998E-3</v>
      </c>
      <c r="N169" s="231">
        <v>17716</v>
      </c>
      <c r="O169" s="231">
        <v>17840</v>
      </c>
      <c r="P169" s="228">
        <v>-124</v>
      </c>
      <c r="Q169" s="229">
        <v>-7.0000000000000001E-3</v>
      </c>
      <c r="R169" s="231">
        <v>17766</v>
      </c>
      <c r="S169" s="231">
        <v>17883</v>
      </c>
      <c r="T169" s="228">
        <v>-117</v>
      </c>
      <c r="U169" s="229">
        <v>-6.4999999999999997E-3</v>
      </c>
      <c r="V169" s="228">
        <v>0</v>
      </c>
      <c r="W169" s="228">
        <v>0</v>
      </c>
      <c r="X169" s="228">
        <v>0</v>
      </c>
      <c r="Y169" s="229">
        <v>0</v>
      </c>
      <c r="Z169" s="228">
        <v>71</v>
      </c>
      <c r="AA169" s="228">
        <v>109</v>
      </c>
      <c r="AB169" s="228">
        <v>-38</v>
      </c>
      <c r="AC169" s="229">
        <v>4.0000000000000001E-3</v>
      </c>
      <c r="AD169" s="228">
        <v>71</v>
      </c>
      <c r="AE169" s="228">
        <v>109</v>
      </c>
      <c r="AF169" s="228">
        <v>-38</v>
      </c>
      <c r="AG169" s="229">
        <v>4.0000000000000001E-3</v>
      </c>
      <c r="AH169" s="228">
        <v>121</v>
      </c>
      <c r="AI169" s="228">
        <v>152</v>
      </c>
      <c r="AJ169" s="228">
        <v>-31</v>
      </c>
      <c r="AK169" s="229">
        <v>6.8999999999999999E-3</v>
      </c>
      <c r="AL169" s="228">
        <v>0</v>
      </c>
      <c r="AM169" s="228">
        <v>0</v>
      </c>
      <c r="AN169" s="228">
        <v>0</v>
      </c>
      <c r="AO169" s="229">
        <v>0</v>
      </c>
      <c r="AP169" s="231">
        <v>17845.77</v>
      </c>
      <c r="AQ169" s="231">
        <v>17823.330000000002</v>
      </c>
      <c r="AR169" s="228">
        <v>0</v>
      </c>
      <c r="AS169" s="228">
        <v>30</v>
      </c>
      <c r="AT169" s="228">
        <v>30</v>
      </c>
      <c r="AU169" s="228">
        <v>0</v>
      </c>
      <c r="AV169" s="229">
        <v>-5.7999999999999996E-3</v>
      </c>
      <c r="AW169" s="228">
        <v>30</v>
      </c>
      <c r="AX169" s="228">
        <v>29</v>
      </c>
      <c r="AY169" s="228">
        <v>0</v>
      </c>
      <c r="AZ169" s="229">
        <v>8.9999999999999993E-3</v>
      </c>
      <c r="BA169" s="228">
        <v>1</v>
      </c>
      <c r="BB169" s="228">
        <v>1</v>
      </c>
      <c r="BC169" s="228">
        <v>0</v>
      </c>
      <c r="BD169" s="229">
        <v>-0.45450000000000002</v>
      </c>
      <c r="BE169" s="228">
        <v>0</v>
      </c>
      <c r="BF169" s="228">
        <v>0</v>
      </c>
      <c r="BG169" s="228">
        <v>0</v>
      </c>
      <c r="BH169" s="229">
        <v>0</v>
      </c>
      <c r="BI169" s="228">
        <v>40</v>
      </c>
      <c r="BJ169" s="228">
        <v>67</v>
      </c>
      <c r="BK169" s="228">
        <v>-27</v>
      </c>
      <c r="BL169" s="229">
        <v>-0.40210000000000001</v>
      </c>
      <c r="BM169" s="228">
        <v>8</v>
      </c>
      <c r="BN169" s="228">
        <v>16</v>
      </c>
      <c r="BO169" s="228">
        <v>-8</v>
      </c>
      <c r="BP169" s="229">
        <v>-0.51429999999999998</v>
      </c>
      <c r="BQ169" s="228">
        <v>78</v>
      </c>
      <c r="BR169" s="228">
        <v>112</v>
      </c>
      <c r="BS169" s="228">
        <v>-35</v>
      </c>
      <c r="BT169" s="229">
        <v>-0.31019999999999998</v>
      </c>
      <c r="BU169" s="230">
        <v>50960</v>
      </c>
      <c r="BV169" s="230">
        <v>47546</v>
      </c>
      <c r="BW169" s="230">
        <v>3414</v>
      </c>
      <c r="BX169" s="229">
        <v>7.1800000000000003E-2</v>
      </c>
      <c r="BY169" s="228">
        <v>108</v>
      </c>
      <c r="BZ169" s="228">
        <v>103</v>
      </c>
      <c r="CA169" s="228">
        <v>6</v>
      </c>
      <c r="CB169" s="229">
        <v>5.4300000000000001E-2</v>
      </c>
      <c r="CC169" s="228">
        <v>107</v>
      </c>
      <c r="CD169" s="228">
        <v>101</v>
      </c>
      <c r="CE169" s="228">
        <v>5</v>
      </c>
      <c r="CF169" s="229">
        <v>5.2400000000000002E-2</v>
      </c>
      <c r="CG169" s="228">
        <v>2</v>
      </c>
      <c r="CH169" s="228">
        <v>1</v>
      </c>
      <c r="CI169" s="228">
        <v>0</v>
      </c>
      <c r="CJ169" s="229">
        <v>0.1875</v>
      </c>
      <c r="CK169" s="228">
        <v>0</v>
      </c>
      <c r="CL169" s="228">
        <v>0</v>
      </c>
      <c r="CM169" s="228">
        <v>0</v>
      </c>
      <c r="CN169" s="229">
        <v>0</v>
      </c>
      <c r="CO169" s="228">
        <v>75</v>
      </c>
      <c r="CP169" s="228">
        <v>71</v>
      </c>
      <c r="CQ169" s="228">
        <v>5</v>
      </c>
      <c r="CR169" s="229">
        <v>6.6299999999999998E-2</v>
      </c>
      <c r="CS169" s="228">
        <v>21</v>
      </c>
      <c r="CT169" s="228">
        <v>21</v>
      </c>
      <c r="CU169" s="228">
        <v>0</v>
      </c>
      <c r="CV169" s="229">
        <v>-1.24E-2</v>
      </c>
      <c r="CW169" s="228">
        <v>205</v>
      </c>
      <c r="CX169" s="228">
        <v>195</v>
      </c>
      <c r="CY169" s="228">
        <v>10</v>
      </c>
      <c r="CZ169" s="229">
        <v>5.1400000000000001E-2</v>
      </c>
      <c r="DA169" s="228">
        <v>37.700000000000003</v>
      </c>
      <c r="DB169" s="228">
        <v>36.53</v>
      </c>
      <c r="DC169" s="228">
        <v>1.17</v>
      </c>
      <c r="DD169" s="228">
        <v>1.17</v>
      </c>
      <c r="DE169" s="228">
        <v>58.46</v>
      </c>
      <c r="DF169" s="228">
        <v>58.61</v>
      </c>
      <c r="DG169" s="228">
        <v>-20.76</v>
      </c>
      <c r="DH169" s="228">
        <v>-0.15</v>
      </c>
      <c r="DI169" s="228">
        <v>37.869999999999997</v>
      </c>
      <c r="DJ169" s="228">
        <v>36.049999999999997</v>
      </c>
      <c r="DK169" s="228">
        <v>1.82</v>
      </c>
      <c r="DL169" s="228">
        <v>1.82</v>
      </c>
      <c r="DM169" s="228">
        <v>36.799999999999997</v>
      </c>
      <c r="DN169" s="228">
        <v>38.61</v>
      </c>
      <c r="DO169" s="228">
        <v>-1.81</v>
      </c>
      <c r="DP169" s="228">
        <v>-1.81</v>
      </c>
      <c r="DQ169" s="228">
        <v>0.28000000000000003</v>
      </c>
      <c r="DR169" s="228">
        <v>0.3</v>
      </c>
      <c r="DS169" s="228">
        <v>-0.02</v>
      </c>
      <c r="DT169" s="229">
        <v>-6.6699999999999995E-2</v>
      </c>
      <c r="DU169" s="231">
        <v>20000</v>
      </c>
      <c r="DV169" s="231">
        <v>17000</v>
      </c>
      <c r="DW169" s="228">
        <v>0.19</v>
      </c>
      <c r="DX169" s="228">
        <v>0.23</v>
      </c>
      <c r="DY169" s="228">
        <v>-0.04</v>
      </c>
      <c r="DZ169" s="229">
        <v>-0.1739</v>
      </c>
      <c r="EA169" s="229">
        <v>1.55E-2</v>
      </c>
      <c r="EB169" s="228">
        <v>800</v>
      </c>
      <c r="EC169" s="229">
        <v>2.8E-3</v>
      </c>
      <c r="ED169" s="229">
        <v>1.55E-2</v>
      </c>
      <c r="EE169" s="228">
        <v>-22.44</v>
      </c>
      <c r="EF169" s="229">
        <v>-1.2999999999999999E-3</v>
      </c>
      <c r="EG169" s="230">
        <v>15805</v>
      </c>
      <c r="EH169" s="230">
        <v>14483</v>
      </c>
      <c r="EI169" s="229">
        <v>9.1300000000000006E-2</v>
      </c>
      <c r="EJ169" s="229">
        <v>0.31009999999999999</v>
      </c>
      <c r="EK169" s="228">
        <v>42.7</v>
      </c>
      <c r="EL169" s="228">
        <v>7.23</v>
      </c>
      <c r="EM169" s="228">
        <v>30.52</v>
      </c>
      <c r="EN169" s="228">
        <v>6.73</v>
      </c>
      <c r="EO169" s="228">
        <v>80.44</v>
      </c>
      <c r="EP169" s="228">
        <v>117.69</v>
      </c>
      <c r="EQ169" s="228">
        <v>-37.25</v>
      </c>
      <c r="ER169" s="229">
        <v>-0.3165</v>
      </c>
      <c r="ES169" s="228">
        <v>80.760000000000005</v>
      </c>
      <c r="ET169" s="228">
        <v>20.58</v>
      </c>
      <c r="EU169" s="228">
        <v>108.34</v>
      </c>
      <c r="EV169" s="231">
        <v>1917916</v>
      </c>
      <c r="EW169" s="228">
        <v>209.67</v>
      </c>
      <c r="EX169" s="228">
        <v>200.13</v>
      </c>
      <c r="EY169" s="228">
        <v>9.5399999999999991</v>
      </c>
      <c r="EZ169" s="229">
        <v>4.7699999999999999E-2</v>
      </c>
      <c r="FA169" s="229">
        <v>6.0299999999999999E-2</v>
      </c>
      <c r="FB169" s="227" t="s">
        <v>567</v>
      </c>
      <c r="FC169">
        <f t="shared" si="3"/>
        <v>0</v>
      </c>
    </row>
    <row r="170" spans="1:159" ht="17.25" thickBot="1" x14ac:dyDescent="0.3">
      <c r="A170" s="226">
        <v>45940</v>
      </c>
      <c r="B170" s="227" t="s">
        <v>170</v>
      </c>
      <c r="C170" s="227" t="s">
        <v>680</v>
      </c>
      <c r="D170" s="228">
        <v>2500</v>
      </c>
      <c r="E170" s="228">
        <v>18</v>
      </c>
      <c r="F170" s="228">
        <v>202.83</v>
      </c>
      <c r="G170" s="228">
        <v>198.72</v>
      </c>
      <c r="H170" s="228">
        <v>4.1100000000000003</v>
      </c>
      <c r="I170" s="229">
        <v>2.07E-2</v>
      </c>
      <c r="J170" s="228">
        <v>201.69</v>
      </c>
      <c r="K170" s="228">
        <v>197.67</v>
      </c>
      <c r="L170" s="228">
        <v>4.0199999999999996</v>
      </c>
      <c r="M170" s="229">
        <v>2.0299999999999999E-2</v>
      </c>
      <c r="N170" s="228">
        <v>202.83</v>
      </c>
      <c r="O170" s="228">
        <v>198.72</v>
      </c>
      <c r="P170" s="228">
        <v>4.1100000000000003</v>
      </c>
      <c r="Q170" s="229">
        <v>2.07E-2</v>
      </c>
      <c r="R170" s="228">
        <v>203.81</v>
      </c>
      <c r="S170" s="228">
        <v>199.53</v>
      </c>
      <c r="T170" s="228">
        <v>4.28</v>
      </c>
      <c r="U170" s="229">
        <v>2.1499999999999998E-2</v>
      </c>
      <c r="V170" s="228">
        <v>205.73</v>
      </c>
      <c r="W170" s="228">
        <v>199.41</v>
      </c>
      <c r="X170" s="228">
        <v>6.32</v>
      </c>
      <c r="Y170" s="229">
        <v>3.1699999999999999E-2</v>
      </c>
      <c r="Z170" s="228">
        <v>1.1399999999999999</v>
      </c>
      <c r="AA170" s="228">
        <v>1.05</v>
      </c>
      <c r="AB170" s="228">
        <v>0.09</v>
      </c>
      <c r="AC170" s="229">
        <v>5.7000000000000002E-3</v>
      </c>
      <c r="AD170" s="228">
        <v>1.1399999999999999</v>
      </c>
      <c r="AE170" s="228">
        <v>1.05</v>
      </c>
      <c r="AF170" s="228">
        <v>0.09</v>
      </c>
      <c r="AG170" s="229">
        <v>5.7000000000000002E-3</v>
      </c>
      <c r="AH170" s="228">
        <v>2.12</v>
      </c>
      <c r="AI170" s="228">
        <v>1.86</v>
      </c>
      <c r="AJ170" s="228">
        <v>0.26</v>
      </c>
      <c r="AK170" s="229">
        <v>1.0500000000000001E-2</v>
      </c>
      <c r="AL170" s="228">
        <v>4.04</v>
      </c>
      <c r="AM170" s="228">
        <v>1.74</v>
      </c>
      <c r="AN170" s="228">
        <v>2.2999999999999998</v>
      </c>
      <c r="AO170" s="229">
        <v>0.02</v>
      </c>
      <c r="AP170" s="228">
        <v>203.25</v>
      </c>
      <c r="AQ170" s="228">
        <v>204.46</v>
      </c>
      <c r="AR170" s="228">
        <v>0</v>
      </c>
      <c r="AS170" s="228">
        <v>301</v>
      </c>
      <c r="AT170" s="228">
        <v>114</v>
      </c>
      <c r="AU170" s="228">
        <v>187</v>
      </c>
      <c r="AV170" s="229">
        <v>1.6414</v>
      </c>
      <c r="AW170" s="228">
        <v>282</v>
      </c>
      <c r="AX170" s="228">
        <v>107</v>
      </c>
      <c r="AY170" s="228">
        <v>175</v>
      </c>
      <c r="AZ170" s="229">
        <v>1.64</v>
      </c>
      <c r="BA170" s="228">
        <v>18</v>
      </c>
      <c r="BB170" s="228">
        <v>7</v>
      </c>
      <c r="BC170" s="228">
        <v>11</v>
      </c>
      <c r="BD170" s="229">
        <v>1.6423000000000001</v>
      </c>
      <c r="BE170" s="228">
        <v>1</v>
      </c>
      <c r="BF170" s="228">
        <v>0</v>
      </c>
      <c r="BG170" s="228">
        <v>1</v>
      </c>
      <c r="BH170" s="229">
        <v>2.2000000000000002</v>
      </c>
      <c r="BI170" s="228">
        <v>887</v>
      </c>
      <c r="BJ170" s="228">
        <v>324</v>
      </c>
      <c r="BK170" s="228">
        <v>563</v>
      </c>
      <c r="BL170" s="229">
        <v>1.7369000000000001</v>
      </c>
      <c r="BM170" s="228">
        <v>359</v>
      </c>
      <c r="BN170" s="228">
        <v>93</v>
      </c>
      <c r="BO170" s="228">
        <v>267</v>
      </c>
      <c r="BP170" s="229">
        <v>2.8811</v>
      </c>
      <c r="BQ170" s="230">
        <v>1547</v>
      </c>
      <c r="BR170" s="228">
        <v>531</v>
      </c>
      <c r="BS170" s="230">
        <v>1017</v>
      </c>
      <c r="BT170" s="229">
        <v>1.9159999999999999</v>
      </c>
      <c r="BU170" s="230">
        <v>7775496</v>
      </c>
      <c r="BV170" s="230">
        <v>4412137</v>
      </c>
      <c r="BW170" s="230">
        <v>3363359</v>
      </c>
      <c r="BX170" s="229">
        <v>0.76229999999999998</v>
      </c>
      <c r="BY170" s="228">
        <v>395</v>
      </c>
      <c r="BZ170" s="228">
        <v>367</v>
      </c>
      <c r="CA170" s="228">
        <v>28</v>
      </c>
      <c r="CB170" s="229">
        <v>7.5600000000000001E-2</v>
      </c>
      <c r="CC170" s="228">
        <v>375</v>
      </c>
      <c r="CD170" s="228">
        <v>348</v>
      </c>
      <c r="CE170" s="228">
        <v>27</v>
      </c>
      <c r="CF170" s="229">
        <v>7.7299999999999994E-2</v>
      </c>
      <c r="CG170" s="228">
        <v>19</v>
      </c>
      <c r="CH170" s="228">
        <v>18</v>
      </c>
      <c r="CI170" s="228">
        <v>1</v>
      </c>
      <c r="CJ170" s="229">
        <v>3.4000000000000002E-2</v>
      </c>
      <c r="CK170" s="228">
        <v>1</v>
      </c>
      <c r="CL170" s="228">
        <v>1</v>
      </c>
      <c r="CM170" s="228">
        <v>0</v>
      </c>
      <c r="CN170" s="229">
        <v>0.20830000000000001</v>
      </c>
      <c r="CO170" s="228">
        <v>233</v>
      </c>
      <c r="CP170" s="228">
        <v>222</v>
      </c>
      <c r="CQ170" s="228">
        <v>11</v>
      </c>
      <c r="CR170" s="229">
        <v>5.1400000000000001E-2</v>
      </c>
      <c r="CS170" s="228">
        <v>154</v>
      </c>
      <c r="CT170" s="228">
        <v>106</v>
      </c>
      <c r="CU170" s="228">
        <v>48</v>
      </c>
      <c r="CV170" s="229">
        <v>0.4541</v>
      </c>
      <c r="CW170" s="228">
        <v>783</v>
      </c>
      <c r="CX170" s="228">
        <v>696</v>
      </c>
      <c r="CY170" s="228">
        <v>87</v>
      </c>
      <c r="CZ170" s="229">
        <v>0.12559999999999999</v>
      </c>
      <c r="DA170" s="228">
        <v>35.18</v>
      </c>
      <c r="DB170" s="228">
        <v>33.97</v>
      </c>
      <c r="DC170" s="228">
        <v>1.21</v>
      </c>
      <c r="DD170" s="228">
        <v>1.21</v>
      </c>
      <c r="DE170" s="228">
        <v>47.29</v>
      </c>
      <c r="DF170" s="228">
        <v>47.33</v>
      </c>
      <c r="DG170" s="228">
        <v>-12.11</v>
      </c>
      <c r="DH170" s="228">
        <v>-0.04</v>
      </c>
      <c r="DI170" s="228">
        <v>35.200000000000003</v>
      </c>
      <c r="DJ170" s="228">
        <v>33.75</v>
      </c>
      <c r="DK170" s="228">
        <v>1.45</v>
      </c>
      <c r="DL170" s="228">
        <v>1.45</v>
      </c>
      <c r="DM170" s="228">
        <v>35.15</v>
      </c>
      <c r="DN170" s="228">
        <v>34.75</v>
      </c>
      <c r="DO170" s="228">
        <v>0.4</v>
      </c>
      <c r="DP170" s="228">
        <v>0.4</v>
      </c>
      <c r="DQ170" s="228">
        <v>0.66</v>
      </c>
      <c r="DR170" s="228">
        <v>0.48</v>
      </c>
      <c r="DS170" s="228">
        <v>0.18</v>
      </c>
      <c r="DT170" s="229">
        <v>0.375</v>
      </c>
      <c r="DU170" s="228">
        <v>210</v>
      </c>
      <c r="DV170" s="228">
        <v>190</v>
      </c>
      <c r="DW170" s="228">
        <v>0.4</v>
      </c>
      <c r="DX170" s="228">
        <v>0.28999999999999998</v>
      </c>
      <c r="DY170" s="228">
        <v>0.11</v>
      </c>
      <c r="DZ170" s="229">
        <v>0.37930000000000003</v>
      </c>
      <c r="EA170" s="229">
        <v>5.0599999999999999E-2</v>
      </c>
      <c r="EB170" s="230">
        <v>942500</v>
      </c>
      <c r="EC170" s="229">
        <v>4.7999999999999996E-3</v>
      </c>
      <c r="ED170" s="229">
        <v>5.0599999999999999E-2</v>
      </c>
      <c r="EE170" s="228">
        <v>1.21</v>
      </c>
      <c r="EF170" s="229">
        <v>6.0000000000000001E-3</v>
      </c>
      <c r="EG170" s="230">
        <v>1950876</v>
      </c>
      <c r="EH170" s="230">
        <v>1113302</v>
      </c>
      <c r="EI170" s="229">
        <v>0.75229999999999997</v>
      </c>
      <c r="EJ170" s="229">
        <v>0.25090000000000001</v>
      </c>
      <c r="EK170" s="228">
        <v>933.56</v>
      </c>
      <c r="EL170" s="228">
        <v>357.33</v>
      </c>
      <c r="EM170" s="228">
        <v>301.44</v>
      </c>
      <c r="EN170" s="228">
        <v>13.55</v>
      </c>
      <c r="EO170" s="231">
        <v>1592.32</v>
      </c>
      <c r="EP170" s="228">
        <v>533.94000000000005</v>
      </c>
      <c r="EQ170" s="231">
        <v>1058.3800000000001</v>
      </c>
      <c r="ER170" s="229">
        <v>1.9822</v>
      </c>
      <c r="ES170" s="228">
        <v>242.29</v>
      </c>
      <c r="ET170" s="228">
        <v>147</v>
      </c>
      <c r="EU170" s="228">
        <v>395.27</v>
      </c>
      <c r="EV170" s="231">
        <v>120138597</v>
      </c>
      <c r="EW170" s="228">
        <v>784.56</v>
      </c>
      <c r="EX170" s="228">
        <v>690.19</v>
      </c>
      <c r="EY170" s="228">
        <v>94.37</v>
      </c>
      <c r="EZ170" s="229">
        <v>0.13669999999999999</v>
      </c>
      <c r="FA170" s="229">
        <v>0.32129999999999997</v>
      </c>
      <c r="FB170" s="227" t="s">
        <v>555</v>
      </c>
      <c r="FC170">
        <f t="shared" si="3"/>
        <v>0</v>
      </c>
    </row>
    <row r="171" spans="1:159" ht="17.25" thickBot="1" x14ac:dyDescent="0.3">
      <c r="A171" s="226">
        <v>45940</v>
      </c>
      <c r="B171" s="227" t="s">
        <v>206</v>
      </c>
      <c r="C171" s="227" t="s">
        <v>606</v>
      </c>
      <c r="D171" s="228">
        <v>450</v>
      </c>
      <c r="E171" s="228">
        <v>18</v>
      </c>
      <c r="F171" s="231">
        <v>1627.9</v>
      </c>
      <c r="G171" s="231">
        <v>1587.9</v>
      </c>
      <c r="H171" s="228">
        <v>40</v>
      </c>
      <c r="I171" s="229">
        <v>2.52E-2</v>
      </c>
      <c r="J171" s="231">
        <v>1621.6</v>
      </c>
      <c r="K171" s="231">
        <v>1582.9</v>
      </c>
      <c r="L171" s="228">
        <v>38.700000000000003</v>
      </c>
      <c r="M171" s="229">
        <v>2.4400000000000002E-2</v>
      </c>
      <c r="N171" s="231">
        <v>1627.9</v>
      </c>
      <c r="O171" s="231">
        <v>1587.9</v>
      </c>
      <c r="P171" s="228">
        <v>40</v>
      </c>
      <c r="Q171" s="229">
        <v>2.52E-2</v>
      </c>
      <c r="R171" s="231">
        <v>1635.4</v>
      </c>
      <c r="S171" s="231">
        <v>1594.7</v>
      </c>
      <c r="T171" s="228">
        <v>40.700000000000003</v>
      </c>
      <c r="U171" s="229">
        <v>2.5499999999999998E-2</v>
      </c>
      <c r="V171" s="231">
        <v>1645.8</v>
      </c>
      <c r="W171" s="231">
        <v>1602.2</v>
      </c>
      <c r="X171" s="228">
        <v>43.6</v>
      </c>
      <c r="Y171" s="229">
        <v>2.7199999999999998E-2</v>
      </c>
      <c r="Z171" s="228">
        <v>6.3</v>
      </c>
      <c r="AA171" s="228">
        <v>5</v>
      </c>
      <c r="AB171" s="228">
        <v>1.3</v>
      </c>
      <c r="AC171" s="229">
        <v>3.8999999999999998E-3</v>
      </c>
      <c r="AD171" s="228">
        <v>6.3</v>
      </c>
      <c r="AE171" s="228">
        <v>5</v>
      </c>
      <c r="AF171" s="228">
        <v>1.3</v>
      </c>
      <c r="AG171" s="229">
        <v>3.8999999999999998E-3</v>
      </c>
      <c r="AH171" s="228">
        <v>13.8</v>
      </c>
      <c r="AI171" s="228">
        <v>11.8</v>
      </c>
      <c r="AJ171" s="228">
        <v>2</v>
      </c>
      <c r="AK171" s="229">
        <v>8.5000000000000006E-3</v>
      </c>
      <c r="AL171" s="228">
        <v>24.2</v>
      </c>
      <c r="AM171" s="228">
        <v>19.3</v>
      </c>
      <c r="AN171" s="228">
        <v>4.9000000000000004</v>
      </c>
      <c r="AO171" s="229">
        <v>1.49E-2</v>
      </c>
      <c r="AP171" s="231">
        <v>1625.19</v>
      </c>
      <c r="AQ171" s="231">
        <v>1630.55</v>
      </c>
      <c r="AR171" s="228">
        <v>0</v>
      </c>
      <c r="AS171" s="228">
        <v>265</v>
      </c>
      <c r="AT171" s="228">
        <v>518</v>
      </c>
      <c r="AU171" s="228">
        <v>-253</v>
      </c>
      <c r="AV171" s="229">
        <v>-0.48830000000000001</v>
      </c>
      <c r="AW171" s="228">
        <v>254</v>
      </c>
      <c r="AX171" s="228">
        <v>495</v>
      </c>
      <c r="AY171" s="228">
        <v>-241</v>
      </c>
      <c r="AZ171" s="229">
        <v>-0.48670000000000002</v>
      </c>
      <c r="BA171" s="228">
        <v>9</v>
      </c>
      <c r="BB171" s="228">
        <v>21</v>
      </c>
      <c r="BC171" s="228">
        <v>-12</v>
      </c>
      <c r="BD171" s="229">
        <v>-0.5655</v>
      </c>
      <c r="BE171" s="228">
        <v>2</v>
      </c>
      <c r="BF171" s="228">
        <v>2</v>
      </c>
      <c r="BG171" s="228">
        <v>0</v>
      </c>
      <c r="BH171" s="229">
        <v>0</v>
      </c>
      <c r="BI171" s="230">
        <v>1339</v>
      </c>
      <c r="BJ171" s="230">
        <v>2116</v>
      </c>
      <c r="BK171" s="228">
        <v>-778</v>
      </c>
      <c r="BL171" s="229">
        <v>-0.36749999999999999</v>
      </c>
      <c r="BM171" s="228">
        <v>485</v>
      </c>
      <c r="BN171" s="228">
        <v>901</v>
      </c>
      <c r="BO171" s="228">
        <v>-416</v>
      </c>
      <c r="BP171" s="229">
        <v>-0.4617</v>
      </c>
      <c r="BQ171" s="230">
        <v>2089</v>
      </c>
      <c r="BR171" s="230">
        <v>3535</v>
      </c>
      <c r="BS171" s="230">
        <v>-1446</v>
      </c>
      <c r="BT171" s="229">
        <v>-0.40920000000000001</v>
      </c>
      <c r="BU171" s="230">
        <v>1439892</v>
      </c>
      <c r="BV171" s="230">
        <v>3816470</v>
      </c>
      <c r="BW171" s="230">
        <v>-2376578</v>
      </c>
      <c r="BX171" s="229">
        <v>-0.62270000000000003</v>
      </c>
      <c r="BY171" s="228">
        <v>737</v>
      </c>
      <c r="BZ171" s="228">
        <v>751</v>
      </c>
      <c r="CA171" s="228">
        <v>-13</v>
      </c>
      <c r="CB171" s="229">
        <v>-1.7899999999999999E-2</v>
      </c>
      <c r="CC171" s="228">
        <v>727</v>
      </c>
      <c r="CD171" s="228">
        <v>740</v>
      </c>
      <c r="CE171" s="228">
        <v>-13</v>
      </c>
      <c r="CF171" s="229">
        <v>-1.7899999999999999E-2</v>
      </c>
      <c r="CG171" s="228">
        <v>9</v>
      </c>
      <c r="CH171" s="228">
        <v>9</v>
      </c>
      <c r="CI171" s="228">
        <v>-1</v>
      </c>
      <c r="CJ171" s="229">
        <v>-5.5599999999999997E-2</v>
      </c>
      <c r="CK171" s="228">
        <v>2</v>
      </c>
      <c r="CL171" s="228">
        <v>1</v>
      </c>
      <c r="CM171" s="228">
        <v>0</v>
      </c>
      <c r="CN171" s="229">
        <v>0.26319999999999999</v>
      </c>
      <c r="CO171" s="228">
        <v>323</v>
      </c>
      <c r="CP171" s="228">
        <v>276</v>
      </c>
      <c r="CQ171" s="228">
        <v>47</v>
      </c>
      <c r="CR171" s="229">
        <v>0.17100000000000001</v>
      </c>
      <c r="CS171" s="228">
        <v>217</v>
      </c>
      <c r="CT171" s="228">
        <v>191</v>
      </c>
      <c r="CU171" s="228">
        <v>27</v>
      </c>
      <c r="CV171" s="229">
        <v>0.14030000000000001</v>
      </c>
      <c r="CW171" s="230">
        <v>1278</v>
      </c>
      <c r="CX171" s="230">
        <v>1217</v>
      </c>
      <c r="CY171" s="228">
        <v>61</v>
      </c>
      <c r="CZ171" s="229">
        <v>4.9700000000000001E-2</v>
      </c>
      <c r="DA171" s="228">
        <v>29.94</v>
      </c>
      <c r="DB171" s="228">
        <v>31.59</v>
      </c>
      <c r="DC171" s="228">
        <v>-1.65</v>
      </c>
      <c r="DD171" s="228">
        <v>-1.65</v>
      </c>
      <c r="DE171" s="228">
        <v>47.46</v>
      </c>
      <c r="DF171" s="228">
        <v>47.46</v>
      </c>
      <c r="DG171" s="228">
        <v>-17.52</v>
      </c>
      <c r="DH171" s="228">
        <v>0</v>
      </c>
      <c r="DI171" s="228">
        <v>29.98</v>
      </c>
      <c r="DJ171" s="228">
        <v>31.52</v>
      </c>
      <c r="DK171" s="228">
        <v>-1.54</v>
      </c>
      <c r="DL171" s="228">
        <v>-1.54</v>
      </c>
      <c r="DM171" s="228">
        <v>29.83</v>
      </c>
      <c r="DN171" s="228">
        <v>31.76</v>
      </c>
      <c r="DO171" s="228">
        <v>-1.93</v>
      </c>
      <c r="DP171" s="228">
        <v>-1.93</v>
      </c>
      <c r="DQ171" s="228">
        <v>0.67</v>
      </c>
      <c r="DR171" s="228">
        <v>0.69</v>
      </c>
      <c r="DS171" s="228">
        <v>-0.02</v>
      </c>
      <c r="DT171" s="229">
        <v>-2.9000000000000001E-2</v>
      </c>
      <c r="DU171" s="231">
        <v>1820</v>
      </c>
      <c r="DV171" s="231">
        <v>1600</v>
      </c>
      <c r="DW171" s="228">
        <v>0.36</v>
      </c>
      <c r="DX171" s="228">
        <v>0.43</v>
      </c>
      <c r="DY171" s="228">
        <v>-7.0000000000000007E-2</v>
      </c>
      <c r="DZ171" s="229">
        <v>-0.1628</v>
      </c>
      <c r="EA171" s="229">
        <v>1.4200000000000001E-2</v>
      </c>
      <c r="EB171" s="230">
        <v>65250</v>
      </c>
      <c r="EC171" s="229">
        <v>4.5999999999999999E-3</v>
      </c>
      <c r="ED171" s="229">
        <v>1.4200000000000001E-2</v>
      </c>
      <c r="EE171" s="228">
        <v>5.36</v>
      </c>
      <c r="EF171" s="229">
        <v>3.3E-3</v>
      </c>
      <c r="EG171" s="230">
        <v>577708</v>
      </c>
      <c r="EH171" s="230">
        <v>720587</v>
      </c>
      <c r="EI171" s="229">
        <v>-0.1983</v>
      </c>
      <c r="EJ171" s="229">
        <v>0.4012</v>
      </c>
      <c r="EK171" s="231">
        <v>1402.34</v>
      </c>
      <c r="EL171" s="228">
        <v>471.64</v>
      </c>
      <c r="EM171" s="228">
        <v>264.64</v>
      </c>
      <c r="EN171" s="228">
        <v>25.81</v>
      </c>
      <c r="EO171" s="231">
        <v>2138.63</v>
      </c>
      <c r="EP171" s="231">
        <v>3531.33</v>
      </c>
      <c r="EQ171" s="231">
        <v>-1392.7</v>
      </c>
      <c r="ER171" s="229">
        <v>-0.39439999999999997</v>
      </c>
      <c r="ES171" s="228">
        <v>337.05</v>
      </c>
      <c r="ET171" s="228">
        <v>204.97</v>
      </c>
      <c r="EU171" s="228">
        <v>737.3</v>
      </c>
      <c r="EV171" s="231">
        <v>25234534</v>
      </c>
      <c r="EW171" s="231">
        <v>1279.33</v>
      </c>
      <c r="EX171" s="231">
        <v>1188.57</v>
      </c>
      <c r="EY171" s="228">
        <v>90.76</v>
      </c>
      <c r="EZ171" s="229">
        <v>7.6399999999999996E-2</v>
      </c>
      <c r="FA171" s="229">
        <v>0.311</v>
      </c>
      <c r="FB171" s="227" t="s">
        <v>556</v>
      </c>
      <c r="FC171">
        <f t="shared" si="3"/>
        <v>0</v>
      </c>
    </row>
    <row r="172" spans="1:159" ht="17.25" thickBot="1" x14ac:dyDescent="0.3">
      <c r="A172" s="226">
        <v>45940</v>
      </c>
      <c r="B172" s="227" t="s">
        <v>172</v>
      </c>
      <c r="C172" s="227" t="s">
        <v>279</v>
      </c>
      <c r="D172" s="228">
        <v>3175</v>
      </c>
      <c r="E172" s="228">
        <v>18</v>
      </c>
      <c r="F172" s="228">
        <v>292.60000000000002</v>
      </c>
      <c r="G172" s="228">
        <v>287.75</v>
      </c>
      <c r="H172" s="228">
        <v>4.8499999999999996</v>
      </c>
      <c r="I172" s="229">
        <v>1.6899999999999998E-2</v>
      </c>
      <c r="J172" s="228">
        <v>291.60000000000002</v>
      </c>
      <c r="K172" s="228">
        <v>286.7</v>
      </c>
      <c r="L172" s="228">
        <v>4.9000000000000004</v>
      </c>
      <c r="M172" s="229">
        <v>1.7100000000000001E-2</v>
      </c>
      <c r="N172" s="228">
        <v>292.60000000000002</v>
      </c>
      <c r="O172" s="228">
        <v>287.75</v>
      </c>
      <c r="P172" s="228">
        <v>4.8499999999999996</v>
      </c>
      <c r="Q172" s="229">
        <v>1.6899999999999998E-2</v>
      </c>
      <c r="R172" s="228">
        <v>294.05</v>
      </c>
      <c r="S172" s="228">
        <v>286.5</v>
      </c>
      <c r="T172" s="228">
        <v>7.55</v>
      </c>
      <c r="U172" s="229">
        <v>2.64E-2</v>
      </c>
      <c r="V172" s="228">
        <v>290</v>
      </c>
      <c r="W172" s="228">
        <v>290</v>
      </c>
      <c r="X172" s="228">
        <v>0</v>
      </c>
      <c r="Y172" s="229">
        <v>0</v>
      </c>
      <c r="Z172" s="228">
        <v>1</v>
      </c>
      <c r="AA172" s="228">
        <v>1.05</v>
      </c>
      <c r="AB172" s="228">
        <v>-0.05</v>
      </c>
      <c r="AC172" s="229">
        <v>3.3999999999999998E-3</v>
      </c>
      <c r="AD172" s="228">
        <v>1</v>
      </c>
      <c r="AE172" s="228">
        <v>1.05</v>
      </c>
      <c r="AF172" s="228">
        <v>-0.05</v>
      </c>
      <c r="AG172" s="229">
        <v>3.3999999999999998E-3</v>
      </c>
      <c r="AH172" s="228">
        <v>2.4500000000000002</v>
      </c>
      <c r="AI172" s="228">
        <v>-0.2</v>
      </c>
      <c r="AJ172" s="228">
        <v>2.65</v>
      </c>
      <c r="AK172" s="229">
        <v>8.3999999999999995E-3</v>
      </c>
      <c r="AL172" s="228">
        <v>-1.6</v>
      </c>
      <c r="AM172" s="228">
        <v>3.3</v>
      </c>
      <c r="AN172" s="228">
        <v>-4.9000000000000004</v>
      </c>
      <c r="AO172" s="229">
        <v>-5.4999999999999997E-3</v>
      </c>
      <c r="AP172" s="228">
        <v>291.61</v>
      </c>
      <c r="AQ172" s="228">
        <v>293.83</v>
      </c>
      <c r="AR172" s="228">
        <v>0</v>
      </c>
      <c r="AS172" s="228">
        <v>37</v>
      </c>
      <c r="AT172" s="228">
        <v>28</v>
      </c>
      <c r="AU172" s="228">
        <v>10</v>
      </c>
      <c r="AV172" s="229">
        <v>0.3569</v>
      </c>
      <c r="AW172" s="228">
        <v>36</v>
      </c>
      <c r="AX172" s="228">
        <v>27</v>
      </c>
      <c r="AY172" s="228">
        <v>9</v>
      </c>
      <c r="AZ172" s="229">
        <v>0.31759999999999999</v>
      </c>
      <c r="BA172" s="228">
        <v>1</v>
      </c>
      <c r="BB172" s="228">
        <v>0</v>
      </c>
      <c r="BC172" s="228">
        <v>1</v>
      </c>
      <c r="BD172" s="229">
        <v>12</v>
      </c>
      <c r="BE172" s="228">
        <v>0</v>
      </c>
      <c r="BF172" s="228">
        <v>0</v>
      </c>
      <c r="BG172" s="228">
        <v>0</v>
      </c>
      <c r="BH172" s="229">
        <v>0</v>
      </c>
      <c r="BI172" s="228">
        <v>20</v>
      </c>
      <c r="BJ172" s="228">
        <v>11</v>
      </c>
      <c r="BK172" s="228">
        <v>9</v>
      </c>
      <c r="BL172" s="229">
        <v>0.79510000000000003</v>
      </c>
      <c r="BM172" s="228">
        <v>9</v>
      </c>
      <c r="BN172" s="228">
        <v>5</v>
      </c>
      <c r="BO172" s="228">
        <v>4</v>
      </c>
      <c r="BP172" s="229">
        <v>0.73580000000000001</v>
      </c>
      <c r="BQ172" s="228">
        <v>66</v>
      </c>
      <c r="BR172" s="228">
        <v>44</v>
      </c>
      <c r="BS172" s="228">
        <v>22</v>
      </c>
      <c r="BT172" s="229">
        <v>0.51270000000000004</v>
      </c>
      <c r="BU172" s="230">
        <v>10593519</v>
      </c>
      <c r="BV172" s="230">
        <v>7730067</v>
      </c>
      <c r="BW172" s="230">
        <v>2863452</v>
      </c>
      <c r="BX172" s="229">
        <v>0.37040000000000001</v>
      </c>
      <c r="BY172" s="230">
        <v>2326</v>
      </c>
      <c r="BZ172" s="230">
        <v>2362</v>
      </c>
      <c r="CA172" s="228">
        <v>-35</v>
      </c>
      <c r="CB172" s="229">
        <v>-1.49E-2</v>
      </c>
      <c r="CC172" s="230">
        <v>2224</v>
      </c>
      <c r="CD172" s="230">
        <v>2258</v>
      </c>
      <c r="CE172" s="228">
        <v>-34</v>
      </c>
      <c r="CF172" s="229">
        <v>-1.5100000000000001E-2</v>
      </c>
      <c r="CG172" s="228">
        <v>98</v>
      </c>
      <c r="CH172" s="228">
        <v>99</v>
      </c>
      <c r="CI172" s="228">
        <v>-1</v>
      </c>
      <c r="CJ172" s="229">
        <v>-1.21E-2</v>
      </c>
      <c r="CK172" s="228">
        <v>4</v>
      </c>
      <c r="CL172" s="228">
        <v>4</v>
      </c>
      <c r="CM172" s="228">
        <v>0</v>
      </c>
      <c r="CN172" s="229">
        <v>0</v>
      </c>
      <c r="CO172" s="228">
        <v>628</v>
      </c>
      <c r="CP172" s="228">
        <v>648</v>
      </c>
      <c r="CQ172" s="228">
        <v>-20</v>
      </c>
      <c r="CR172" s="229">
        <v>-3.0200000000000001E-2</v>
      </c>
      <c r="CS172" s="228">
        <v>272</v>
      </c>
      <c r="CT172" s="228">
        <v>280</v>
      </c>
      <c r="CU172" s="228">
        <v>-8</v>
      </c>
      <c r="CV172" s="229">
        <v>-2.9100000000000001E-2</v>
      </c>
      <c r="CW172" s="230">
        <v>3227</v>
      </c>
      <c r="CX172" s="230">
        <v>3290</v>
      </c>
      <c r="CY172" s="228">
        <v>-63</v>
      </c>
      <c r="CZ172" s="229">
        <v>-1.9099999999999999E-2</v>
      </c>
      <c r="DA172" s="228">
        <v>44.65</v>
      </c>
      <c r="DB172" s="228">
        <v>48.55</v>
      </c>
      <c r="DC172" s="228">
        <v>-3.9</v>
      </c>
      <c r="DD172" s="228">
        <v>-3.9</v>
      </c>
      <c r="DE172" s="228">
        <v>46.74</v>
      </c>
      <c r="DF172" s="228">
        <v>46.8</v>
      </c>
      <c r="DG172" s="228">
        <v>-2.09</v>
      </c>
      <c r="DH172" s="228">
        <v>-0.06</v>
      </c>
      <c r="DI172" s="228">
        <v>44.36</v>
      </c>
      <c r="DJ172" s="228">
        <v>50.25</v>
      </c>
      <c r="DK172" s="228">
        <v>-5.89</v>
      </c>
      <c r="DL172" s="228">
        <v>-5.89</v>
      </c>
      <c r="DM172" s="228">
        <v>45.35</v>
      </c>
      <c r="DN172" s="228">
        <v>44.64</v>
      </c>
      <c r="DO172" s="228">
        <v>0.71</v>
      </c>
      <c r="DP172" s="228">
        <v>0.71</v>
      </c>
      <c r="DQ172" s="228">
        <v>0.43</v>
      </c>
      <c r="DR172" s="228">
        <v>0.43</v>
      </c>
      <c r="DS172" s="228">
        <v>0</v>
      </c>
      <c r="DT172" s="229">
        <v>0</v>
      </c>
      <c r="DU172" s="228">
        <v>300</v>
      </c>
      <c r="DV172" s="228">
        <v>250</v>
      </c>
      <c r="DW172" s="228">
        <v>0.42</v>
      </c>
      <c r="DX172" s="228">
        <v>0.43</v>
      </c>
      <c r="DY172" s="228">
        <v>-0.01</v>
      </c>
      <c r="DZ172" s="229">
        <v>-2.3300000000000001E-2</v>
      </c>
      <c r="EA172" s="229">
        <v>4.3900000000000002E-2</v>
      </c>
      <c r="EB172" s="230">
        <v>3530600</v>
      </c>
      <c r="EC172" s="229">
        <v>5.0000000000000001E-3</v>
      </c>
      <c r="ED172" s="229">
        <v>4.3900000000000002E-2</v>
      </c>
      <c r="EE172" s="228">
        <v>2.2200000000000002</v>
      </c>
      <c r="EF172" s="229">
        <v>7.6E-3</v>
      </c>
      <c r="EG172" s="230">
        <v>4483751</v>
      </c>
      <c r="EH172" s="230">
        <v>2566586</v>
      </c>
      <c r="EI172" s="229">
        <v>0.747</v>
      </c>
      <c r="EJ172" s="229">
        <v>0.42330000000000001</v>
      </c>
      <c r="EK172" s="228">
        <v>20.74</v>
      </c>
      <c r="EL172" s="228">
        <v>7.66</v>
      </c>
      <c r="EM172" s="228">
        <v>37.32</v>
      </c>
      <c r="EN172" s="228">
        <v>10.68</v>
      </c>
      <c r="EO172" s="228">
        <v>65.72</v>
      </c>
      <c r="EP172" s="228">
        <v>43.04</v>
      </c>
      <c r="EQ172" s="228">
        <v>22.68</v>
      </c>
      <c r="ER172" s="229">
        <v>0.52690000000000003</v>
      </c>
      <c r="ES172" s="228">
        <v>620.39</v>
      </c>
      <c r="ET172" s="228">
        <v>241.52</v>
      </c>
      <c r="EU172" s="231">
        <v>2326.87</v>
      </c>
      <c r="EV172" s="231">
        <v>91351468</v>
      </c>
      <c r="EW172" s="231">
        <v>3188.77</v>
      </c>
      <c r="EX172" s="231">
        <v>3209.85</v>
      </c>
      <c r="EY172" s="228">
        <v>-21.08</v>
      </c>
      <c r="EZ172" s="229">
        <v>-6.6E-3</v>
      </c>
      <c r="FA172" s="229">
        <v>1.2073</v>
      </c>
      <c r="FB172" s="227" t="s">
        <v>556</v>
      </c>
      <c r="FC172">
        <f t="shared" si="3"/>
        <v>0</v>
      </c>
    </row>
    <row r="173" spans="1:159" ht="17.25" thickBot="1" x14ac:dyDescent="0.3">
      <c r="A173" s="226">
        <v>45940</v>
      </c>
      <c r="B173" s="227" t="s">
        <v>175</v>
      </c>
      <c r="C173" s="227" t="s">
        <v>280</v>
      </c>
      <c r="D173" s="228">
        <v>1275</v>
      </c>
      <c r="E173" s="228">
        <v>18</v>
      </c>
      <c r="F173" s="228">
        <v>374.65</v>
      </c>
      <c r="G173" s="228">
        <v>373.7</v>
      </c>
      <c r="H173" s="228">
        <v>0.95</v>
      </c>
      <c r="I173" s="229">
        <v>2.5000000000000001E-3</v>
      </c>
      <c r="J173" s="228">
        <v>372.95</v>
      </c>
      <c r="K173" s="228">
        <v>371.6</v>
      </c>
      <c r="L173" s="228">
        <v>1.35</v>
      </c>
      <c r="M173" s="229">
        <v>3.5999999999999999E-3</v>
      </c>
      <c r="N173" s="228">
        <v>374.65</v>
      </c>
      <c r="O173" s="228">
        <v>373.7</v>
      </c>
      <c r="P173" s="228">
        <v>0.95</v>
      </c>
      <c r="Q173" s="229">
        <v>2.5000000000000001E-3</v>
      </c>
      <c r="R173" s="228">
        <v>374.15</v>
      </c>
      <c r="S173" s="228">
        <v>372.35</v>
      </c>
      <c r="T173" s="228">
        <v>1.8</v>
      </c>
      <c r="U173" s="229">
        <v>4.7999999999999996E-3</v>
      </c>
      <c r="V173" s="228">
        <v>376.1</v>
      </c>
      <c r="W173" s="228">
        <v>374.4</v>
      </c>
      <c r="X173" s="228">
        <v>1.7</v>
      </c>
      <c r="Y173" s="229">
        <v>4.4999999999999997E-3</v>
      </c>
      <c r="Z173" s="228">
        <v>1.7</v>
      </c>
      <c r="AA173" s="228">
        <v>2.1</v>
      </c>
      <c r="AB173" s="228">
        <v>-0.4</v>
      </c>
      <c r="AC173" s="229">
        <v>4.5999999999999999E-3</v>
      </c>
      <c r="AD173" s="228">
        <v>1.7</v>
      </c>
      <c r="AE173" s="228">
        <v>2.1</v>
      </c>
      <c r="AF173" s="228">
        <v>-0.4</v>
      </c>
      <c r="AG173" s="229">
        <v>4.5999999999999999E-3</v>
      </c>
      <c r="AH173" s="228">
        <v>1.2</v>
      </c>
      <c r="AI173" s="228">
        <v>0.75</v>
      </c>
      <c r="AJ173" s="228">
        <v>0.45</v>
      </c>
      <c r="AK173" s="229">
        <v>3.2000000000000002E-3</v>
      </c>
      <c r="AL173" s="228">
        <v>3.15</v>
      </c>
      <c r="AM173" s="228">
        <v>2.8</v>
      </c>
      <c r="AN173" s="228">
        <v>0.35</v>
      </c>
      <c r="AO173" s="229">
        <v>8.3999999999999995E-3</v>
      </c>
      <c r="AP173" s="228">
        <v>376.72</v>
      </c>
      <c r="AQ173" s="228">
        <v>375.66</v>
      </c>
      <c r="AR173" s="228">
        <v>0</v>
      </c>
      <c r="AS173" s="228">
        <v>390</v>
      </c>
      <c r="AT173" s="228">
        <v>213</v>
      </c>
      <c r="AU173" s="228">
        <v>177</v>
      </c>
      <c r="AV173" s="229">
        <v>0.83199999999999996</v>
      </c>
      <c r="AW173" s="228">
        <v>262</v>
      </c>
      <c r="AX173" s="228">
        <v>159</v>
      </c>
      <c r="AY173" s="228">
        <v>103</v>
      </c>
      <c r="AZ173" s="229">
        <v>0.64859999999999995</v>
      </c>
      <c r="BA173" s="228">
        <v>117</v>
      </c>
      <c r="BB173" s="228">
        <v>48</v>
      </c>
      <c r="BC173" s="228">
        <v>69</v>
      </c>
      <c r="BD173" s="229">
        <v>1.4582999999999999</v>
      </c>
      <c r="BE173" s="228">
        <v>10</v>
      </c>
      <c r="BF173" s="228">
        <v>6</v>
      </c>
      <c r="BG173" s="228">
        <v>4</v>
      </c>
      <c r="BH173" s="229">
        <v>0.73599999999999999</v>
      </c>
      <c r="BI173" s="228">
        <v>603</v>
      </c>
      <c r="BJ173" s="228">
        <v>458</v>
      </c>
      <c r="BK173" s="228">
        <v>145</v>
      </c>
      <c r="BL173" s="229">
        <v>0.31619999999999998</v>
      </c>
      <c r="BM173" s="228">
        <v>241</v>
      </c>
      <c r="BN173" s="228">
        <v>200</v>
      </c>
      <c r="BO173" s="228">
        <v>41</v>
      </c>
      <c r="BP173" s="229">
        <v>0.2049</v>
      </c>
      <c r="BQ173" s="230">
        <v>1234</v>
      </c>
      <c r="BR173" s="228">
        <v>871</v>
      </c>
      <c r="BS173" s="228">
        <v>363</v>
      </c>
      <c r="BT173" s="229">
        <v>0.41649999999999998</v>
      </c>
      <c r="BU173" s="230">
        <v>3865532</v>
      </c>
      <c r="BV173" s="230">
        <v>5101646</v>
      </c>
      <c r="BW173" s="230">
        <v>-1236114</v>
      </c>
      <c r="BX173" s="229">
        <v>-0.24229999999999999</v>
      </c>
      <c r="BY173" s="230">
        <v>3154</v>
      </c>
      <c r="BZ173" s="230">
        <v>3049</v>
      </c>
      <c r="CA173" s="228">
        <v>105</v>
      </c>
      <c r="CB173" s="229">
        <v>3.44E-2</v>
      </c>
      <c r="CC173" s="230">
        <v>2622</v>
      </c>
      <c r="CD173" s="230">
        <v>2604</v>
      </c>
      <c r="CE173" s="228">
        <v>18</v>
      </c>
      <c r="CF173" s="229">
        <v>6.7999999999999996E-3</v>
      </c>
      <c r="CG173" s="228">
        <v>514</v>
      </c>
      <c r="CH173" s="228">
        <v>432</v>
      </c>
      <c r="CI173" s="228">
        <v>83</v>
      </c>
      <c r="CJ173" s="229">
        <v>0.1913</v>
      </c>
      <c r="CK173" s="228">
        <v>18</v>
      </c>
      <c r="CL173" s="228">
        <v>13</v>
      </c>
      <c r="CM173" s="228">
        <v>5</v>
      </c>
      <c r="CN173" s="229">
        <v>0.3523</v>
      </c>
      <c r="CO173" s="228">
        <v>993</v>
      </c>
      <c r="CP173" s="228">
        <v>961</v>
      </c>
      <c r="CQ173" s="228">
        <v>32</v>
      </c>
      <c r="CR173" s="229">
        <v>3.3700000000000001E-2</v>
      </c>
      <c r="CS173" s="228">
        <v>882</v>
      </c>
      <c r="CT173" s="228">
        <v>874</v>
      </c>
      <c r="CU173" s="228">
        <v>7</v>
      </c>
      <c r="CV173" s="229">
        <v>8.3999999999999995E-3</v>
      </c>
      <c r="CW173" s="230">
        <v>5029</v>
      </c>
      <c r="CX173" s="230">
        <v>4884</v>
      </c>
      <c r="CY173" s="228">
        <v>145</v>
      </c>
      <c r="CZ173" s="229">
        <v>2.9600000000000001E-2</v>
      </c>
      <c r="DA173" s="228">
        <v>26.43</v>
      </c>
      <c r="DB173" s="228">
        <v>26.97</v>
      </c>
      <c r="DC173" s="228">
        <v>-0.54</v>
      </c>
      <c r="DD173" s="228">
        <v>-0.54</v>
      </c>
      <c r="DE173" s="228">
        <v>45.35</v>
      </c>
      <c r="DF173" s="228">
        <v>45.47</v>
      </c>
      <c r="DG173" s="228">
        <v>-18.920000000000002</v>
      </c>
      <c r="DH173" s="228">
        <v>-0.12</v>
      </c>
      <c r="DI173" s="228">
        <v>26.37</v>
      </c>
      <c r="DJ173" s="228">
        <v>26.94</v>
      </c>
      <c r="DK173" s="228">
        <v>-0.56999999999999995</v>
      </c>
      <c r="DL173" s="228">
        <v>-0.56999999999999995</v>
      </c>
      <c r="DM173" s="228">
        <v>26.59</v>
      </c>
      <c r="DN173" s="228">
        <v>27.04</v>
      </c>
      <c r="DO173" s="228">
        <v>-0.45</v>
      </c>
      <c r="DP173" s="228">
        <v>-0.45</v>
      </c>
      <c r="DQ173" s="228">
        <v>0.89</v>
      </c>
      <c r="DR173" s="228">
        <v>0.91</v>
      </c>
      <c r="DS173" s="228">
        <v>-0.02</v>
      </c>
      <c r="DT173" s="229">
        <v>-2.1999999999999999E-2</v>
      </c>
      <c r="DU173" s="228">
        <v>380</v>
      </c>
      <c r="DV173" s="228">
        <v>370</v>
      </c>
      <c r="DW173" s="228">
        <v>0.4</v>
      </c>
      <c r="DX173" s="228">
        <v>0.44</v>
      </c>
      <c r="DY173" s="228">
        <v>-0.04</v>
      </c>
      <c r="DZ173" s="229">
        <v>-9.0899999999999995E-2</v>
      </c>
      <c r="EA173" s="229">
        <v>0.16880000000000001</v>
      </c>
      <c r="EB173" s="230">
        <v>11883000</v>
      </c>
      <c r="EC173" s="229">
        <v>-1.2999999999999999E-3</v>
      </c>
      <c r="ED173" s="229">
        <v>0.16880000000000001</v>
      </c>
      <c r="EE173" s="228">
        <v>-1.06</v>
      </c>
      <c r="EF173" s="229">
        <v>-2.8E-3</v>
      </c>
      <c r="EG173" s="230">
        <v>2336259</v>
      </c>
      <c r="EH173" s="230">
        <v>3508863</v>
      </c>
      <c r="EI173" s="229">
        <v>-0.3342</v>
      </c>
      <c r="EJ173" s="229">
        <v>0.60440000000000005</v>
      </c>
      <c r="EK173" s="228">
        <v>632.63</v>
      </c>
      <c r="EL173" s="228">
        <v>241.51</v>
      </c>
      <c r="EM173" s="228">
        <v>391.44</v>
      </c>
      <c r="EN173" s="228">
        <v>44.27</v>
      </c>
      <c r="EO173" s="231">
        <v>1265.5899999999999</v>
      </c>
      <c r="EP173" s="228">
        <v>888.7</v>
      </c>
      <c r="EQ173" s="228">
        <v>376.89</v>
      </c>
      <c r="ER173" s="229">
        <v>0.42409999999999998</v>
      </c>
      <c r="ES173" s="231">
        <v>1045.68</v>
      </c>
      <c r="ET173" s="228">
        <v>861.03</v>
      </c>
      <c r="EU173" s="231">
        <v>3153.5</v>
      </c>
      <c r="EV173" s="231">
        <v>187084550</v>
      </c>
      <c r="EW173" s="231">
        <v>5060.2</v>
      </c>
      <c r="EX173" s="231">
        <v>4906.16</v>
      </c>
      <c r="EY173" s="228">
        <v>154.04</v>
      </c>
      <c r="EZ173" s="229">
        <v>3.1399999999999997E-2</v>
      </c>
      <c r="FA173" s="229">
        <v>0.71750000000000003</v>
      </c>
      <c r="FB173" s="227" t="s">
        <v>555</v>
      </c>
      <c r="FC173">
        <f t="shared" si="3"/>
        <v>0</v>
      </c>
    </row>
    <row r="174" spans="1:159" ht="17.25" thickBot="1" x14ac:dyDescent="0.3">
      <c r="A174" s="226">
        <v>45940</v>
      </c>
      <c r="B174" s="227" t="s">
        <v>193</v>
      </c>
      <c r="C174" s="227" t="s">
        <v>281</v>
      </c>
      <c r="D174" s="228">
        <v>500</v>
      </c>
      <c r="E174" s="228">
        <v>18</v>
      </c>
      <c r="F174" s="231">
        <v>1387.8</v>
      </c>
      <c r="G174" s="231">
        <v>1381.9</v>
      </c>
      <c r="H174" s="228">
        <v>5.9</v>
      </c>
      <c r="I174" s="229">
        <v>4.3E-3</v>
      </c>
      <c r="J174" s="231">
        <v>1381.7</v>
      </c>
      <c r="K174" s="231">
        <v>1377.8</v>
      </c>
      <c r="L174" s="228">
        <v>3.9</v>
      </c>
      <c r="M174" s="229">
        <v>2.8E-3</v>
      </c>
      <c r="N174" s="231">
        <v>1387.8</v>
      </c>
      <c r="O174" s="231">
        <v>1381.9</v>
      </c>
      <c r="P174" s="228">
        <v>5.9</v>
      </c>
      <c r="Q174" s="229">
        <v>4.3E-3</v>
      </c>
      <c r="R174" s="231">
        <v>1395.6</v>
      </c>
      <c r="S174" s="231">
        <v>1389.3</v>
      </c>
      <c r="T174" s="228">
        <v>6.3</v>
      </c>
      <c r="U174" s="229">
        <v>4.4999999999999997E-3</v>
      </c>
      <c r="V174" s="231">
        <v>1403.7</v>
      </c>
      <c r="W174" s="231">
        <v>1398.1</v>
      </c>
      <c r="X174" s="228">
        <v>5.6</v>
      </c>
      <c r="Y174" s="229">
        <v>4.0000000000000001E-3</v>
      </c>
      <c r="Z174" s="228">
        <v>6.1</v>
      </c>
      <c r="AA174" s="228">
        <v>4.0999999999999996</v>
      </c>
      <c r="AB174" s="228">
        <v>2</v>
      </c>
      <c r="AC174" s="229">
        <v>4.4000000000000003E-3</v>
      </c>
      <c r="AD174" s="228">
        <v>6.1</v>
      </c>
      <c r="AE174" s="228">
        <v>4.0999999999999996</v>
      </c>
      <c r="AF174" s="228">
        <v>2</v>
      </c>
      <c r="AG174" s="229">
        <v>4.4000000000000003E-3</v>
      </c>
      <c r="AH174" s="228">
        <v>13.9</v>
      </c>
      <c r="AI174" s="228">
        <v>11.5</v>
      </c>
      <c r="AJ174" s="228">
        <v>2.4</v>
      </c>
      <c r="AK174" s="229">
        <v>1.01E-2</v>
      </c>
      <c r="AL174" s="228">
        <v>22</v>
      </c>
      <c r="AM174" s="228">
        <v>20.3</v>
      </c>
      <c r="AN174" s="228">
        <v>1.7</v>
      </c>
      <c r="AO174" s="229">
        <v>1.5900000000000001E-2</v>
      </c>
      <c r="AP174" s="231">
        <v>1388.88</v>
      </c>
      <c r="AQ174" s="231">
        <v>1396.27</v>
      </c>
      <c r="AR174" s="228">
        <v>0</v>
      </c>
      <c r="AS174" s="230">
        <v>1520</v>
      </c>
      <c r="AT174" s="230">
        <v>1566</v>
      </c>
      <c r="AU174" s="228">
        <v>-46</v>
      </c>
      <c r="AV174" s="229">
        <v>-2.92E-2</v>
      </c>
      <c r="AW174" s="230">
        <v>1233</v>
      </c>
      <c r="AX174" s="230">
        <v>1386</v>
      </c>
      <c r="AY174" s="228">
        <v>-153</v>
      </c>
      <c r="AZ174" s="229">
        <v>-0.11</v>
      </c>
      <c r="BA174" s="228">
        <v>239</v>
      </c>
      <c r="BB174" s="228">
        <v>166</v>
      </c>
      <c r="BC174" s="228">
        <v>73</v>
      </c>
      <c r="BD174" s="229">
        <v>0.443</v>
      </c>
      <c r="BE174" s="228">
        <v>48</v>
      </c>
      <c r="BF174" s="228">
        <v>14</v>
      </c>
      <c r="BG174" s="228">
        <v>33</v>
      </c>
      <c r="BH174" s="229">
        <v>2.3744000000000001</v>
      </c>
      <c r="BI174" s="230">
        <v>4892</v>
      </c>
      <c r="BJ174" s="230">
        <v>5692</v>
      </c>
      <c r="BK174" s="228">
        <v>-800</v>
      </c>
      <c r="BL174" s="229">
        <v>-0.14050000000000001</v>
      </c>
      <c r="BM174" s="230">
        <v>2587</v>
      </c>
      <c r="BN174" s="230">
        <v>3215</v>
      </c>
      <c r="BO174" s="228">
        <v>-628</v>
      </c>
      <c r="BP174" s="229">
        <v>-0.19520000000000001</v>
      </c>
      <c r="BQ174" s="230">
        <v>8999</v>
      </c>
      <c r="BR174" s="230">
        <v>10472</v>
      </c>
      <c r="BS174" s="230">
        <v>-1473</v>
      </c>
      <c r="BT174" s="229">
        <v>-0.14069999999999999</v>
      </c>
      <c r="BU174" s="230">
        <v>6871600</v>
      </c>
      <c r="BV174" s="230">
        <v>9797453</v>
      </c>
      <c r="BW174" s="230">
        <v>-2925853</v>
      </c>
      <c r="BX174" s="229">
        <v>-0.29859999999999998</v>
      </c>
      <c r="BY174" s="230">
        <v>18992</v>
      </c>
      <c r="BZ174" s="230">
        <v>18929</v>
      </c>
      <c r="CA174" s="228">
        <v>63</v>
      </c>
      <c r="CB174" s="229">
        <v>3.3E-3</v>
      </c>
      <c r="CC174" s="230">
        <v>17692</v>
      </c>
      <c r="CD174" s="230">
        <v>17805</v>
      </c>
      <c r="CE174" s="228">
        <v>-113</v>
      </c>
      <c r="CF174" s="229">
        <v>-6.4000000000000003E-3</v>
      </c>
      <c r="CG174" s="230">
        <v>1064</v>
      </c>
      <c r="CH174" s="228">
        <v>916</v>
      </c>
      <c r="CI174" s="228">
        <v>148</v>
      </c>
      <c r="CJ174" s="229">
        <v>0.16120000000000001</v>
      </c>
      <c r="CK174" s="228">
        <v>236</v>
      </c>
      <c r="CL174" s="228">
        <v>208</v>
      </c>
      <c r="CM174" s="228">
        <v>29</v>
      </c>
      <c r="CN174" s="229">
        <v>0.13789999999999999</v>
      </c>
      <c r="CO174" s="230">
        <v>7007</v>
      </c>
      <c r="CP174" s="230">
        <v>7000</v>
      </c>
      <c r="CQ174" s="228">
        <v>7</v>
      </c>
      <c r="CR174" s="229">
        <v>1E-3</v>
      </c>
      <c r="CS174" s="230">
        <v>5113</v>
      </c>
      <c r="CT174" s="230">
        <v>5082</v>
      </c>
      <c r="CU174" s="228">
        <v>31</v>
      </c>
      <c r="CV174" s="229">
        <v>6.0000000000000001E-3</v>
      </c>
      <c r="CW174" s="230">
        <v>31112</v>
      </c>
      <c r="CX174" s="230">
        <v>31011</v>
      </c>
      <c r="CY174" s="228">
        <v>101</v>
      </c>
      <c r="CZ174" s="229">
        <v>3.2000000000000002E-3</v>
      </c>
      <c r="DA174" s="228">
        <v>18.920000000000002</v>
      </c>
      <c r="DB174" s="228">
        <v>18.8</v>
      </c>
      <c r="DC174" s="228">
        <v>0.12</v>
      </c>
      <c r="DD174" s="228">
        <v>0.12</v>
      </c>
      <c r="DE174" s="228">
        <v>24.39</v>
      </c>
      <c r="DF174" s="228">
        <v>24.45</v>
      </c>
      <c r="DG174" s="228">
        <v>-5.47</v>
      </c>
      <c r="DH174" s="228">
        <v>-0.06</v>
      </c>
      <c r="DI174" s="228">
        <v>18.829999999999998</v>
      </c>
      <c r="DJ174" s="228">
        <v>18.79</v>
      </c>
      <c r="DK174" s="228">
        <v>0.04</v>
      </c>
      <c r="DL174" s="228">
        <v>0.04</v>
      </c>
      <c r="DM174" s="228">
        <v>19.079999999999998</v>
      </c>
      <c r="DN174" s="228">
        <v>18.82</v>
      </c>
      <c r="DO174" s="228">
        <v>0.26</v>
      </c>
      <c r="DP174" s="228">
        <v>0.26</v>
      </c>
      <c r="DQ174" s="228">
        <v>0.73</v>
      </c>
      <c r="DR174" s="228">
        <v>0.73</v>
      </c>
      <c r="DS174" s="228">
        <v>0</v>
      </c>
      <c r="DT174" s="229">
        <v>0</v>
      </c>
      <c r="DU174" s="231">
        <v>1400</v>
      </c>
      <c r="DV174" s="231">
        <v>1400</v>
      </c>
      <c r="DW174" s="228">
        <v>0.53</v>
      </c>
      <c r="DX174" s="228">
        <v>0.56000000000000005</v>
      </c>
      <c r="DY174" s="228">
        <v>-0.03</v>
      </c>
      <c r="DZ174" s="229">
        <v>-5.3600000000000002E-2</v>
      </c>
      <c r="EA174" s="229">
        <v>6.8400000000000002E-2</v>
      </c>
      <c r="EB174" s="230">
        <v>8096500</v>
      </c>
      <c r="EC174" s="229">
        <v>5.5999999999999999E-3</v>
      </c>
      <c r="ED174" s="229">
        <v>6.8400000000000002E-2</v>
      </c>
      <c r="EE174" s="228">
        <v>7.39</v>
      </c>
      <c r="EF174" s="229">
        <v>5.3E-3</v>
      </c>
      <c r="EG174" s="230">
        <v>3649468</v>
      </c>
      <c r="EH174" s="230">
        <v>4303602</v>
      </c>
      <c r="EI174" s="229">
        <v>-0.152</v>
      </c>
      <c r="EJ174" s="229">
        <v>0.53110000000000002</v>
      </c>
      <c r="EK174" s="231">
        <v>5042.29</v>
      </c>
      <c r="EL174" s="231">
        <v>2555.89</v>
      </c>
      <c r="EM174" s="231">
        <v>1522.92</v>
      </c>
      <c r="EN174" s="228">
        <v>279.13</v>
      </c>
      <c r="EO174" s="231">
        <v>9121.1</v>
      </c>
      <c r="EP174" s="231">
        <v>10555.79</v>
      </c>
      <c r="EQ174" s="231">
        <v>-1434.69</v>
      </c>
      <c r="ER174" s="229">
        <v>-0.13589999999999999</v>
      </c>
      <c r="ES174" s="231">
        <v>7195.16</v>
      </c>
      <c r="ET174" s="231">
        <v>5065.22</v>
      </c>
      <c r="EU174" s="231">
        <v>19000.45</v>
      </c>
      <c r="EV174" s="231">
        <v>662701060</v>
      </c>
      <c r="EW174" s="231">
        <v>31260.84</v>
      </c>
      <c r="EX174" s="231">
        <v>31069.43</v>
      </c>
      <c r="EY174" s="228">
        <v>191.41</v>
      </c>
      <c r="EZ174" s="229">
        <v>6.1999999999999998E-3</v>
      </c>
      <c r="FA174" s="229">
        <v>0.33829999999999999</v>
      </c>
      <c r="FB174" s="227" t="s">
        <v>555</v>
      </c>
      <c r="FC174">
        <f t="shared" si="3"/>
        <v>0</v>
      </c>
    </row>
    <row r="175" spans="1:159" ht="17.25" thickBot="1" x14ac:dyDescent="0.3">
      <c r="A175" s="226">
        <v>45940</v>
      </c>
      <c r="B175" s="227" t="s">
        <v>215</v>
      </c>
      <c r="C175" s="227" t="s">
        <v>677</v>
      </c>
      <c r="D175" s="228">
        <v>1375</v>
      </c>
      <c r="E175" s="228">
        <v>18</v>
      </c>
      <c r="F175" s="228">
        <v>340.65</v>
      </c>
      <c r="G175" s="228">
        <v>343.4</v>
      </c>
      <c r="H175" s="228">
        <v>-2.75</v>
      </c>
      <c r="I175" s="229">
        <v>-8.0000000000000002E-3</v>
      </c>
      <c r="J175" s="228">
        <v>342</v>
      </c>
      <c r="K175" s="228">
        <v>344.4</v>
      </c>
      <c r="L175" s="228">
        <v>-2.4</v>
      </c>
      <c r="M175" s="229">
        <v>-7.0000000000000001E-3</v>
      </c>
      <c r="N175" s="228">
        <v>340.65</v>
      </c>
      <c r="O175" s="228">
        <v>343.4</v>
      </c>
      <c r="P175" s="228">
        <v>-2.75</v>
      </c>
      <c r="Q175" s="229">
        <v>-8.0000000000000002E-3</v>
      </c>
      <c r="R175" s="228">
        <v>334.1</v>
      </c>
      <c r="S175" s="228">
        <v>336.6</v>
      </c>
      <c r="T175" s="228">
        <v>-2.5</v>
      </c>
      <c r="U175" s="229">
        <v>-7.4000000000000003E-3</v>
      </c>
      <c r="V175" s="228">
        <v>329.75</v>
      </c>
      <c r="W175" s="228">
        <v>331.25</v>
      </c>
      <c r="X175" s="228">
        <v>-1.5</v>
      </c>
      <c r="Y175" s="229">
        <v>-4.4999999999999997E-3</v>
      </c>
      <c r="Z175" s="228">
        <v>-1.35</v>
      </c>
      <c r="AA175" s="228">
        <v>-1</v>
      </c>
      <c r="AB175" s="228">
        <v>-0.35</v>
      </c>
      <c r="AC175" s="229">
        <v>-3.8999999999999998E-3</v>
      </c>
      <c r="AD175" s="228">
        <v>-1.35</v>
      </c>
      <c r="AE175" s="228">
        <v>-1</v>
      </c>
      <c r="AF175" s="228">
        <v>-0.35</v>
      </c>
      <c r="AG175" s="229">
        <v>-3.8999999999999998E-3</v>
      </c>
      <c r="AH175" s="228">
        <v>-7.9</v>
      </c>
      <c r="AI175" s="228">
        <v>-7.8</v>
      </c>
      <c r="AJ175" s="228">
        <v>-0.1</v>
      </c>
      <c r="AK175" s="229">
        <v>-2.3099999999999999E-2</v>
      </c>
      <c r="AL175" s="228">
        <v>-12.25</v>
      </c>
      <c r="AM175" s="228">
        <v>-13.15</v>
      </c>
      <c r="AN175" s="228">
        <v>0.9</v>
      </c>
      <c r="AO175" s="229">
        <v>-3.5799999999999998E-2</v>
      </c>
      <c r="AP175" s="228">
        <v>343.33</v>
      </c>
      <c r="AQ175" s="228">
        <v>336.25</v>
      </c>
      <c r="AR175" s="228">
        <v>0</v>
      </c>
      <c r="AS175" s="228">
        <v>173</v>
      </c>
      <c r="AT175" s="228">
        <v>224</v>
      </c>
      <c r="AU175" s="228">
        <v>-51</v>
      </c>
      <c r="AV175" s="229">
        <v>-0.2278</v>
      </c>
      <c r="AW175" s="228">
        <v>120</v>
      </c>
      <c r="AX175" s="228">
        <v>182</v>
      </c>
      <c r="AY175" s="228">
        <v>-62</v>
      </c>
      <c r="AZ175" s="229">
        <v>-0.34189999999999998</v>
      </c>
      <c r="BA175" s="228">
        <v>44</v>
      </c>
      <c r="BB175" s="228">
        <v>38</v>
      </c>
      <c r="BC175" s="228">
        <v>6</v>
      </c>
      <c r="BD175" s="229">
        <v>0.16689999999999999</v>
      </c>
      <c r="BE175" s="228">
        <v>9</v>
      </c>
      <c r="BF175" s="228">
        <v>4</v>
      </c>
      <c r="BG175" s="228">
        <v>5</v>
      </c>
      <c r="BH175" s="229">
        <v>1.2299</v>
      </c>
      <c r="BI175" s="228">
        <v>358</v>
      </c>
      <c r="BJ175" s="228">
        <v>593</v>
      </c>
      <c r="BK175" s="228">
        <v>-235</v>
      </c>
      <c r="BL175" s="229">
        <v>-0.39629999999999999</v>
      </c>
      <c r="BM175" s="228">
        <v>108</v>
      </c>
      <c r="BN175" s="228">
        <v>162</v>
      </c>
      <c r="BO175" s="228">
        <v>-54</v>
      </c>
      <c r="BP175" s="229">
        <v>-0.33229999999999998</v>
      </c>
      <c r="BQ175" s="228">
        <v>639</v>
      </c>
      <c r="BR175" s="228">
        <v>979</v>
      </c>
      <c r="BS175" s="228">
        <v>-340</v>
      </c>
      <c r="BT175" s="229">
        <v>-0.34720000000000001</v>
      </c>
      <c r="BU175" s="230">
        <v>3215316</v>
      </c>
      <c r="BV175" s="230">
        <v>4429121</v>
      </c>
      <c r="BW175" s="230">
        <v>-1213805</v>
      </c>
      <c r="BX175" s="229">
        <v>-0.27410000000000001</v>
      </c>
      <c r="BY175" s="230">
        <v>1315</v>
      </c>
      <c r="BZ175" s="230">
        <v>1296</v>
      </c>
      <c r="CA175" s="228">
        <v>18</v>
      </c>
      <c r="CB175" s="229">
        <v>1.4E-2</v>
      </c>
      <c r="CC175" s="230">
        <v>1121</v>
      </c>
      <c r="CD175" s="230">
        <v>1120</v>
      </c>
      <c r="CE175" s="228">
        <v>0</v>
      </c>
      <c r="CF175" s="229">
        <v>2.9999999999999997E-4</v>
      </c>
      <c r="CG175" s="228">
        <v>166</v>
      </c>
      <c r="CH175" s="228">
        <v>155</v>
      </c>
      <c r="CI175" s="228">
        <v>11</v>
      </c>
      <c r="CJ175" s="229">
        <v>7.2700000000000001E-2</v>
      </c>
      <c r="CK175" s="228">
        <v>28</v>
      </c>
      <c r="CL175" s="228">
        <v>21</v>
      </c>
      <c r="CM175" s="228">
        <v>7</v>
      </c>
      <c r="CN175" s="229">
        <v>0.30630000000000002</v>
      </c>
      <c r="CO175" s="228">
        <v>694</v>
      </c>
      <c r="CP175" s="228">
        <v>676</v>
      </c>
      <c r="CQ175" s="228">
        <v>18</v>
      </c>
      <c r="CR175" s="229">
        <v>2.6700000000000002E-2</v>
      </c>
      <c r="CS175" s="228">
        <v>281</v>
      </c>
      <c r="CT175" s="228">
        <v>269</v>
      </c>
      <c r="CU175" s="228">
        <v>12</v>
      </c>
      <c r="CV175" s="229">
        <v>4.3299999999999998E-2</v>
      </c>
      <c r="CW175" s="230">
        <v>2289</v>
      </c>
      <c r="CX175" s="230">
        <v>2241</v>
      </c>
      <c r="CY175" s="228">
        <v>48</v>
      </c>
      <c r="CZ175" s="229">
        <v>2.1399999999999999E-2</v>
      </c>
      <c r="DA175" s="228">
        <v>38.43</v>
      </c>
      <c r="DB175" s="228">
        <v>38.369999999999997</v>
      </c>
      <c r="DC175" s="228">
        <v>0.06</v>
      </c>
      <c r="DD175" s="228">
        <v>0.06</v>
      </c>
      <c r="DE175" s="228">
        <v>58.34</v>
      </c>
      <c r="DF175" s="228">
        <v>58.47</v>
      </c>
      <c r="DG175" s="228">
        <v>-19.91</v>
      </c>
      <c r="DH175" s="228">
        <v>-0.13</v>
      </c>
      <c r="DI175" s="228">
        <v>39.1</v>
      </c>
      <c r="DJ175" s="228">
        <v>38.590000000000003</v>
      </c>
      <c r="DK175" s="228">
        <v>0.51</v>
      </c>
      <c r="DL175" s="228">
        <v>0.51</v>
      </c>
      <c r="DM175" s="228">
        <v>36.22</v>
      </c>
      <c r="DN175" s="228">
        <v>37.58</v>
      </c>
      <c r="DO175" s="228">
        <v>-1.36</v>
      </c>
      <c r="DP175" s="228">
        <v>-1.36</v>
      </c>
      <c r="DQ175" s="228">
        <v>0.4</v>
      </c>
      <c r="DR175" s="228">
        <v>0.4</v>
      </c>
      <c r="DS175" s="228">
        <v>0</v>
      </c>
      <c r="DT175" s="229">
        <v>0</v>
      </c>
      <c r="DU175" s="228">
        <v>400</v>
      </c>
      <c r="DV175" s="228">
        <v>310</v>
      </c>
      <c r="DW175" s="228">
        <v>0.3</v>
      </c>
      <c r="DX175" s="228">
        <v>0.27</v>
      </c>
      <c r="DY175" s="228">
        <v>0.03</v>
      </c>
      <c r="DZ175" s="229">
        <v>0.1111</v>
      </c>
      <c r="EA175" s="229">
        <v>0.1474</v>
      </c>
      <c r="EB175" s="230">
        <v>5165875</v>
      </c>
      <c r="EC175" s="229">
        <v>-1.9199999999999998E-2</v>
      </c>
      <c r="ED175" s="229">
        <v>0.1474</v>
      </c>
      <c r="EE175" s="228">
        <v>-7.08</v>
      </c>
      <c r="EF175" s="229">
        <v>-2.06E-2</v>
      </c>
      <c r="EG175" s="230">
        <v>1164921</v>
      </c>
      <c r="EH175" s="230">
        <v>1178651</v>
      </c>
      <c r="EI175" s="229">
        <v>-1.1599999999999999E-2</v>
      </c>
      <c r="EJ175" s="229">
        <v>0.36230000000000001</v>
      </c>
      <c r="EK175" s="228">
        <v>385.32</v>
      </c>
      <c r="EL175" s="228">
        <v>107.78</v>
      </c>
      <c r="EM175" s="228">
        <v>173</v>
      </c>
      <c r="EN175" s="228">
        <v>58.25</v>
      </c>
      <c r="EO175" s="228">
        <v>666.1</v>
      </c>
      <c r="EP175" s="231">
        <v>1019.44</v>
      </c>
      <c r="EQ175" s="228">
        <v>-353.33</v>
      </c>
      <c r="ER175" s="229">
        <v>-0.34660000000000002</v>
      </c>
      <c r="ES175" s="228">
        <v>754.04</v>
      </c>
      <c r="ET175" s="228">
        <v>271.5</v>
      </c>
      <c r="EU175" s="231">
        <v>1310.42</v>
      </c>
      <c r="EV175" s="231">
        <v>84941460</v>
      </c>
      <c r="EW175" s="231">
        <v>2335.96</v>
      </c>
      <c r="EX175" s="231">
        <v>2297.8200000000002</v>
      </c>
      <c r="EY175" s="228">
        <v>38.14</v>
      </c>
      <c r="EZ175" s="229">
        <v>1.66E-2</v>
      </c>
      <c r="FA175" s="229">
        <v>0.79110000000000003</v>
      </c>
      <c r="FB175" s="227" t="s">
        <v>567</v>
      </c>
      <c r="FC175">
        <f t="shared" si="3"/>
        <v>0</v>
      </c>
    </row>
    <row r="176" spans="1:159" ht="17.25" thickBot="1" x14ac:dyDescent="0.3">
      <c r="A176" s="226">
        <v>45940</v>
      </c>
      <c r="B176" s="227" t="s">
        <v>227</v>
      </c>
      <c r="C176" s="227" t="s">
        <v>282</v>
      </c>
      <c r="D176" s="228">
        <v>4700</v>
      </c>
      <c r="E176" s="228">
        <v>18</v>
      </c>
      <c r="F176" s="228">
        <v>132.71</v>
      </c>
      <c r="G176" s="228">
        <v>137.22</v>
      </c>
      <c r="H176" s="228">
        <v>-4.51</v>
      </c>
      <c r="I176" s="229">
        <v>-3.2899999999999999E-2</v>
      </c>
      <c r="J176" s="228">
        <v>132.16999999999999</v>
      </c>
      <c r="K176" s="228">
        <v>136.46</v>
      </c>
      <c r="L176" s="228">
        <v>-4.29</v>
      </c>
      <c r="M176" s="229">
        <v>-3.1399999999999997E-2</v>
      </c>
      <c r="N176" s="228">
        <v>132.71</v>
      </c>
      <c r="O176" s="228">
        <v>137.22</v>
      </c>
      <c r="P176" s="228">
        <v>-4.51</v>
      </c>
      <c r="Q176" s="229">
        <v>-3.2899999999999999E-2</v>
      </c>
      <c r="R176" s="228">
        <v>133.16999999999999</v>
      </c>
      <c r="S176" s="228">
        <v>137.66999999999999</v>
      </c>
      <c r="T176" s="228">
        <v>-4.5</v>
      </c>
      <c r="U176" s="229">
        <v>-3.27E-2</v>
      </c>
      <c r="V176" s="228">
        <v>133.94999999999999</v>
      </c>
      <c r="W176" s="228">
        <v>138.65</v>
      </c>
      <c r="X176" s="228">
        <v>-4.7</v>
      </c>
      <c r="Y176" s="229">
        <v>-3.39E-2</v>
      </c>
      <c r="Z176" s="228">
        <v>0.54</v>
      </c>
      <c r="AA176" s="228">
        <v>0.76</v>
      </c>
      <c r="AB176" s="228">
        <v>-0.22</v>
      </c>
      <c r="AC176" s="229">
        <v>4.1000000000000003E-3</v>
      </c>
      <c r="AD176" s="228">
        <v>0.54</v>
      </c>
      <c r="AE176" s="228">
        <v>0.76</v>
      </c>
      <c r="AF176" s="228">
        <v>-0.22</v>
      </c>
      <c r="AG176" s="229">
        <v>4.1000000000000003E-3</v>
      </c>
      <c r="AH176" s="228">
        <v>1</v>
      </c>
      <c r="AI176" s="228">
        <v>1.21</v>
      </c>
      <c r="AJ176" s="228">
        <v>-0.21</v>
      </c>
      <c r="AK176" s="229">
        <v>7.6E-3</v>
      </c>
      <c r="AL176" s="228">
        <v>1.78</v>
      </c>
      <c r="AM176" s="228">
        <v>2.19</v>
      </c>
      <c r="AN176" s="228">
        <v>-0.41</v>
      </c>
      <c r="AO176" s="229">
        <v>1.35E-2</v>
      </c>
      <c r="AP176" s="228">
        <v>133.4</v>
      </c>
      <c r="AQ176" s="228">
        <v>134.11000000000001</v>
      </c>
      <c r="AR176" s="228">
        <v>0</v>
      </c>
      <c r="AS176" s="228">
        <v>511</v>
      </c>
      <c r="AT176" s="228">
        <v>843</v>
      </c>
      <c r="AU176" s="228">
        <v>-332</v>
      </c>
      <c r="AV176" s="229">
        <v>-0.39379999999999998</v>
      </c>
      <c r="AW176" s="228">
        <v>453</v>
      </c>
      <c r="AX176" s="228">
        <v>774</v>
      </c>
      <c r="AY176" s="228">
        <v>-321</v>
      </c>
      <c r="AZ176" s="229">
        <v>-0.41510000000000002</v>
      </c>
      <c r="BA176" s="228">
        <v>54</v>
      </c>
      <c r="BB176" s="228">
        <v>66</v>
      </c>
      <c r="BC176" s="228">
        <v>-11</v>
      </c>
      <c r="BD176" s="229">
        <v>-0.17269999999999999</v>
      </c>
      <c r="BE176" s="228">
        <v>4</v>
      </c>
      <c r="BF176" s="228">
        <v>3</v>
      </c>
      <c r="BG176" s="228">
        <v>1</v>
      </c>
      <c r="BH176" s="229">
        <v>0.1852</v>
      </c>
      <c r="BI176" s="230">
        <v>1022</v>
      </c>
      <c r="BJ176" s="230">
        <v>1742</v>
      </c>
      <c r="BK176" s="228">
        <v>-721</v>
      </c>
      <c r="BL176" s="229">
        <v>-0.41360000000000002</v>
      </c>
      <c r="BM176" s="228">
        <v>412</v>
      </c>
      <c r="BN176" s="228">
        <v>889</v>
      </c>
      <c r="BO176" s="228">
        <v>-477</v>
      </c>
      <c r="BP176" s="229">
        <v>-0.53639999999999999</v>
      </c>
      <c r="BQ176" s="230">
        <v>1945</v>
      </c>
      <c r="BR176" s="230">
        <v>3474</v>
      </c>
      <c r="BS176" s="230">
        <v>-1530</v>
      </c>
      <c r="BT176" s="229">
        <v>-0.44030000000000002</v>
      </c>
      <c r="BU176" s="230">
        <v>22564882</v>
      </c>
      <c r="BV176" s="230">
        <v>48345073</v>
      </c>
      <c r="BW176" s="230">
        <v>-25780191</v>
      </c>
      <c r="BX176" s="229">
        <v>-0.5333</v>
      </c>
      <c r="BY176" s="230">
        <v>2675</v>
      </c>
      <c r="BZ176" s="230">
        <v>2627</v>
      </c>
      <c r="CA176" s="228">
        <v>49</v>
      </c>
      <c r="CB176" s="229">
        <v>1.8499999999999999E-2</v>
      </c>
      <c r="CC176" s="230">
        <v>2548</v>
      </c>
      <c r="CD176" s="230">
        <v>2526</v>
      </c>
      <c r="CE176" s="228">
        <v>23</v>
      </c>
      <c r="CF176" s="229">
        <v>8.8999999999999999E-3</v>
      </c>
      <c r="CG176" s="228">
        <v>118</v>
      </c>
      <c r="CH176" s="228">
        <v>94</v>
      </c>
      <c r="CI176" s="228">
        <v>23</v>
      </c>
      <c r="CJ176" s="229">
        <v>0.2457</v>
      </c>
      <c r="CK176" s="228">
        <v>9</v>
      </c>
      <c r="CL176" s="228">
        <v>6</v>
      </c>
      <c r="CM176" s="228">
        <v>3</v>
      </c>
      <c r="CN176" s="229">
        <v>0.44230000000000003</v>
      </c>
      <c r="CO176" s="228">
        <v>740</v>
      </c>
      <c r="CP176" s="228">
        <v>575</v>
      </c>
      <c r="CQ176" s="228">
        <v>165</v>
      </c>
      <c r="CR176" s="229">
        <v>0.28689999999999999</v>
      </c>
      <c r="CS176" s="228">
        <v>379</v>
      </c>
      <c r="CT176" s="228">
        <v>333</v>
      </c>
      <c r="CU176" s="228">
        <v>46</v>
      </c>
      <c r="CV176" s="229">
        <v>0.13850000000000001</v>
      </c>
      <c r="CW176" s="230">
        <v>3795</v>
      </c>
      <c r="CX176" s="230">
        <v>3535</v>
      </c>
      <c r="CY176" s="228">
        <v>260</v>
      </c>
      <c r="CZ176" s="229">
        <v>7.3499999999999996E-2</v>
      </c>
      <c r="DA176" s="228">
        <v>34.61</v>
      </c>
      <c r="DB176" s="228">
        <v>32.82</v>
      </c>
      <c r="DC176" s="228">
        <v>1.79</v>
      </c>
      <c r="DD176" s="228">
        <v>1.79</v>
      </c>
      <c r="DE176" s="228">
        <v>45.61</v>
      </c>
      <c r="DF176" s="228">
        <v>45.5</v>
      </c>
      <c r="DG176" s="228">
        <v>-11</v>
      </c>
      <c r="DH176" s="228">
        <v>0.11</v>
      </c>
      <c r="DI176" s="228">
        <v>34.840000000000003</v>
      </c>
      <c r="DJ176" s="228">
        <v>32.42</v>
      </c>
      <c r="DK176" s="228">
        <v>2.42</v>
      </c>
      <c r="DL176" s="228">
        <v>2.42</v>
      </c>
      <c r="DM176" s="228">
        <v>34.049999999999997</v>
      </c>
      <c r="DN176" s="228">
        <v>33.590000000000003</v>
      </c>
      <c r="DO176" s="228">
        <v>0.46</v>
      </c>
      <c r="DP176" s="228">
        <v>0.46</v>
      </c>
      <c r="DQ176" s="228">
        <v>0.51</v>
      </c>
      <c r="DR176" s="228">
        <v>0.57999999999999996</v>
      </c>
      <c r="DS176" s="228">
        <v>-7.0000000000000007E-2</v>
      </c>
      <c r="DT176" s="229">
        <v>-0.1207</v>
      </c>
      <c r="DU176" s="228">
        <v>140</v>
      </c>
      <c r="DV176" s="228">
        <v>125</v>
      </c>
      <c r="DW176" s="228">
        <v>0.4</v>
      </c>
      <c r="DX176" s="228">
        <v>0.51</v>
      </c>
      <c r="DY176" s="228">
        <v>-0.11</v>
      </c>
      <c r="DZ176" s="229">
        <v>-0.2157</v>
      </c>
      <c r="EA176" s="229">
        <v>4.7500000000000001E-2</v>
      </c>
      <c r="EB176" s="230">
        <v>7604600</v>
      </c>
      <c r="EC176" s="229">
        <v>3.5000000000000001E-3</v>
      </c>
      <c r="ED176" s="229">
        <v>4.7500000000000001E-2</v>
      </c>
      <c r="EE176" s="228">
        <v>0.71</v>
      </c>
      <c r="EF176" s="229">
        <v>5.3E-3</v>
      </c>
      <c r="EG176" s="230">
        <v>9792037</v>
      </c>
      <c r="EH176" s="230">
        <v>16535553</v>
      </c>
      <c r="EI176" s="229">
        <v>-0.4078</v>
      </c>
      <c r="EJ176" s="229">
        <v>0.434</v>
      </c>
      <c r="EK176" s="231">
        <v>1080.98</v>
      </c>
      <c r="EL176" s="228">
        <v>416.55</v>
      </c>
      <c r="EM176" s="228">
        <v>513.96</v>
      </c>
      <c r="EN176" s="228">
        <v>85.44</v>
      </c>
      <c r="EO176" s="231">
        <v>2011.49</v>
      </c>
      <c r="EP176" s="231">
        <v>3625</v>
      </c>
      <c r="EQ176" s="231">
        <v>-1613.51</v>
      </c>
      <c r="ER176" s="229">
        <v>-0.4451</v>
      </c>
      <c r="ES176" s="228">
        <v>775.29</v>
      </c>
      <c r="ET176" s="228">
        <v>371.86</v>
      </c>
      <c r="EU176" s="231">
        <v>2675.95</v>
      </c>
      <c r="EV176" s="231">
        <v>216861410</v>
      </c>
      <c r="EW176" s="231">
        <v>3823.11</v>
      </c>
      <c r="EX176" s="231">
        <v>3651.36</v>
      </c>
      <c r="EY176" s="228">
        <v>171.75</v>
      </c>
      <c r="EZ176" s="229">
        <v>4.7E-2</v>
      </c>
      <c r="FA176" s="229">
        <v>1.3186</v>
      </c>
      <c r="FB176" s="227" t="s">
        <v>567</v>
      </c>
      <c r="FC176">
        <f t="shared" si="3"/>
        <v>0</v>
      </c>
    </row>
    <row r="177" spans="1:159" ht="17.25" thickBot="1" x14ac:dyDescent="0.3">
      <c r="A177" s="226">
        <v>45940</v>
      </c>
      <c r="B177" s="227" t="s">
        <v>175</v>
      </c>
      <c r="C177" s="227" t="s">
        <v>688</v>
      </c>
      <c r="D177" s="228">
        <v>4300</v>
      </c>
      <c r="E177" s="228">
        <v>18</v>
      </c>
      <c r="F177" s="228">
        <v>163.13</v>
      </c>
      <c r="G177" s="228">
        <v>162.19999999999999</v>
      </c>
      <c r="H177" s="228">
        <v>0.93</v>
      </c>
      <c r="I177" s="229">
        <v>5.7000000000000002E-3</v>
      </c>
      <c r="J177" s="228">
        <v>162.22</v>
      </c>
      <c r="K177" s="228">
        <v>161.06</v>
      </c>
      <c r="L177" s="228">
        <v>1.1599999999999999</v>
      </c>
      <c r="M177" s="229">
        <v>7.1999999999999998E-3</v>
      </c>
      <c r="N177" s="228">
        <v>163.13</v>
      </c>
      <c r="O177" s="228">
        <v>162.19999999999999</v>
      </c>
      <c r="P177" s="228">
        <v>0.93</v>
      </c>
      <c r="Q177" s="229">
        <v>5.7000000000000002E-3</v>
      </c>
      <c r="R177" s="228">
        <v>164.02</v>
      </c>
      <c r="S177" s="228">
        <v>163.06</v>
      </c>
      <c r="T177" s="228">
        <v>0.96</v>
      </c>
      <c r="U177" s="229">
        <v>5.8999999999999999E-3</v>
      </c>
      <c r="V177" s="228">
        <v>164.59</v>
      </c>
      <c r="W177" s="228">
        <v>164.06</v>
      </c>
      <c r="X177" s="228">
        <v>0.53</v>
      </c>
      <c r="Y177" s="229">
        <v>3.2000000000000002E-3</v>
      </c>
      <c r="Z177" s="228">
        <v>0.91</v>
      </c>
      <c r="AA177" s="228">
        <v>1.1399999999999999</v>
      </c>
      <c r="AB177" s="228">
        <v>-0.23</v>
      </c>
      <c r="AC177" s="229">
        <v>5.5999999999999999E-3</v>
      </c>
      <c r="AD177" s="228">
        <v>0.91</v>
      </c>
      <c r="AE177" s="228">
        <v>1.1399999999999999</v>
      </c>
      <c r="AF177" s="228">
        <v>-0.23</v>
      </c>
      <c r="AG177" s="229">
        <v>5.5999999999999999E-3</v>
      </c>
      <c r="AH177" s="228">
        <v>1.8</v>
      </c>
      <c r="AI177" s="228">
        <v>2</v>
      </c>
      <c r="AJ177" s="228">
        <v>-0.2</v>
      </c>
      <c r="AK177" s="229">
        <v>1.11E-2</v>
      </c>
      <c r="AL177" s="228">
        <v>2.37</v>
      </c>
      <c r="AM177" s="228">
        <v>3</v>
      </c>
      <c r="AN177" s="228">
        <v>-0.63</v>
      </c>
      <c r="AO177" s="229">
        <v>1.46E-2</v>
      </c>
      <c r="AP177" s="228">
        <v>163.54</v>
      </c>
      <c r="AQ177" s="228">
        <v>164.43</v>
      </c>
      <c r="AR177" s="228">
        <v>0</v>
      </c>
      <c r="AS177" s="228">
        <v>401</v>
      </c>
      <c r="AT177" s="228">
        <v>230</v>
      </c>
      <c r="AU177" s="228">
        <v>172</v>
      </c>
      <c r="AV177" s="229">
        <v>0.74729999999999996</v>
      </c>
      <c r="AW177" s="228">
        <v>368</v>
      </c>
      <c r="AX177" s="228">
        <v>212</v>
      </c>
      <c r="AY177" s="228">
        <v>156</v>
      </c>
      <c r="AZ177" s="229">
        <v>0.73370000000000002</v>
      </c>
      <c r="BA177" s="228">
        <v>31</v>
      </c>
      <c r="BB177" s="228">
        <v>16</v>
      </c>
      <c r="BC177" s="228">
        <v>16</v>
      </c>
      <c r="BD177" s="229">
        <v>1.018</v>
      </c>
      <c r="BE177" s="228">
        <v>2</v>
      </c>
      <c r="BF177" s="228">
        <v>2</v>
      </c>
      <c r="BG177" s="228">
        <v>0</v>
      </c>
      <c r="BH177" s="229">
        <v>-4.1700000000000001E-2</v>
      </c>
      <c r="BI177" s="228">
        <v>785</v>
      </c>
      <c r="BJ177" s="228">
        <v>308</v>
      </c>
      <c r="BK177" s="228">
        <v>477</v>
      </c>
      <c r="BL177" s="229">
        <v>1.5490999999999999</v>
      </c>
      <c r="BM177" s="228">
        <v>392</v>
      </c>
      <c r="BN177" s="228">
        <v>220</v>
      </c>
      <c r="BO177" s="228">
        <v>172</v>
      </c>
      <c r="BP177" s="229">
        <v>0.77939999999999998</v>
      </c>
      <c r="BQ177" s="230">
        <v>1578</v>
      </c>
      <c r="BR177" s="228">
        <v>758</v>
      </c>
      <c r="BS177" s="228">
        <v>820</v>
      </c>
      <c r="BT177" s="229">
        <v>1.0825</v>
      </c>
      <c r="BU177" s="230">
        <v>23055868</v>
      </c>
      <c r="BV177" s="230">
        <v>14834158</v>
      </c>
      <c r="BW177" s="230">
        <v>8221710</v>
      </c>
      <c r="BX177" s="229">
        <v>0.55420000000000003</v>
      </c>
      <c r="BY177" s="230">
        <v>1862</v>
      </c>
      <c r="BZ177" s="230">
        <v>1810</v>
      </c>
      <c r="CA177" s="228">
        <v>53</v>
      </c>
      <c r="CB177" s="229">
        <v>2.9100000000000001E-2</v>
      </c>
      <c r="CC177" s="230">
        <v>1788</v>
      </c>
      <c r="CD177" s="230">
        <v>1745</v>
      </c>
      <c r="CE177" s="228">
        <v>43</v>
      </c>
      <c r="CF177" s="229">
        <v>2.47E-2</v>
      </c>
      <c r="CG177" s="228">
        <v>71</v>
      </c>
      <c r="CH177" s="228">
        <v>62</v>
      </c>
      <c r="CI177" s="228">
        <v>9</v>
      </c>
      <c r="CJ177" s="229">
        <v>0.1489</v>
      </c>
      <c r="CK177" s="228">
        <v>3</v>
      </c>
      <c r="CL177" s="228">
        <v>3</v>
      </c>
      <c r="CM177" s="228">
        <v>0</v>
      </c>
      <c r="CN177" s="229">
        <v>0.14630000000000001</v>
      </c>
      <c r="CO177" s="228">
        <v>502</v>
      </c>
      <c r="CP177" s="228">
        <v>460</v>
      </c>
      <c r="CQ177" s="228">
        <v>43</v>
      </c>
      <c r="CR177" s="229">
        <v>9.3100000000000002E-2</v>
      </c>
      <c r="CS177" s="228">
        <v>506</v>
      </c>
      <c r="CT177" s="228">
        <v>473</v>
      </c>
      <c r="CU177" s="228">
        <v>33</v>
      </c>
      <c r="CV177" s="229">
        <v>6.88E-2</v>
      </c>
      <c r="CW177" s="230">
        <v>2871</v>
      </c>
      <c r="CX177" s="230">
        <v>2743</v>
      </c>
      <c r="CY177" s="228">
        <v>128</v>
      </c>
      <c r="CZ177" s="229">
        <v>4.6699999999999998E-2</v>
      </c>
      <c r="DA177" s="228">
        <v>36.380000000000003</v>
      </c>
      <c r="DB177" s="228">
        <v>37.479999999999997</v>
      </c>
      <c r="DC177" s="228">
        <v>-1.1000000000000001</v>
      </c>
      <c r="DD177" s="228">
        <v>-1.1000000000000001</v>
      </c>
      <c r="DE177" s="228">
        <v>57.84</v>
      </c>
      <c r="DF177" s="228">
        <v>57.98</v>
      </c>
      <c r="DG177" s="228">
        <v>-21.46</v>
      </c>
      <c r="DH177" s="228">
        <v>-0.14000000000000001</v>
      </c>
      <c r="DI177" s="228">
        <v>36.340000000000003</v>
      </c>
      <c r="DJ177" s="228">
        <v>37.409999999999997</v>
      </c>
      <c r="DK177" s="228">
        <v>-1.07</v>
      </c>
      <c r="DL177" s="228">
        <v>-1.07</v>
      </c>
      <c r="DM177" s="228">
        <v>36.47</v>
      </c>
      <c r="DN177" s="228">
        <v>37.58</v>
      </c>
      <c r="DO177" s="228">
        <v>-1.1100000000000001</v>
      </c>
      <c r="DP177" s="228">
        <v>-1.1100000000000001</v>
      </c>
      <c r="DQ177" s="228">
        <v>1.01</v>
      </c>
      <c r="DR177" s="228">
        <v>1.03</v>
      </c>
      <c r="DS177" s="228">
        <v>-0.02</v>
      </c>
      <c r="DT177" s="229">
        <v>-1.9400000000000001E-2</v>
      </c>
      <c r="DU177" s="228">
        <v>160</v>
      </c>
      <c r="DV177" s="228">
        <v>160</v>
      </c>
      <c r="DW177" s="228">
        <v>0.5</v>
      </c>
      <c r="DX177" s="228">
        <v>0.71</v>
      </c>
      <c r="DY177" s="228">
        <v>-0.21</v>
      </c>
      <c r="DZ177" s="229">
        <v>-0.29580000000000001</v>
      </c>
      <c r="EA177" s="229">
        <v>3.9899999999999998E-2</v>
      </c>
      <c r="EB177" s="230">
        <v>3960300</v>
      </c>
      <c r="EC177" s="229">
        <v>5.4999999999999997E-3</v>
      </c>
      <c r="ED177" s="229">
        <v>3.9899999999999998E-2</v>
      </c>
      <c r="EE177" s="228">
        <v>0.89</v>
      </c>
      <c r="EF177" s="229">
        <v>5.4000000000000003E-3</v>
      </c>
      <c r="EG177" s="230">
        <v>9179059</v>
      </c>
      <c r="EH177" s="230">
        <v>6976637</v>
      </c>
      <c r="EI177" s="229">
        <v>0.31569999999999998</v>
      </c>
      <c r="EJ177" s="229">
        <v>0.39810000000000001</v>
      </c>
      <c r="EK177" s="228">
        <v>826.53</v>
      </c>
      <c r="EL177" s="228">
        <v>383.36</v>
      </c>
      <c r="EM177" s="228">
        <v>402.37</v>
      </c>
      <c r="EN177" s="228">
        <v>53.69</v>
      </c>
      <c r="EO177" s="231">
        <v>1612.26</v>
      </c>
      <c r="EP177" s="228">
        <v>758.88</v>
      </c>
      <c r="EQ177" s="228">
        <v>853.39</v>
      </c>
      <c r="ER177" s="229">
        <v>1.1245000000000001</v>
      </c>
      <c r="ES177" s="228">
        <v>506.31</v>
      </c>
      <c r="ET177" s="228">
        <v>459.97</v>
      </c>
      <c r="EU177" s="231">
        <v>1862.72</v>
      </c>
      <c r="EV177" s="231">
        <v>122326971</v>
      </c>
      <c r="EW177" s="231">
        <v>2829.01</v>
      </c>
      <c r="EX177" s="231">
        <v>2687.58</v>
      </c>
      <c r="EY177" s="228">
        <v>141.43</v>
      </c>
      <c r="EZ177" s="229">
        <v>5.2600000000000001E-2</v>
      </c>
      <c r="FA177" s="229">
        <v>1.4386000000000001</v>
      </c>
      <c r="FB177" s="227" t="s">
        <v>555</v>
      </c>
      <c r="FC177">
        <f t="shared" si="3"/>
        <v>0</v>
      </c>
    </row>
    <row r="178" spans="1:159" ht="17.25" thickBot="1" x14ac:dyDescent="0.3">
      <c r="A178" s="226">
        <v>45940</v>
      </c>
      <c r="B178" s="227" t="s">
        <v>175</v>
      </c>
      <c r="C178" s="227" t="s">
        <v>536</v>
      </c>
      <c r="D178" s="228">
        <v>800</v>
      </c>
      <c r="E178" s="228">
        <v>18</v>
      </c>
      <c r="F178" s="228">
        <v>912.2</v>
      </c>
      <c r="G178" s="228">
        <v>912.75</v>
      </c>
      <c r="H178" s="228">
        <v>-0.55000000000000004</v>
      </c>
      <c r="I178" s="229">
        <v>-5.9999999999999995E-4</v>
      </c>
      <c r="J178" s="228">
        <v>921.75</v>
      </c>
      <c r="K178" s="228">
        <v>923.1</v>
      </c>
      <c r="L178" s="228">
        <v>-1.35</v>
      </c>
      <c r="M178" s="229">
        <v>-1.5E-3</v>
      </c>
      <c r="N178" s="228">
        <v>912.2</v>
      </c>
      <c r="O178" s="228">
        <v>912.75</v>
      </c>
      <c r="P178" s="228">
        <v>-0.55000000000000004</v>
      </c>
      <c r="Q178" s="229">
        <v>-5.9999999999999995E-4</v>
      </c>
      <c r="R178" s="228">
        <v>898.9</v>
      </c>
      <c r="S178" s="228">
        <v>900.9</v>
      </c>
      <c r="T178" s="228">
        <v>-2</v>
      </c>
      <c r="U178" s="229">
        <v>-2.2000000000000001E-3</v>
      </c>
      <c r="V178" s="228">
        <v>890.6</v>
      </c>
      <c r="W178" s="228">
        <v>891.3</v>
      </c>
      <c r="X178" s="228">
        <v>-0.7</v>
      </c>
      <c r="Y178" s="229">
        <v>-8.0000000000000004E-4</v>
      </c>
      <c r="Z178" s="228">
        <v>-9.5500000000000007</v>
      </c>
      <c r="AA178" s="228">
        <v>-10.35</v>
      </c>
      <c r="AB178" s="228">
        <v>0.8</v>
      </c>
      <c r="AC178" s="229">
        <v>-1.04E-2</v>
      </c>
      <c r="AD178" s="228">
        <v>-9.5500000000000007</v>
      </c>
      <c r="AE178" s="228">
        <v>-10.35</v>
      </c>
      <c r="AF178" s="228">
        <v>0.8</v>
      </c>
      <c r="AG178" s="229">
        <v>-1.04E-2</v>
      </c>
      <c r="AH178" s="228">
        <v>-22.85</v>
      </c>
      <c r="AI178" s="228">
        <v>-22.2</v>
      </c>
      <c r="AJ178" s="228">
        <v>-0.65</v>
      </c>
      <c r="AK178" s="229">
        <v>-2.4799999999999999E-2</v>
      </c>
      <c r="AL178" s="228">
        <v>-31.15</v>
      </c>
      <c r="AM178" s="228">
        <v>-31.8</v>
      </c>
      <c r="AN178" s="228">
        <v>0.65</v>
      </c>
      <c r="AO178" s="229">
        <v>-3.3799999999999997E-2</v>
      </c>
      <c r="AP178" s="228">
        <v>912.24</v>
      </c>
      <c r="AQ178" s="228">
        <v>900.55</v>
      </c>
      <c r="AR178" s="228">
        <v>0</v>
      </c>
      <c r="AS178" s="228">
        <v>251</v>
      </c>
      <c r="AT178" s="228">
        <v>224</v>
      </c>
      <c r="AU178" s="228">
        <v>27</v>
      </c>
      <c r="AV178" s="229">
        <v>0.1195</v>
      </c>
      <c r="AW178" s="228">
        <v>177</v>
      </c>
      <c r="AX178" s="228">
        <v>195</v>
      </c>
      <c r="AY178" s="228">
        <v>-18</v>
      </c>
      <c r="AZ178" s="229">
        <v>-9.3299999999999994E-2</v>
      </c>
      <c r="BA178" s="228">
        <v>61</v>
      </c>
      <c r="BB178" s="228">
        <v>28</v>
      </c>
      <c r="BC178" s="228">
        <v>33</v>
      </c>
      <c r="BD178" s="229">
        <v>1.1537999999999999</v>
      </c>
      <c r="BE178" s="228">
        <v>13</v>
      </c>
      <c r="BF178" s="228">
        <v>1</v>
      </c>
      <c r="BG178" s="228">
        <v>12</v>
      </c>
      <c r="BH178" s="229">
        <v>15.0909</v>
      </c>
      <c r="BI178" s="228">
        <v>512</v>
      </c>
      <c r="BJ178" s="228">
        <v>525</v>
      </c>
      <c r="BK178" s="228">
        <v>-13</v>
      </c>
      <c r="BL178" s="229">
        <v>-2.4500000000000001E-2</v>
      </c>
      <c r="BM178" s="228">
        <v>242</v>
      </c>
      <c r="BN178" s="228">
        <v>287</v>
      </c>
      <c r="BO178" s="228">
        <v>-45</v>
      </c>
      <c r="BP178" s="229">
        <v>-0.1573</v>
      </c>
      <c r="BQ178" s="230">
        <v>1005</v>
      </c>
      <c r="BR178" s="230">
        <v>1036</v>
      </c>
      <c r="BS178" s="228">
        <v>-31</v>
      </c>
      <c r="BT178" s="229">
        <v>-3.0099999999999998E-2</v>
      </c>
      <c r="BU178" s="230">
        <v>635880</v>
      </c>
      <c r="BV178" s="230">
        <v>584233</v>
      </c>
      <c r="BW178" s="230">
        <v>51647</v>
      </c>
      <c r="BX178" s="229">
        <v>8.8400000000000006E-2</v>
      </c>
      <c r="BY178" s="230">
        <v>1842</v>
      </c>
      <c r="BZ178" s="230">
        <v>1807</v>
      </c>
      <c r="CA178" s="228">
        <v>35</v>
      </c>
      <c r="CB178" s="229">
        <v>1.9300000000000001E-2</v>
      </c>
      <c r="CC178" s="230">
        <v>1663</v>
      </c>
      <c r="CD178" s="230">
        <v>1648</v>
      </c>
      <c r="CE178" s="228">
        <v>15</v>
      </c>
      <c r="CF178" s="229">
        <v>8.9999999999999993E-3</v>
      </c>
      <c r="CG178" s="228">
        <v>123</v>
      </c>
      <c r="CH178" s="228">
        <v>109</v>
      </c>
      <c r="CI178" s="228">
        <v>14</v>
      </c>
      <c r="CJ178" s="229">
        <v>0.12759999999999999</v>
      </c>
      <c r="CK178" s="228">
        <v>56</v>
      </c>
      <c r="CL178" s="228">
        <v>50</v>
      </c>
      <c r="CM178" s="228">
        <v>6</v>
      </c>
      <c r="CN178" s="229">
        <v>0.1246</v>
      </c>
      <c r="CO178" s="228">
        <v>578</v>
      </c>
      <c r="CP178" s="228">
        <v>560</v>
      </c>
      <c r="CQ178" s="228">
        <v>19</v>
      </c>
      <c r="CR178" s="229">
        <v>3.3099999999999997E-2</v>
      </c>
      <c r="CS178" s="228">
        <v>349</v>
      </c>
      <c r="CT178" s="228">
        <v>352</v>
      </c>
      <c r="CU178" s="228">
        <v>-3</v>
      </c>
      <c r="CV178" s="229">
        <v>-9.4999999999999998E-3</v>
      </c>
      <c r="CW178" s="230">
        <v>2769</v>
      </c>
      <c r="CX178" s="230">
        <v>2719</v>
      </c>
      <c r="CY178" s="228">
        <v>50</v>
      </c>
      <c r="CZ178" s="229">
        <v>1.84E-2</v>
      </c>
      <c r="DA178" s="228">
        <v>27.28</v>
      </c>
      <c r="DB178" s="228">
        <v>27.46</v>
      </c>
      <c r="DC178" s="228">
        <v>-0.18</v>
      </c>
      <c r="DD178" s="228">
        <v>-0.18</v>
      </c>
      <c r="DE178" s="228">
        <v>30.47</v>
      </c>
      <c r="DF178" s="228">
        <v>30.55</v>
      </c>
      <c r="DG178" s="228">
        <v>-3.19</v>
      </c>
      <c r="DH178" s="228">
        <v>-0.08</v>
      </c>
      <c r="DI178" s="228">
        <v>27.25</v>
      </c>
      <c r="DJ178" s="228">
        <v>27.44</v>
      </c>
      <c r="DK178" s="228">
        <v>-0.19</v>
      </c>
      <c r="DL178" s="228">
        <v>-0.19</v>
      </c>
      <c r="DM178" s="228">
        <v>27.34</v>
      </c>
      <c r="DN178" s="228">
        <v>27.49</v>
      </c>
      <c r="DO178" s="228">
        <v>-0.15</v>
      </c>
      <c r="DP178" s="228">
        <v>-0.15</v>
      </c>
      <c r="DQ178" s="228">
        <v>0.6</v>
      </c>
      <c r="DR178" s="228">
        <v>0.63</v>
      </c>
      <c r="DS178" s="228">
        <v>-0.03</v>
      </c>
      <c r="DT178" s="229">
        <v>-4.7600000000000003E-2</v>
      </c>
      <c r="DU178" s="231">
        <v>1000</v>
      </c>
      <c r="DV178" s="228">
        <v>900</v>
      </c>
      <c r="DW178" s="228">
        <v>0.47</v>
      </c>
      <c r="DX178" s="228">
        <v>0.55000000000000004</v>
      </c>
      <c r="DY178" s="228">
        <v>-0.08</v>
      </c>
      <c r="DZ178" s="229">
        <v>-0.14549999999999999</v>
      </c>
      <c r="EA178" s="229">
        <v>9.7299999999999998E-2</v>
      </c>
      <c r="EB178" s="230">
        <v>1743200</v>
      </c>
      <c r="EC178" s="229">
        <v>-1.46E-2</v>
      </c>
      <c r="ED178" s="229">
        <v>9.7299999999999998E-2</v>
      </c>
      <c r="EE178" s="228">
        <v>-11.69</v>
      </c>
      <c r="EF178" s="229">
        <v>-1.2800000000000001E-2</v>
      </c>
      <c r="EG178" s="230">
        <v>299645</v>
      </c>
      <c r="EH178" s="230">
        <v>266181</v>
      </c>
      <c r="EI178" s="229">
        <v>0.12570000000000001</v>
      </c>
      <c r="EJ178" s="229">
        <v>0.47120000000000001</v>
      </c>
      <c r="EK178" s="228">
        <v>536.48</v>
      </c>
      <c r="EL178" s="228">
        <v>237.44</v>
      </c>
      <c r="EM178" s="228">
        <v>249.85</v>
      </c>
      <c r="EN178" s="228">
        <v>58.65</v>
      </c>
      <c r="EO178" s="231">
        <v>1023.77</v>
      </c>
      <c r="EP178" s="231">
        <v>1056.6199999999999</v>
      </c>
      <c r="EQ178" s="228">
        <v>-32.85</v>
      </c>
      <c r="ER178" s="229">
        <v>-3.1099999999999999E-2</v>
      </c>
      <c r="ES178" s="228">
        <v>599.04</v>
      </c>
      <c r="ET178" s="228">
        <v>327.16000000000003</v>
      </c>
      <c r="EU178" s="231">
        <v>1838.94</v>
      </c>
      <c r="EV178" s="231">
        <v>39583537</v>
      </c>
      <c r="EW178" s="231">
        <v>2765.13</v>
      </c>
      <c r="EX178" s="231">
        <v>2715.37</v>
      </c>
      <c r="EY178" s="228">
        <v>49.76</v>
      </c>
      <c r="EZ178" s="229">
        <v>1.83E-2</v>
      </c>
      <c r="FA178" s="229">
        <v>0.76680000000000004</v>
      </c>
      <c r="FB178" s="227" t="s">
        <v>567</v>
      </c>
      <c r="FC178">
        <f t="shared" si="3"/>
        <v>0</v>
      </c>
    </row>
    <row r="179" spans="1:159" ht="17.25" thickBot="1" x14ac:dyDescent="0.3">
      <c r="A179" s="226">
        <v>45940</v>
      </c>
      <c r="B179" s="227" t="s">
        <v>175</v>
      </c>
      <c r="C179" s="227" t="s">
        <v>462</v>
      </c>
      <c r="D179" s="228">
        <v>375</v>
      </c>
      <c r="E179" s="228">
        <v>18</v>
      </c>
      <c r="F179" s="231">
        <v>1820.4</v>
      </c>
      <c r="G179" s="231">
        <v>1817.1</v>
      </c>
      <c r="H179" s="228">
        <v>3.3</v>
      </c>
      <c r="I179" s="229">
        <v>1.8E-3</v>
      </c>
      <c r="J179" s="231">
        <v>1810.4</v>
      </c>
      <c r="K179" s="231">
        <v>1809.8</v>
      </c>
      <c r="L179" s="228">
        <v>0.6</v>
      </c>
      <c r="M179" s="229">
        <v>2.9999999999999997E-4</v>
      </c>
      <c r="N179" s="231">
        <v>1820.4</v>
      </c>
      <c r="O179" s="231">
        <v>1817.1</v>
      </c>
      <c r="P179" s="228">
        <v>3.3</v>
      </c>
      <c r="Q179" s="229">
        <v>1.8E-3</v>
      </c>
      <c r="R179" s="231">
        <v>1831.1</v>
      </c>
      <c r="S179" s="231">
        <v>1826.2</v>
      </c>
      <c r="T179" s="228">
        <v>4.9000000000000004</v>
      </c>
      <c r="U179" s="229">
        <v>2.7000000000000001E-3</v>
      </c>
      <c r="V179" s="231">
        <v>1841.7</v>
      </c>
      <c r="W179" s="231">
        <v>1831.2</v>
      </c>
      <c r="X179" s="228">
        <v>10.5</v>
      </c>
      <c r="Y179" s="229">
        <v>5.7000000000000002E-3</v>
      </c>
      <c r="Z179" s="228">
        <v>10</v>
      </c>
      <c r="AA179" s="228">
        <v>7.3</v>
      </c>
      <c r="AB179" s="228">
        <v>2.7</v>
      </c>
      <c r="AC179" s="229">
        <v>5.4999999999999997E-3</v>
      </c>
      <c r="AD179" s="228">
        <v>10</v>
      </c>
      <c r="AE179" s="228">
        <v>7.3</v>
      </c>
      <c r="AF179" s="228">
        <v>2.7</v>
      </c>
      <c r="AG179" s="229">
        <v>5.4999999999999997E-3</v>
      </c>
      <c r="AH179" s="228">
        <v>20.7</v>
      </c>
      <c r="AI179" s="228">
        <v>16.399999999999999</v>
      </c>
      <c r="AJ179" s="228">
        <v>4.3</v>
      </c>
      <c r="AK179" s="229">
        <v>1.14E-2</v>
      </c>
      <c r="AL179" s="228">
        <v>31.3</v>
      </c>
      <c r="AM179" s="228">
        <v>21.4</v>
      </c>
      <c r="AN179" s="228">
        <v>9.9</v>
      </c>
      <c r="AO179" s="229">
        <v>1.7299999999999999E-2</v>
      </c>
      <c r="AP179" s="231">
        <v>1835.04</v>
      </c>
      <c r="AQ179" s="231">
        <v>1844.14</v>
      </c>
      <c r="AR179" s="228">
        <v>0</v>
      </c>
      <c r="AS179" s="228">
        <v>345</v>
      </c>
      <c r="AT179" s="228">
        <v>210</v>
      </c>
      <c r="AU179" s="228">
        <v>135</v>
      </c>
      <c r="AV179" s="229">
        <v>0.63949999999999996</v>
      </c>
      <c r="AW179" s="228">
        <v>323</v>
      </c>
      <c r="AX179" s="228">
        <v>197</v>
      </c>
      <c r="AY179" s="228">
        <v>126</v>
      </c>
      <c r="AZ179" s="229">
        <v>0.63939999999999997</v>
      </c>
      <c r="BA179" s="228">
        <v>18</v>
      </c>
      <c r="BB179" s="228">
        <v>11</v>
      </c>
      <c r="BC179" s="228">
        <v>6</v>
      </c>
      <c r="BD179" s="229">
        <v>0.54759999999999998</v>
      </c>
      <c r="BE179" s="228">
        <v>4</v>
      </c>
      <c r="BF179" s="228">
        <v>2</v>
      </c>
      <c r="BG179" s="228">
        <v>2</v>
      </c>
      <c r="BH179" s="229">
        <v>1.2917000000000001</v>
      </c>
      <c r="BI179" s="230">
        <v>1309</v>
      </c>
      <c r="BJ179" s="228">
        <v>663</v>
      </c>
      <c r="BK179" s="228">
        <v>646</v>
      </c>
      <c r="BL179" s="229">
        <v>0.97440000000000004</v>
      </c>
      <c r="BM179" s="228">
        <v>455</v>
      </c>
      <c r="BN179" s="228">
        <v>275</v>
      </c>
      <c r="BO179" s="228">
        <v>180</v>
      </c>
      <c r="BP179" s="229">
        <v>0.65329999999999999</v>
      </c>
      <c r="BQ179" s="230">
        <v>2109</v>
      </c>
      <c r="BR179" s="230">
        <v>1149</v>
      </c>
      <c r="BS179" s="228">
        <v>960</v>
      </c>
      <c r="BT179" s="229">
        <v>0.83609999999999995</v>
      </c>
      <c r="BU179" s="230">
        <v>1114843</v>
      </c>
      <c r="BV179" s="230">
        <v>862022</v>
      </c>
      <c r="BW179" s="230">
        <v>252821</v>
      </c>
      <c r="BX179" s="229">
        <v>0.29330000000000001</v>
      </c>
      <c r="BY179" s="230">
        <v>1239</v>
      </c>
      <c r="BZ179" s="230">
        <v>1185</v>
      </c>
      <c r="CA179" s="228">
        <v>54</v>
      </c>
      <c r="CB179" s="229">
        <v>4.5499999999999999E-2</v>
      </c>
      <c r="CC179" s="230">
        <v>1213</v>
      </c>
      <c r="CD179" s="230">
        <v>1166</v>
      </c>
      <c r="CE179" s="228">
        <v>47</v>
      </c>
      <c r="CF179" s="229">
        <v>4.0500000000000001E-2</v>
      </c>
      <c r="CG179" s="228">
        <v>20</v>
      </c>
      <c r="CH179" s="228">
        <v>16</v>
      </c>
      <c r="CI179" s="228">
        <v>5</v>
      </c>
      <c r="CJ179" s="229">
        <v>0.31140000000000001</v>
      </c>
      <c r="CK179" s="228">
        <v>6</v>
      </c>
      <c r="CL179" s="228">
        <v>4</v>
      </c>
      <c r="CM179" s="228">
        <v>2</v>
      </c>
      <c r="CN179" s="229">
        <v>0.45900000000000002</v>
      </c>
      <c r="CO179" s="228">
        <v>456</v>
      </c>
      <c r="CP179" s="228">
        <v>330</v>
      </c>
      <c r="CQ179" s="228">
        <v>126</v>
      </c>
      <c r="CR179" s="229">
        <v>0.38140000000000002</v>
      </c>
      <c r="CS179" s="228">
        <v>222</v>
      </c>
      <c r="CT179" s="228">
        <v>190</v>
      </c>
      <c r="CU179" s="228">
        <v>33</v>
      </c>
      <c r="CV179" s="229">
        <v>0.17249999999999999</v>
      </c>
      <c r="CW179" s="230">
        <v>1918</v>
      </c>
      <c r="CX179" s="230">
        <v>1705</v>
      </c>
      <c r="CY179" s="228">
        <v>213</v>
      </c>
      <c r="CZ179" s="229">
        <v>0.12470000000000001</v>
      </c>
      <c r="DA179" s="228">
        <v>19.53</v>
      </c>
      <c r="DB179" s="228">
        <v>20.78</v>
      </c>
      <c r="DC179" s="228">
        <v>-1.25</v>
      </c>
      <c r="DD179" s="228">
        <v>-1.25</v>
      </c>
      <c r="DE179" s="228">
        <v>25.85</v>
      </c>
      <c r="DF179" s="228">
        <v>25.91</v>
      </c>
      <c r="DG179" s="228">
        <v>-6.32</v>
      </c>
      <c r="DH179" s="228">
        <v>-0.06</v>
      </c>
      <c r="DI179" s="228">
        <v>19.329999999999998</v>
      </c>
      <c r="DJ179" s="228">
        <v>20.46</v>
      </c>
      <c r="DK179" s="228">
        <v>-1.1299999999999999</v>
      </c>
      <c r="DL179" s="228">
        <v>-1.1299999999999999</v>
      </c>
      <c r="DM179" s="228">
        <v>20.12</v>
      </c>
      <c r="DN179" s="228">
        <v>21.53</v>
      </c>
      <c r="DO179" s="228">
        <v>-1.41</v>
      </c>
      <c r="DP179" s="228">
        <v>-1.41</v>
      </c>
      <c r="DQ179" s="228">
        <v>0.49</v>
      </c>
      <c r="DR179" s="228">
        <v>0.56999999999999995</v>
      </c>
      <c r="DS179" s="228">
        <v>-0.08</v>
      </c>
      <c r="DT179" s="229">
        <v>-0.1404</v>
      </c>
      <c r="DU179" s="231">
        <v>1800</v>
      </c>
      <c r="DV179" s="231">
        <v>1800</v>
      </c>
      <c r="DW179" s="228">
        <v>0.35</v>
      </c>
      <c r="DX179" s="228">
        <v>0.41</v>
      </c>
      <c r="DY179" s="228">
        <v>-0.06</v>
      </c>
      <c r="DZ179" s="229">
        <v>-0.14630000000000001</v>
      </c>
      <c r="EA179" s="229">
        <v>2.1399999999999999E-2</v>
      </c>
      <c r="EB179" s="230">
        <v>108375</v>
      </c>
      <c r="EC179" s="229">
        <v>5.8999999999999999E-3</v>
      </c>
      <c r="ED179" s="229">
        <v>2.1399999999999999E-2</v>
      </c>
      <c r="EE179" s="228">
        <v>9.1</v>
      </c>
      <c r="EF179" s="229">
        <v>5.0000000000000001E-3</v>
      </c>
      <c r="EG179" s="230">
        <v>608403</v>
      </c>
      <c r="EH179" s="230">
        <v>566550</v>
      </c>
      <c r="EI179" s="229">
        <v>7.3899999999999993E-2</v>
      </c>
      <c r="EJ179" s="229">
        <v>0.54569999999999996</v>
      </c>
      <c r="EK179" s="231">
        <v>1359.42</v>
      </c>
      <c r="EL179" s="228">
        <v>451.66</v>
      </c>
      <c r="EM179" s="228">
        <v>347.85</v>
      </c>
      <c r="EN179" s="228">
        <v>36.020000000000003</v>
      </c>
      <c r="EO179" s="231">
        <v>2158.94</v>
      </c>
      <c r="EP179" s="231">
        <v>1156.3399999999999</v>
      </c>
      <c r="EQ179" s="231">
        <v>1002.6</v>
      </c>
      <c r="ER179" s="229">
        <v>0.86709999999999998</v>
      </c>
      <c r="ES179" s="228">
        <v>468.09</v>
      </c>
      <c r="ET179" s="228">
        <v>214.9</v>
      </c>
      <c r="EU179" s="231">
        <v>1239.68</v>
      </c>
      <c r="EV179" s="231">
        <v>44735132</v>
      </c>
      <c r="EW179" s="231">
        <v>1922.67</v>
      </c>
      <c r="EX179" s="231">
        <v>1703.37</v>
      </c>
      <c r="EY179" s="228">
        <v>219.3</v>
      </c>
      <c r="EZ179" s="229">
        <v>0.12870000000000001</v>
      </c>
      <c r="FA179" s="229">
        <v>0.23549999999999999</v>
      </c>
      <c r="FB179" s="227" t="s">
        <v>555</v>
      </c>
      <c r="FC179">
        <f t="shared" si="3"/>
        <v>0</v>
      </c>
    </row>
    <row r="180" spans="1:159" ht="17.25" thickBot="1" x14ac:dyDescent="0.3">
      <c r="A180" s="226">
        <v>45940</v>
      </c>
      <c r="B180" s="227" t="s">
        <v>172</v>
      </c>
      <c r="C180" s="227" t="s">
        <v>283</v>
      </c>
      <c r="D180" s="228">
        <v>750</v>
      </c>
      <c r="E180" s="228">
        <v>18</v>
      </c>
      <c r="F180" s="228">
        <v>883.35</v>
      </c>
      <c r="G180" s="228">
        <v>866.85</v>
      </c>
      <c r="H180" s="228">
        <v>16.5</v>
      </c>
      <c r="I180" s="229">
        <v>1.9E-2</v>
      </c>
      <c r="J180" s="228">
        <v>880.65</v>
      </c>
      <c r="K180" s="228">
        <v>862.1</v>
      </c>
      <c r="L180" s="228">
        <v>18.55</v>
      </c>
      <c r="M180" s="229">
        <v>2.1499999999999998E-2</v>
      </c>
      <c r="N180" s="228">
        <v>883.35</v>
      </c>
      <c r="O180" s="228">
        <v>866.85</v>
      </c>
      <c r="P180" s="228">
        <v>16.5</v>
      </c>
      <c r="Q180" s="229">
        <v>1.9E-2</v>
      </c>
      <c r="R180" s="228">
        <v>888.1</v>
      </c>
      <c r="S180" s="228">
        <v>871.15</v>
      </c>
      <c r="T180" s="228">
        <v>16.95</v>
      </c>
      <c r="U180" s="229">
        <v>1.95E-2</v>
      </c>
      <c r="V180" s="228">
        <v>893.45</v>
      </c>
      <c r="W180" s="228">
        <v>876.55</v>
      </c>
      <c r="X180" s="228">
        <v>16.899999999999999</v>
      </c>
      <c r="Y180" s="229">
        <v>1.9300000000000001E-2</v>
      </c>
      <c r="Z180" s="228">
        <v>2.7</v>
      </c>
      <c r="AA180" s="228">
        <v>4.75</v>
      </c>
      <c r="AB180" s="228">
        <v>-2.0499999999999998</v>
      </c>
      <c r="AC180" s="229">
        <v>3.0999999999999999E-3</v>
      </c>
      <c r="AD180" s="228">
        <v>2.7</v>
      </c>
      <c r="AE180" s="228">
        <v>4.75</v>
      </c>
      <c r="AF180" s="228">
        <v>-2.0499999999999998</v>
      </c>
      <c r="AG180" s="229">
        <v>3.0999999999999999E-3</v>
      </c>
      <c r="AH180" s="228">
        <v>7.45</v>
      </c>
      <c r="AI180" s="228">
        <v>9.0500000000000007</v>
      </c>
      <c r="AJ180" s="228">
        <v>-1.6</v>
      </c>
      <c r="AK180" s="229">
        <v>8.5000000000000006E-3</v>
      </c>
      <c r="AL180" s="228">
        <v>12.8</v>
      </c>
      <c r="AM180" s="228">
        <v>14.45</v>
      </c>
      <c r="AN180" s="228">
        <v>-1.65</v>
      </c>
      <c r="AO180" s="229">
        <v>1.4500000000000001E-2</v>
      </c>
      <c r="AP180" s="228">
        <v>881.84</v>
      </c>
      <c r="AQ180" s="228">
        <v>885.79</v>
      </c>
      <c r="AR180" s="228">
        <v>0</v>
      </c>
      <c r="AS180" s="230">
        <v>2175</v>
      </c>
      <c r="AT180" s="228">
        <v>937</v>
      </c>
      <c r="AU180" s="230">
        <v>1238</v>
      </c>
      <c r="AV180" s="229">
        <v>1.3221000000000001</v>
      </c>
      <c r="AW180" s="230">
        <v>1990</v>
      </c>
      <c r="AX180" s="228">
        <v>832</v>
      </c>
      <c r="AY180" s="230">
        <v>1158</v>
      </c>
      <c r="AZ180" s="229">
        <v>1.3917999999999999</v>
      </c>
      <c r="BA180" s="228">
        <v>154</v>
      </c>
      <c r="BB180" s="228">
        <v>96</v>
      </c>
      <c r="BC180" s="228">
        <v>58</v>
      </c>
      <c r="BD180" s="229">
        <v>0.59789999999999999</v>
      </c>
      <c r="BE180" s="228">
        <v>31</v>
      </c>
      <c r="BF180" s="228">
        <v>8</v>
      </c>
      <c r="BG180" s="228">
        <v>22</v>
      </c>
      <c r="BH180" s="229">
        <v>2.7787000000000002</v>
      </c>
      <c r="BI180" s="230">
        <v>14060</v>
      </c>
      <c r="BJ180" s="230">
        <v>3714</v>
      </c>
      <c r="BK180" s="230">
        <v>10345</v>
      </c>
      <c r="BL180" s="229">
        <v>2.7852000000000001</v>
      </c>
      <c r="BM180" s="230">
        <v>7098</v>
      </c>
      <c r="BN180" s="230">
        <v>2161</v>
      </c>
      <c r="BO180" s="230">
        <v>4937</v>
      </c>
      <c r="BP180" s="229">
        <v>2.2841999999999998</v>
      </c>
      <c r="BQ180" s="230">
        <v>23333</v>
      </c>
      <c r="BR180" s="230">
        <v>6812</v>
      </c>
      <c r="BS180" s="230">
        <v>16520</v>
      </c>
      <c r="BT180" s="229">
        <v>2.4251</v>
      </c>
      <c r="BU180" s="230">
        <v>15047478</v>
      </c>
      <c r="BV180" s="230">
        <v>8368435</v>
      </c>
      <c r="BW180" s="230">
        <v>6679043</v>
      </c>
      <c r="BX180" s="229">
        <v>0.79810000000000003</v>
      </c>
      <c r="BY180" s="230">
        <v>8394</v>
      </c>
      <c r="BZ180" s="230">
        <v>8547</v>
      </c>
      <c r="CA180" s="228">
        <v>-153</v>
      </c>
      <c r="CB180" s="229">
        <v>-1.7899999999999999E-2</v>
      </c>
      <c r="CC180" s="230">
        <v>8112</v>
      </c>
      <c r="CD180" s="230">
        <v>8290</v>
      </c>
      <c r="CE180" s="228">
        <v>-177</v>
      </c>
      <c r="CF180" s="229">
        <v>-2.1399999999999999E-2</v>
      </c>
      <c r="CG180" s="228">
        <v>250</v>
      </c>
      <c r="CH180" s="228">
        <v>237</v>
      </c>
      <c r="CI180" s="228">
        <v>13</v>
      </c>
      <c r="CJ180" s="229">
        <v>5.3600000000000002E-2</v>
      </c>
      <c r="CK180" s="228">
        <v>32</v>
      </c>
      <c r="CL180" s="228">
        <v>20</v>
      </c>
      <c r="CM180" s="228">
        <v>12</v>
      </c>
      <c r="CN180" s="229">
        <v>0.58960000000000001</v>
      </c>
      <c r="CO180" s="230">
        <v>4066</v>
      </c>
      <c r="CP180" s="230">
        <v>4323</v>
      </c>
      <c r="CQ180" s="228">
        <v>-257</v>
      </c>
      <c r="CR180" s="229">
        <v>-5.9499999999999997E-2</v>
      </c>
      <c r="CS180" s="230">
        <v>2754</v>
      </c>
      <c r="CT180" s="230">
        <v>2477</v>
      </c>
      <c r="CU180" s="228">
        <v>277</v>
      </c>
      <c r="CV180" s="229">
        <v>0.11169999999999999</v>
      </c>
      <c r="CW180" s="230">
        <v>15214</v>
      </c>
      <c r="CX180" s="230">
        <v>15347</v>
      </c>
      <c r="CY180" s="228">
        <v>-133</v>
      </c>
      <c r="CZ180" s="229">
        <v>-8.6999999999999994E-3</v>
      </c>
      <c r="DA180" s="228">
        <v>17.46</v>
      </c>
      <c r="DB180" s="228">
        <v>18.190000000000001</v>
      </c>
      <c r="DC180" s="228">
        <v>-0.73</v>
      </c>
      <c r="DD180" s="228">
        <v>-0.73</v>
      </c>
      <c r="DE180" s="228">
        <v>26.45</v>
      </c>
      <c r="DF180" s="228">
        <v>26.39</v>
      </c>
      <c r="DG180" s="228">
        <v>-8.99</v>
      </c>
      <c r="DH180" s="228">
        <v>0.06</v>
      </c>
      <c r="DI180" s="228">
        <v>17.149999999999999</v>
      </c>
      <c r="DJ180" s="228">
        <v>18.3</v>
      </c>
      <c r="DK180" s="228">
        <v>-1.1499999999999999</v>
      </c>
      <c r="DL180" s="228">
        <v>-1.1499999999999999</v>
      </c>
      <c r="DM180" s="228">
        <v>18.07</v>
      </c>
      <c r="DN180" s="228">
        <v>18.010000000000002</v>
      </c>
      <c r="DO180" s="228">
        <v>0.06</v>
      </c>
      <c r="DP180" s="228">
        <v>0.06</v>
      </c>
      <c r="DQ180" s="228">
        <v>0.68</v>
      </c>
      <c r="DR180" s="228">
        <v>0.56999999999999995</v>
      </c>
      <c r="DS180" s="228">
        <v>0.11</v>
      </c>
      <c r="DT180" s="229">
        <v>0.193</v>
      </c>
      <c r="DU180" s="228">
        <v>880</v>
      </c>
      <c r="DV180" s="228">
        <v>870</v>
      </c>
      <c r="DW180" s="228">
        <v>0.5</v>
      </c>
      <c r="DX180" s="228">
        <v>0.57999999999999996</v>
      </c>
      <c r="DY180" s="228">
        <v>-0.08</v>
      </c>
      <c r="DZ180" s="229">
        <v>-0.13789999999999999</v>
      </c>
      <c r="EA180" s="229">
        <v>3.3599999999999998E-2</v>
      </c>
      <c r="EB180" s="230">
        <v>2916000</v>
      </c>
      <c r="EC180" s="229">
        <v>5.4000000000000003E-3</v>
      </c>
      <c r="ED180" s="229">
        <v>3.3599999999999998E-2</v>
      </c>
      <c r="EE180" s="228">
        <v>3.95</v>
      </c>
      <c r="EF180" s="229">
        <v>4.4999999999999997E-3</v>
      </c>
      <c r="EG180" s="230">
        <v>8207382</v>
      </c>
      <c r="EH180" s="230">
        <v>3729926</v>
      </c>
      <c r="EI180" s="229">
        <v>1.2003999999999999</v>
      </c>
      <c r="EJ180" s="229">
        <v>0.5454</v>
      </c>
      <c r="EK180" s="231">
        <v>14405.79</v>
      </c>
      <c r="EL180" s="231">
        <v>6979.8</v>
      </c>
      <c r="EM180" s="231">
        <v>2172.39</v>
      </c>
      <c r="EN180" s="228">
        <v>165.61</v>
      </c>
      <c r="EO180" s="231">
        <v>23557.97</v>
      </c>
      <c r="EP180" s="231">
        <v>6780.35</v>
      </c>
      <c r="EQ180" s="231">
        <v>16777.62</v>
      </c>
      <c r="ER180" s="229">
        <v>2.4744000000000002</v>
      </c>
      <c r="ES180" s="231">
        <v>4133.3</v>
      </c>
      <c r="ET180" s="231">
        <v>2640.42</v>
      </c>
      <c r="EU180" s="231">
        <v>8396.14</v>
      </c>
      <c r="EV180" s="231">
        <v>407307212</v>
      </c>
      <c r="EW180" s="231">
        <v>15169.86</v>
      </c>
      <c r="EX180" s="231">
        <v>15131.21</v>
      </c>
      <c r="EY180" s="228">
        <v>38.65</v>
      </c>
      <c r="EZ180" s="229">
        <v>2.5999999999999999E-3</v>
      </c>
      <c r="FA180" s="229">
        <v>0.4229</v>
      </c>
      <c r="FB180" s="227" t="s">
        <v>556</v>
      </c>
      <c r="FC180">
        <f t="shared" si="3"/>
        <v>0</v>
      </c>
    </row>
    <row r="181" spans="1:159" ht="17.25" thickBot="1" x14ac:dyDescent="0.3">
      <c r="A181" s="226">
        <v>45940</v>
      </c>
      <c r="B181" s="227" t="s">
        <v>157</v>
      </c>
      <c r="C181" s="227" t="s">
        <v>284</v>
      </c>
      <c r="D181" s="228">
        <v>25</v>
      </c>
      <c r="E181" s="228">
        <v>18</v>
      </c>
      <c r="F181" s="231">
        <v>29605</v>
      </c>
      <c r="G181" s="231">
        <v>29655</v>
      </c>
      <c r="H181" s="228">
        <v>-50</v>
      </c>
      <c r="I181" s="229">
        <v>-1.6999999999999999E-3</v>
      </c>
      <c r="J181" s="231">
        <v>29445</v>
      </c>
      <c r="K181" s="231">
        <v>29485</v>
      </c>
      <c r="L181" s="228">
        <v>-40</v>
      </c>
      <c r="M181" s="229">
        <v>-1.4E-3</v>
      </c>
      <c r="N181" s="231">
        <v>29605</v>
      </c>
      <c r="O181" s="231">
        <v>29655</v>
      </c>
      <c r="P181" s="228">
        <v>-50</v>
      </c>
      <c r="Q181" s="229">
        <v>-1.6999999999999999E-3</v>
      </c>
      <c r="R181" s="231">
        <v>29670</v>
      </c>
      <c r="S181" s="231">
        <v>29675</v>
      </c>
      <c r="T181" s="228">
        <v>-5</v>
      </c>
      <c r="U181" s="229">
        <v>-2.0000000000000001E-4</v>
      </c>
      <c r="V181" s="231">
        <v>29790</v>
      </c>
      <c r="W181" s="231">
        <v>29790</v>
      </c>
      <c r="X181" s="228">
        <v>0</v>
      </c>
      <c r="Y181" s="229">
        <v>0</v>
      </c>
      <c r="Z181" s="228">
        <v>160</v>
      </c>
      <c r="AA181" s="228">
        <v>170</v>
      </c>
      <c r="AB181" s="228">
        <v>-10</v>
      </c>
      <c r="AC181" s="229">
        <v>5.4000000000000003E-3</v>
      </c>
      <c r="AD181" s="228">
        <v>160</v>
      </c>
      <c r="AE181" s="228">
        <v>170</v>
      </c>
      <c r="AF181" s="228">
        <v>-10</v>
      </c>
      <c r="AG181" s="229">
        <v>5.4000000000000003E-3</v>
      </c>
      <c r="AH181" s="228">
        <v>225</v>
      </c>
      <c r="AI181" s="228">
        <v>190</v>
      </c>
      <c r="AJ181" s="228">
        <v>35</v>
      </c>
      <c r="AK181" s="229">
        <v>7.6E-3</v>
      </c>
      <c r="AL181" s="228">
        <v>345</v>
      </c>
      <c r="AM181" s="228">
        <v>305</v>
      </c>
      <c r="AN181" s="228">
        <v>40</v>
      </c>
      <c r="AO181" s="229">
        <v>1.17E-2</v>
      </c>
      <c r="AP181" s="231">
        <v>29645.75</v>
      </c>
      <c r="AQ181" s="231">
        <v>29671.11</v>
      </c>
      <c r="AR181" s="228">
        <v>0</v>
      </c>
      <c r="AS181" s="228">
        <v>44</v>
      </c>
      <c r="AT181" s="228">
        <v>60</v>
      </c>
      <c r="AU181" s="228">
        <v>-16</v>
      </c>
      <c r="AV181" s="229">
        <v>-0.2707</v>
      </c>
      <c r="AW181" s="228">
        <v>42</v>
      </c>
      <c r="AX181" s="228">
        <v>58</v>
      </c>
      <c r="AY181" s="228">
        <v>-16</v>
      </c>
      <c r="AZ181" s="229">
        <v>-0.27729999999999999</v>
      </c>
      <c r="BA181" s="228">
        <v>2</v>
      </c>
      <c r="BB181" s="228">
        <v>2</v>
      </c>
      <c r="BC181" s="228">
        <v>0</v>
      </c>
      <c r="BD181" s="229">
        <v>-0.1</v>
      </c>
      <c r="BE181" s="228">
        <v>0</v>
      </c>
      <c r="BF181" s="228">
        <v>0</v>
      </c>
      <c r="BG181" s="228">
        <v>0</v>
      </c>
      <c r="BH181" s="229">
        <v>0</v>
      </c>
      <c r="BI181" s="228">
        <v>40</v>
      </c>
      <c r="BJ181" s="228">
        <v>57</v>
      </c>
      <c r="BK181" s="228">
        <v>-17</v>
      </c>
      <c r="BL181" s="229">
        <v>-0.29630000000000001</v>
      </c>
      <c r="BM181" s="228">
        <v>11</v>
      </c>
      <c r="BN181" s="228">
        <v>79</v>
      </c>
      <c r="BO181" s="228">
        <v>-68</v>
      </c>
      <c r="BP181" s="229">
        <v>-0.85940000000000005</v>
      </c>
      <c r="BQ181" s="228">
        <v>95</v>
      </c>
      <c r="BR181" s="228">
        <v>196</v>
      </c>
      <c r="BS181" s="228">
        <v>-101</v>
      </c>
      <c r="BT181" s="229">
        <v>-0.51680000000000004</v>
      </c>
      <c r="BU181" s="230">
        <v>17600</v>
      </c>
      <c r="BV181" s="230">
        <v>22217</v>
      </c>
      <c r="BW181" s="230">
        <v>-4617</v>
      </c>
      <c r="BX181" s="229">
        <v>-0.20780000000000001</v>
      </c>
      <c r="BY181" s="228">
        <v>668</v>
      </c>
      <c r="BZ181" s="228">
        <v>669</v>
      </c>
      <c r="CA181" s="228">
        <v>-1</v>
      </c>
      <c r="CB181" s="229">
        <v>-1.5E-3</v>
      </c>
      <c r="CC181" s="228">
        <v>663</v>
      </c>
      <c r="CD181" s="228">
        <v>664</v>
      </c>
      <c r="CE181" s="228">
        <v>-1</v>
      </c>
      <c r="CF181" s="229">
        <v>-1.8E-3</v>
      </c>
      <c r="CG181" s="228">
        <v>5</v>
      </c>
      <c r="CH181" s="228">
        <v>5</v>
      </c>
      <c r="CI181" s="228">
        <v>0</v>
      </c>
      <c r="CJ181" s="229">
        <v>3.0800000000000001E-2</v>
      </c>
      <c r="CK181" s="228">
        <v>0</v>
      </c>
      <c r="CL181" s="228">
        <v>0</v>
      </c>
      <c r="CM181" s="228">
        <v>0</v>
      </c>
      <c r="CN181" s="229">
        <v>0</v>
      </c>
      <c r="CO181" s="228">
        <v>80</v>
      </c>
      <c r="CP181" s="228">
        <v>79</v>
      </c>
      <c r="CQ181" s="228">
        <v>1</v>
      </c>
      <c r="CR181" s="229">
        <v>1.5100000000000001E-2</v>
      </c>
      <c r="CS181" s="228">
        <v>60</v>
      </c>
      <c r="CT181" s="228">
        <v>61</v>
      </c>
      <c r="CU181" s="228">
        <v>0</v>
      </c>
      <c r="CV181" s="229">
        <v>-6.1000000000000004E-3</v>
      </c>
      <c r="CW181" s="228">
        <v>808</v>
      </c>
      <c r="CX181" s="228">
        <v>808</v>
      </c>
      <c r="CY181" s="228">
        <v>0</v>
      </c>
      <c r="CZ181" s="229">
        <v>-2.9999999999999997E-4</v>
      </c>
      <c r="DA181" s="228">
        <v>20.14</v>
      </c>
      <c r="DB181" s="228">
        <v>19.88</v>
      </c>
      <c r="DC181" s="228">
        <v>0.26</v>
      </c>
      <c r="DD181" s="228">
        <v>0.26</v>
      </c>
      <c r="DE181" s="228">
        <v>25.93</v>
      </c>
      <c r="DF181" s="228">
        <v>26</v>
      </c>
      <c r="DG181" s="228">
        <v>-5.79</v>
      </c>
      <c r="DH181" s="228">
        <v>-7.0000000000000007E-2</v>
      </c>
      <c r="DI181" s="228">
        <v>20.3</v>
      </c>
      <c r="DJ181" s="228">
        <v>20.260000000000002</v>
      </c>
      <c r="DK181" s="228">
        <v>0.04</v>
      </c>
      <c r="DL181" s="228">
        <v>0.04</v>
      </c>
      <c r="DM181" s="228">
        <v>19.559999999999999</v>
      </c>
      <c r="DN181" s="228">
        <v>19.62</v>
      </c>
      <c r="DO181" s="228">
        <v>-0.06</v>
      </c>
      <c r="DP181" s="228">
        <v>-0.06</v>
      </c>
      <c r="DQ181" s="228">
        <v>0.76</v>
      </c>
      <c r="DR181" s="228">
        <v>0.77</v>
      </c>
      <c r="DS181" s="228">
        <v>-0.01</v>
      </c>
      <c r="DT181" s="229">
        <v>-1.2999999999999999E-2</v>
      </c>
      <c r="DU181" s="231">
        <v>30000</v>
      </c>
      <c r="DV181" s="231">
        <v>28500</v>
      </c>
      <c r="DW181" s="228">
        <v>0.28000000000000003</v>
      </c>
      <c r="DX181" s="228">
        <v>1.4</v>
      </c>
      <c r="DY181" s="228">
        <v>-1.1200000000000001</v>
      </c>
      <c r="DZ181" s="229">
        <v>-0.8</v>
      </c>
      <c r="EA181" s="229">
        <v>7.4999999999999997E-3</v>
      </c>
      <c r="EB181" s="230">
        <v>1650</v>
      </c>
      <c r="EC181" s="229">
        <v>2.2000000000000001E-3</v>
      </c>
      <c r="ED181" s="229">
        <v>7.4999999999999997E-3</v>
      </c>
      <c r="EE181" s="228">
        <v>25.36</v>
      </c>
      <c r="EF181" s="229">
        <v>8.9999999999999998E-4</v>
      </c>
      <c r="EG181" s="230">
        <v>10967</v>
      </c>
      <c r="EH181" s="230">
        <v>12416</v>
      </c>
      <c r="EI181" s="229">
        <v>-0.1167</v>
      </c>
      <c r="EJ181" s="229">
        <v>0.62309999999999999</v>
      </c>
      <c r="EK181" s="228">
        <v>41.2</v>
      </c>
      <c r="EL181" s="228">
        <v>11.18</v>
      </c>
      <c r="EM181" s="228">
        <v>43.73</v>
      </c>
      <c r="EN181" s="228">
        <v>9.7200000000000006</v>
      </c>
      <c r="EO181" s="228">
        <v>96.11</v>
      </c>
      <c r="EP181" s="228">
        <v>200.95</v>
      </c>
      <c r="EQ181" s="228">
        <v>-104.84</v>
      </c>
      <c r="ER181" s="229">
        <v>-0.52170000000000005</v>
      </c>
      <c r="ES181" s="228">
        <v>82.03</v>
      </c>
      <c r="ET181" s="228">
        <v>59.01</v>
      </c>
      <c r="EU181" s="228">
        <v>668.05</v>
      </c>
      <c r="EV181" s="231">
        <v>1548028</v>
      </c>
      <c r="EW181" s="228">
        <v>809.09</v>
      </c>
      <c r="EX181" s="228">
        <v>810.31</v>
      </c>
      <c r="EY181" s="228">
        <v>-1.22</v>
      </c>
      <c r="EZ181" s="229">
        <v>-1.5E-3</v>
      </c>
      <c r="FA181" s="229">
        <v>0.1764</v>
      </c>
      <c r="FB181" s="227" t="s">
        <v>568</v>
      </c>
      <c r="FC181">
        <f t="shared" si="3"/>
        <v>0</v>
      </c>
    </row>
    <row r="182" spans="1:159" ht="17.25" thickBot="1" x14ac:dyDescent="0.3">
      <c r="A182" s="226">
        <v>45940</v>
      </c>
      <c r="B182" s="227" t="s">
        <v>175</v>
      </c>
      <c r="C182" s="227" t="s">
        <v>562</v>
      </c>
      <c r="D182" s="228">
        <v>825</v>
      </c>
      <c r="E182" s="228">
        <v>18</v>
      </c>
      <c r="F182" s="228">
        <v>667.3</v>
      </c>
      <c r="G182" s="228">
        <v>671.7</v>
      </c>
      <c r="H182" s="228">
        <v>-4.4000000000000004</v>
      </c>
      <c r="I182" s="229">
        <v>-6.6E-3</v>
      </c>
      <c r="J182" s="228">
        <v>665.05</v>
      </c>
      <c r="K182" s="228">
        <v>669.05</v>
      </c>
      <c r="L182" s="228">
        <v>-4</v>
      </c>
      <c r="M182" s="229">
        <v>-6.0000000000000001E-3</v>
      </c>
      <c r="N182" s="228">
        <v>667.3</v>
      </c>
      <c r="O182" s="228">
        <v>671.7</v>
      </c>
      <c r="P182" s="228">
        <v>-4.4000000000000004</v>
      </c>
      <c r="Q182" s="229">
        <v>-6.6E-3</v>
      </c>
      <c r="R182" s="228">
        <v>666.4</v>
      </c>
      <c r="S182" s="228">
        <v>670.85</v>
      </c>
      <c r="T182" s="228">
        <v>-4.45</v>
      </c>
      <c r="U182" s="229">
        <v>-6.6E-3</v>
      </c>
      <c r="V182" s="228">
        <v>670.85</v>
      </c>
      <c r="W182" s="228">
        <v>675</v>
      </c>
      <c r="X182" s="228">
        <v>-4.1500000000000004</v>
      </c>
      <c r="Y182" s="229">
        <v>-6.1000000000000004E-3</v>
      </c>
      <c r="Z182" s="228">
        <v>2.25</v>
      </c>
      <c r="AA182" s="228">
        <v>2.65</v>
      </c>
      <c r="AB182" s="228">
        <v>-0.4</v>
      </c>
      <c r="AC182" s="229">
        <v>3.3999999999999998E-3</v>
      </c>
      <c r="AD182" s="228">
        <v>2.25</v>
      </c>
      <c r="AE182" s="228">
        <v>2.65</v>
      </c>
      <c r="AF182" s="228">
        <v>-0.4</v>
      </c>
      <c r="AG182" s="229">
        <v>3.3999999999999998E-3</v>
      </c>
      <c r="AH182" s="228">
        <v>1.35</v>
      </c>
      <c r="AI182" s="228">
        <v>1.8</v>
      </c>
      <c r="AJ182" s="228">
        <v>-0.45</v>
      </c>
      <c r="AK182" s="229">
        <v>2E-3</v>
      </c>
      <c r="AL182" s="228">
        <v>5.8</v>
      </c>
      <c r="AM182" s="228">
        <v>5.95</v>
      </c>
      <c r="AN182" s="228">
        <v>-0.15</v>
      </c>
      <c r="AO182" s="229">
        <v>8.6999999999999994E-3</v>
      </c>
      <c r="AP182" s="228">
        <v>668.46</v>
      </c>
      <c r="AQ182" s="228">
        <v>667.61</v>
      </c>
      <c r="AR182" s="228">
        <v>0</v>
      </c>
      <c r="AS182" s="228">
        <v>209</v>
      </c>
      <c r="AT182" s="228">
        <v>205</v>
      </c>
      <c r="AU182" s="228">
        <v>4</v>
      </c>
      <c r="AV182" s="229">
        <v>2.07E-2</v>
      </c>
      <c r="AW182" s="228">
        <v>188</v>
      </c>
      <c r="AX182" s="228">
        <v>193</v>
      </c>
      <c r="AY182" s="228">
        <v>-5</v>
      </c>
      <c r="AZ182" s="229">
        <v>-2.7900000000000001E-2</v>
      </c>
      <c r="BA182" s="228">
        <v>17</v>
      </c>
      <c r="BB182" s="228">
        <v>11</v>
      </c>
      <c r="BC182" s="228">
        <v>6</v>
      </c>
      <c r="BD182" s="229">
        <v>0.55669999999999997</v>
      </c>
      <c r="BE182" s="228">
        <v>4</v>
      </c>
      <c r="BF182" s="228">
        <v>0</v>
      </c>
      <c r="BG182" s="228">
        <v>3</v>
      </c>
      <c r="BH182" s="229">
        <v>6.8888999999999996</v>
      </c>
      <c r="BI182" s="228">
        <v>418</v>
      </c>
      <c r="BJ182" s="228">
        <v>366</v>
      </c>
      <c r="BK182" s="228">
        <v>53</v>
      </c>
      <c r="BL182" s="229">
        <v>0.1439</v>
      </c>
      <c r="BM182" s="228">
        <v>240</v>
      </c>
      <c r="BN182" s="228">
        <v>208</v>
      </c>
      <c r="BO182" s="228">
        <v>32</v>
      </c>
      <c r="BP182" s="229">
        <v>0.15459999999999999</v>
      </c>
      <c r="BQ182" s="228">
        <v>868</v>
      </c>
      <c r="BR182" s="228">
        <v>779</v>
      </c>
      <c r="BS182" s="228">
        <v>89</v>
      </c>
      <c r="BT182" s="229">
        <v>0.1143</v>
      </c>
      <c r="BU182" s="230">
        <v>2757980</v>
      </c>
      <c r="BV182" s="230">
        <v>2395530</v>
      </c>
      <c r="BW182" s="230">
        <v>362450</v>
      </c>
      <c r="BX182" s="229">
        <v>0.15129999999999999</v>
      </c>
      <c r="BY182" s="230">
        <v>3303</v>
      </c>
      <c r="BZ182" s="230">
        <v>3323</v>
      </c>
      <c r="CA182" s="228">
        <v>-20</v>
      </c>
      <c r="CB182" s="229">
        <v>-6.1000000000000004E-3</v>
      </c>
      <c r="CC182" s="230">
        <v>3215</v>
      </c>
      <c r="CD182" s="230">
        <v>3244</v>
      </c>
      <c r="CE182" s="228">
        <v>-28</v>
      </c>
      <c r="CF182" s="229">
        <v>-8.6999999999999994E-3</v>
      </c>
      <c r="CG182" s="228">
        <v>77</v>
      </c>
      <c r="CH182" s="228">
        <v>72</v>
      </c>
      <c r="CI182" s="228">
        <v>5</v>
      </c>
      <c r="CJ182" s="229">
        <v>6.2399999999999997E-2</v>
      </c>
      <c r="CK182" s="228">
        <v>11</v>
      </c>
      <c r="CL182" s="228">
        <v>7</v>
      </c>
      <c r="CM182" s="228">
        <v>4</v>
      </c>
      <c r="CN182" s="229">
        <v>0.47410000000000002</v>
      </c>
      <c r="CO182" s="228">
        <v>467</v>
      </c>
      <c r="CP182" s="228">
        <v>475</v>
      </c>
      <c r="CQ182" s="228">
        <v>-8</v>
      </c>
      <c r="CR182" s="229">
        <v>-1.5900000000000001E-2</v>
      </c>
      <c r="CS182" s="228">
        <v>433</v>
      </c>
      <c r="CT182" s="228">
        <v>447</v>
      </c>
      <c r="CU182" s="228">
        <v>-14</v>
      </c>
      <c r="CV182" s="229">
        <v>-3.1399999999999997E-2</v>
      </c>
      <c r="CW182" s="230">
        <v>4204</v>
      </c>
      <c r="CX182" s="230">
        <v>4245</v>
      </c>
      <c r="CY182" s="228">
        <v>-42</v>
      </c>
      <c r="CZ182" s="229">
        <v>-9.9000000000000008E-3</v>
      </c>
      <c r="DA182" s="228">
        <v>30.5</v>
      </c>
      <c r="DB182" s="228">
        <v>30.35</v>
      </c>
      <c r="DC182" s="228">
        <v>0.15</v>
      </c>
      <c r="DD182" s="228">
        <v>0.15</v>
      </c>
      <c r="DE182" s="228">
        <v>41</v>
      </c>
      <c r="DF182" s="228">
        <v>41.09</v>
      </c>
      <c r="DG182" s="228">
        <v>-10.5</v>
      </c>
      <c r="DH182" s="228">
        <v>-0.09</v>
      </c>
      <c r="DI182" s="228">
        <v>30.4</v>
      </c>
      <c r="DJ182" s="228">
        <v>30.11</v>
      </c>
      <c r="DK182" s="228">
        <v>0.28999999999999998</v>
      </c>
      <c r="DL182" s="228">
        <v>0.28999999999999998</v>
      </c>
      <c r="DM182" s="228">
        <v>30.68</v>
      </c>
      <c r="DN182" s="228">
        <v>30.79</v>
      </c>
      <c r="DO182" s="228">
        <v>-0.11</v>
      </c>
      <c r="DP182" s="228">
        <v>-0.11</v>
      </c>
      <c r="DQ182" s="228">
        <v>0.93</v>
      </c>
      <c r="DR182" s="228">
        <v>0.94</v>
      </c>
      <c r="DS182" s="228">
        <v>-0.01</v>
      </c>
      <c r="DT182" s="229">
        <v>-1.06E-2</v>
      </c>
      <c r="DU182" s="228">
        <v>700</v>
      </c>
      <c r="DV182" s="228">
        <v>660</v>
      </c>
      <c r="DW182" s="228">
        <v>0.56999999999999995</v>
      </c>
      <c r="DX182" s="228">
        <v>0.56999999999999995</v>
      </c>
      <c r="DY182" s="228">
        <v>0</v>
      </c>
      <c r="DZ182" s="229">
        <v>0</v>
      </c>
      <c r="EA182" s="229">
        <v>2.6599999999999999E-2</v>
      </c>
      <c r="EB182" s="230">
        <v>1195425</v>
      </c>
      <c r="EC182" s="229">
        <v>-1.2999999999999999E-3</v>
      </c>
      <c r="ED182" s="229">
        <v>2.6599999999999999E-2</v>
      </c>
      <c r="EE182" s="228">
        <v>-0.85</v>
      </c>
      <c r="EF182" s="229">
        <v>-1.2999999999999999E-3</v>
      </c>
      <c r="EG182" s="230">
        <v>1545208</v>
      </c>
      <c r="EH182" s="230">
        <v>1279854</v>
      </c>
      <c r="EI182" s="229">
        <v>0.20730000000000001</v>
      </c>
      <c r="EJ182" s="229">
        <v>0.56030000000000002</v>
      </c>
      <c r="EK182" s="228">
        <v>437.71</v>
      </c>
      <c r="EL182" s="228">
        <v>237.94</v>
      </c>
      <c r="EM182" s="228">
        <v>209.56</v>
      </c>
      <c r="EN182" s="228">
        <v>75.709999999999994</v>
      </c>
      <c r="EO182" s="228">
        <v>885.21</v>
      </c>
      <c r="EP182" s="228">
        <v>795.66</v>
      </c>
      <c r="EQ182" s="228">
        <v>89.55</v>
      </c>
      <c r="ER182" s="229">
        <v>0.1125</v>
      </c>
      <c r="ES182" s="228">
        <v>476.25</v>
      </c>
      <c r="ET182" s="228">
        <v>409.36</v>
      </c>
      <c r="EU182" s="231">
        <v>3303.09</v>
      </c>
      <c r="EV182" s="231">
        <v>210459276</v>
      </c>
      <c r="EW182" s="231">
        <v>4188.71</v>
      </c>
      <c r="EX182" s="231">
        <v>4251.2</v>
      </c>
      <c r="EY182" s="228">
        <v>-62.49</v>
      </c>
      <c r="EZ182" s="229">
        <v>-1.47E-2</v>
      </c>
      <c r="FA182" s="229">
        <v>0.29930000000000001</v>
      </c>
      <c r="FB182" s="227" t="s">
        <v>568</v>
      </c>
      <c r="FC182">
        <f t="shared" si="3"/>
        <v>0</v>
      </c>
    </row>
    <row r="183" spans="1:159" ht="17.25" thickBot="1" x14ac:dyDescent="0.3">
      <c r="A183" s="226">
        <v>45940</v>
      </c>
      <c r="B183" s="227" t="s">
        <v>184</v>
      </c>
      <c r="C183" s="227" t="s">
        <v>285</v>
      </c>
      <c r="D183" s="228">
        <v>125</v>
      </c>
      <c r="E183" s="228">
        <v>18</v>
      </c>
      <c r="F183" s="231">
        <v>3157.5</v>
      </c>
      <c r="G183" s="231">
        <v>3188.2</v>
      </c>
      <c r="H183" s="228">
        <v>-30.7</v>
      </c>
      <c r="I183" s="229">
        <v>-9.5999999999999992E-3</v>
      </c>
      <c r="J183" s="231">
        <v>3147.4</v>
      </c>
      <c r="K183" s="231">
        <v>3178.4</v>
      </c>
      <c r="L183" s="228">
        <v>-31</v>
      </c>
      <c r="M183" s="229">
        <v>-9.7999999999999997E-3</v>
      </c>
      <c r="N183" s="231">
        <v>3157.5</v>
      </c>
      <c r="O183" s="231">
        <v>3188.2</v>
      </c>
      <c r="P183" s="228">
        <v>-30.7</v>
      </c>
      <c r="Q183" s="229">
        <v>-9.5999999999999992E-3</v>
      </c>
      <c r="R183" s="231">
        <v>3175.7</v>
      </c>
      <c r="S183" s="231">
        <v>3207.1</v>
      </c>
      <c r="T183" s="228">
        <v>-31.4</v>
      </c>
      <c r="U183" s="229">
        <v>-9.7999999999999997E-3</v>
      </c>
      <c r="V183" s="231">
        <v>3196.3</v>
      </c>
      <c r="W183" s="231">
        <v>3221</v>
      </c>
      <c r="X183" s="228">
        <v>-24.7</v>
      </c>
      <c r="Y183" s="229">
        <v>-7.7000000000000002E-3</v>
      </c>
      <c r="Z183" s="228">
        <v>10.1</v>
      </c>
      <c r="AA183" s="228">
        <v>9.8000000000000007</v>
      </c>
      <c r="AB183" s="228">
        <v>0.3</v>
      </c>
      <c r="AC183" s="229">
        <v>3.2000000000000002E-3</v>
      </c>
      <c r="AD183" s="228">
        <v>10.1</v>
      </c>
      <c r="AE183" s="228">
        <v>9.8000000000000007</v>
      </c>
      <c r="AF183" s="228">
        <v>0.3</v>
      </c>
      <c r="AG183" s="229">
        <v>3.2000000000000002E-3</v>
      </c>
      <c r="AH183" s="228">
        <v>28.3</v>
      </c>
      <c r="AI183" s="228">
        <v>28.7</v>
      </c>
      <c r="AJ183" s="228">
        <v>-0.4</v>
      </c>
      <c r="AK183" s="229">
        <v>8.9999999999999993E-3</v>
      </c>
      <c r="AL183" s="228">
        <v>48.9</v>
      </c>
      <c r="AM183" s="228">
        <v>42.6</v>
      </c>
      <c r="AN183" s="228">
        <v>6.3</v>
      </c>
      <c r="AO183" s="229">
        <v>1.55E-2</v>
      </c>
      <c r="AP183" s="231">
        <v>3175.48</v>
      </c>
      <c r="AQ183" s="231">
        <v>3190.41</v>
      </c>
      <c r="AR183" s="228">
        <v>0</v>
      </c>
      <c r="AS183" s="228">
        <v>163</v>
      </c>
      <c r="AT183" s="228">
        <v>121</v>
      </c>
      <c r="AU183" s="228">
        <v>42</v>
      </c>
      <c r="AV183" s="229">
        <v>0.3473</v>
      </c>
      <c r="AW183" s="228">
        <v>153</v>
      </c>
      <c r="AX183" s="228">
        <v>115</v>
      </c>
      <c r="AY183" s="228">
        <v>38</v>
      </c>
      <c r="AZ183" s="229">
        <v>0.32700000000000001</v>
      </c>
      <c r="BA183" s="228">
        <v>10</v>
      </c>
      <c r="BB183" s="228">
        <v>6</v>
      </c>
      <c r="BC183" s="228">
        <v>4</v>
      </c>
      <c r="BD183" s="229">
        <v>0.71630000000000005</v>
      </c>
      <c r="BE183" s="228">
        <v>1</v>
      </c>
      <c r="BF183" s="228">
        <v>1</v>
      </c>
      <c r="BG183" s="228">
        <v>1</v>
      </c>
      <c r="BH183" s="229">
        <v>0.76470000000000005</v>
      </c>
      <c r="BI183" s="228">
        <v>436</v>
      </c>
      <c r="BJ183" s="228">
        <v>332</v>
      </c>
      <c r="BK183" s="228">
        <v>104</v>
      </c>
      <c r="BL183" s="229">
        <v>0.31280000000000002</v>
      </c>
      <c r="BM183" s="228">
        <v>136</v>
      </c>
      <c r="BN183" s="228">
        <v>164</v>
      </c>
      <c r="BO183" s="228">
        <v>-29</v>
      </c>
      <c r="BP183" s="229">
        <v>-0.17399999999999999</v>
      </c>
      <c r="BQ183" s="228">
        <v>736</v>
      </c>
      <c r="BR183" s="228">
        <v>618</v>
      </c>
      <c r="BS183" s="228">
        <v>117</v>
      </c>
      <c r="BT183" s="229">
        <v>0.19009999999999999</v>
      </c>
      <c r="BU183" s="230">
        <v>244671</v>
      </c>
      <c r="BV183" s="230">
        <v>133980</v>
      </c>
      <c r="BW183" s="230">
        <v>110691</v>
      </c>
      <c r="BX183" s="229">
        <v>0.82620000000000005</v>
      </c>
      <c r="BY183" s="228">
        <v>681</v>
      </c>
      <c r="BZ183" s="228">
        <v>684</v>
      </c>
      <c r="CA183" s="228">
        <v>-3</v>
      </c>
      <c r="CB183" s="229">
        <v>-4.4999999999999997E-3</v>
      </c>
      <c r="CC183" s="228">
        <v>658</v>
      </c>
      <c r="CD183" s="228">
        <v>667</v>
      </c>
      <c r="CE183" s="228">
        <v>-9</v>
      </c>
      <c r="CF183" s="229">
        <v>-1.38E-2</v>
      </c>
      <c r="CG183" s="228">
        <v>20</v>
      </c>
      <c r="CH183" s="228">
        <v>15</v>
      </c>
      <c r="CI183" s="228">
        <v>5</v>
      </c>
      <c r="CJ183" s="229">
        <v>0.36959999999999998</v>
      </c>
      <c r="CK183" s="228">
        <v>3</v>
      </c>
      <c r="CL183" s="228">
        <v>2</v>
      </c>
      <c r="CM183" s="228">
        <v>1</v>
      </c>
      <c r="CN183" s="229">
        <v>0.31669999999999998</v>
      </c>
      <c r="CO183" s="228">
        <v>330</v>
      </c>
      <c r="CP183" s="228">
        <v>286</v>
      </c>
      <c r="CQ183" s="228">
        <v>44</v>
      </c>
      <c r="CR183" s="229">
        <v>0.1537</v>
      </c>
      <c r="CS183" s="228">
        <v>135</v>
      </c>
      <c r="CT183" s="228">
        <v>127</v>
      </c>
      <c r="CU183" s="228">
        <v>7</v>
      </c>
      <c r="CV183" s="229">
        <v>5.67E-2</v>
      </c>
      <c r="CW183" s="230">
        <v>1146</v>
      </c>
      <c r="CX183" s="230">
        <v>1097</v>
      </c>
      <c r="CY183" s="228">
        <v>48</v>
      </c>
      <c r="CZ183" s="229">
        <v>4.3900000000000002E-2</v>
      </c>
      <c r="DA183" s="228">
        <v>26.41</v>
      </c>
      <c r="DB183" s="228">
        <v>25.75</v>
      </c>
      <c r="DC183" s="228">
        <v>0.66</v>
      </c>
      <c r="DD183" s="228">
        <v>0.66</v>
      </c>
      <c r="DE183" s="228">
        <v>40</v>
      </c>
      <c r="DF183" s="228">
        <v>40.08</v>
      </c>
      <c r="DG183" s="228">
        <v>-13.59</v>
      </c>
      <c r="DH183" s="228">
        <v>-0.08</v>
      </c>
      <c r="DI183" s="228">
        <v>26.62</v>
      </c>
      <c r="DJ183" s="228">
        <v>25.88</v>
      </c>
      <c r="DK183" s="228">
        <v>0.74</v>
      </c>
      <c r="DL183" s="228">
        <v>0.74</v>
      </c>
      <c r="DM183" s="228">
        <v>25.74</v>
      </c>
      <c r="DN183" s="228">
        <v>25.49</v>
      </c>
      <c r="DO183" s="228">
        <v>0.25</v>
      </c>
      <c r="DP183" s="228">
        <v>0.25</v>
      </c>
      <c r="DQ183" s="228">
        <v>0.41</v>
      </c>
      <c r="DR183" s="228">
        <v>0.45</v>
      </c>
      <c r="DS183" s="228">
        <v>-0.04</v>
      </c>
      <c r="DT183" s="229">
        <v>-8.8900000000000007E-2</v>
      </c>
      <c r="DU183" s="231">
        <v>3300</v>
      </c>
      <c r="DV183" s="231">
        <v>3200</v>
      </c>
      <c r="DW183" s="228">
        <v>0.31</v>
      </c>
      <c r="DX183" s="228">
        <v>0.49</v>
      </c>
      <c r="DY183" s="228">
        <v>-0.18</v>
      </c>
      <c r="DZ183" s="229">
        <v>-0.36730000000000002</v>
      </c>
      <c r="EA183" s="229">
        <v>3.3799999999999997E-2</v>
      </c>
      <c r="EB183" s="230">
        <v>53500</v>
      </c>
      <c r="EC183" s="229">
        <v>5.7999999999999996E-3</v>
      </c>
      <c r="ED183" s="229">
        <v>3.3799999999999997E-2</v>
      </c>
      <c r="EE183" s="228">
        <v>14.93</v>
      </c>
      <c r="EF183" s="229">
        <v>4.7000000000000002E-3</v>
      </c>
      <c r="EG183" s="230">
        <v>149700</v>
      </c>
      <c r="EH183" s="230">
        <v>55691</v>
      </c>
      <c r="EI183" s="229">
        <v>1.6879999999999999</v>
      </c>
      <c r="EJ183" s="229">
        <v>0.61180000000000001</v>
      </c>
      <c r="EK183" s="228">
        <v>459.58</v>
      </c>
      <c r="EL183" s="228">
        <v>137.36000000000001</v>
      </c>
      <c r="EM183" s="228">
        <v>164.35</v>
      </c>
      <c r="EN183" s="228">
        <v>31.99</v>
      </c>
      <c r="EO183" s="228">
        <v>761.29</v>
      </c>
      <c r="EP183" s="228">
        <v>641.62</v>
      </c>
      <c r="EQ183" s="228">
        <v>119.68</v>
      </c>
      <c r="ER183" s="229">
        <v>0.1865</v>
      </c>
      <c r="ES183" s="228">
        <v>347.78</v>
      </c>
      <c r="ET183" s="228">
        <v>131.96</v>
      </c>
      <c r="EU183" s="228">
        <v>680.75</v>
      </c>
      <c r="EV183" s="231">
        <v>13354588</v>
      </c>
      <c r="EW183" s="231">
        <v>1160.49</v>
      </c>
      <c r="EX183" s="231">
        <v>1117.98</v>
      </c>
      <c r="EY183" s="228">
        <v>42.51</v>
      </c>
      <c r="EZ183" s="229">
        <v>3.7999999999999999E-2</v>
      </c>
      <c r="FA183" s="229">
        <v>0.2717</v>
      </c>
      <c r="FB183" s="227" t="s">
        <v>568</v>
      </c>
      <c r="FC183">
        <f t="shared" si="3"/>
        <v>0</v>
      </c>
    </row>
    <row r="184" spans="1:159" ht="17.25" thickBot="1" x14ac:dyDescent="0.3">
      <c r="A184" s="226">
        <v>45940</v>
      </c>
      <c r="B184" s="227" t="s">
        <v>498</v>
      </c>
      <c r="C184" s="227" t="s">
        <v>647</v>
      </c>
      <c r="D184" s="228">
        <v>75</v>
      </c>
      <c r="E184" s="228">
        <v>18</v>
      </c>
      <c r="F184" s="231">
        <v>14183</v>
      </c>
      <c r="G184" s="231">
        <v>14312</v>
      </c>
      <c r="H184" s="228">
        <v>-129</v>
      </c>
      <c r="I184" s="229">
        <v>-8.9999999999999993E-3</v>
      </c>
      <c r="J184" s="231">
        <v>14110</v>
      </c>
      <c r="K184" s="231">
        <v>14239</v>
      </c>
      <c r="L184" s="228">
        <v>-129</v>
      </c>
      <c r="M184" s="229">
        <v>-9.1000000000000004E-3</v>
      </c>
      <c r="N184" s="231">
        <v>14183</v>
      </c>
      <c r="O184" s="231">
        <v>14312</v>
      </c>
      <c r="P184" s="228">
        <v>-129</v>
      </c>
      <c r="Q184" s="229">
        <v>-8.9999999999999993E-3</v>
      </c>
      <c r="R184" s="231">
        <v>14258</v>
      </c>
      <c r="S184" s="231">
        <v>14390</v>
      </c>
      <c r="T184" s="228">
        <v>-132</v>
      </c>
      <c r="U184" s="229">
        <v>-9.1999999999999998E-3</v>
      </c>
      <c r="V184" s="231">
        <v>14362</v>
      </c>
      <c r="W184" s="231">
        <v>14465</v>
      </c>
      <c r="X184" s="228">
        <v>-103</v>
      </c>
      <c r="Y184" s="229">
        <v>-7.1000000000000004E-3</v>
      </c>
      <c r="Z184" s="228">
        <v>73</v>
      </c>
      <c r="AA184" s="228">
        <v>73</v>
      </c>
      <c r="AB184" s="228">
        <v>0</v>
      </c>
      <c r="AC184" s="229">
        <v>5.1999999999999998E-3</v>
      </c>
      <c r="AD184" s="228">
        <v>73</v>
      </c>
      <c r="AE184" s="228">
        <v>73</v>
      </c>
      <c r="AF184" s="228">
        <v>0</v>
      </c>
      <c r="AG184" s="229">
        <v>5.1999999999999998E-3</v>
      </c>
      <c r="AH184" s="228">
        <v>148</v>
      </c>
      <c r="AI184" s="228">
        <v>151</v>
      </c>
      <c r="AJ184" s="228">
        <v>-3</v>
      </c>
      <c r="AK184" s="229">
        <v>1.0500000000000001E-2</v>
      </c>
      <c r="AL184" s="228">
        <v>252</v>
      </c>
      <c r="AM184" s="228">
        <v>226</v>
      </c>
      <c r="AN184" s="228">
        <v>26</v>
      </c>
      <c r="AO184" s="229">
        <v>1.7899999999999999E-2</v>
      </c>
      <c r="AP184" s="231">
        <v>14244.01</v>
      </c>
      <c r="AQ184" s="231">
        <v>14324.91</v>
      </c>
      <c r="AR184" s="228">
        <v>0</v>
      </c>
      <c r="AS184" s="228">
        <v>157</v>
      </c>
      <c r="AT184" s="228">
        <v>191</v>
      </c>
      <c r="AU184" s="228">
        <v>-34</v>
      </c>
      <c r="AV184" s="229">
        <v>-0.17649999999999999</v>
      </c>
      <c r="AW184" s="228">
        <v>142</v>
      </c>
      <c r="AX184" s="228">
        <v>177</v>
      </c>
      <c r="AY184" s="228">
        <v>-35</v>
      </c>
      <c r="AZ184" s="229">
        <v>-0.1978</v>
      </c>
      <c r="BA184" s="228">
        <v>12</v>
      </c>
      <c r="BB184" s="228">
        <v>13</v>
      </c>
      <c r="BC184" s="228">
        <v>-1</v>
      </c>
      <c r="BD184" s="229">
        <v>-5.79E-2</v>
      </c>
      <c r="BE184" s="228">
        <v>3</v>
      </c>
      <c r="BF184" s="228">
        <v>1</v>
      </c>
      <c r="BG184" s="228">
        <v>2</v>
      </c>
      <c r="BH184" s="229">
        <v>2.8571</v>
      </c>
      <c r="BI184" s="228">
        <v>501</v>
      </c>
      <c r="BJ184" s="228">
        <v>729</v>
      </c>
      <c r="BK184" s="228">
        <v>-228</v>
      </c>
      <c r="BL184" s="229">
        <v>-0.31280000000000002</v>
      </c>
      <c r="BM184" s="228">
        <v>224</v>
      </c>
      <c r="BN184" s="228">
        <v>264</v>
      </c>
      <c r="BO184" s="228">
        <v>-40</v>
      </c>
      <c r="BP184" s="229">
        <v>-0.15049999999999999</v>
      </c>
      <c r="BQ184" s="228">
        <v>882</v>
      </c>
      <c r="BR184" s="230">
        <v>1184</v>
      </c>
      <c r="BS184" s="228">
        <v>-301</v>
      </c>
      <c r="BT184" s="229">
        <v>-0.25469999999999998</v>
      </c>
      <c r="BU184" s="230">
        <v>64450</v>
      </c>
      <c r="BV184" s="230">
        <v>71125</v>
      </c>
      <c r="BW184" s="230">
        <v>-6675</v>
      </c>
      <c r="BX184" s="229">
        <v>-9.3799999999999994E-2</v>
      </c>
      <c r="BY184" s="230">
        <v>1217</v>
      </c>
      <c r="BZ184" s="230">
        <v>1191</v>
      </c>
      <c r="CA184" s="228">
        <v>26</v>
      </c>
      <c r="CB184" s="229">
        <v>2.2100000000000002E-2</v>
      </c>
      <c r="CC184" s="230">
        <v>1147</v>
      </c>
      <c r="CD184" s="230">
        <v>1124</v>
      </c>
      <c r="CE184" s="228">
        <v>23</v>
      </c>
      <c r="CF184" s="229">
        <v>2.0400000000000001E-2</v>
      </c>
      <c r="CG184" s="228">
        <v>65</v>
      </c>
      <c r="CH184" s="228">
        <v>63</v>
      </c>
      <c r="CI184" s="228">
        <v>2</v>
      </c>
      <c r="CJ184" s="229">
        <v>2.7E-2</v>
      </c>
      <c r="CK184" s="228">
        <v>5</v>
      </c>
      <c r="CL184" s="228">
        <v>3</v>
      </c>
      <c r="CM184" s="228">
        <v>2</v>
      </c>
      <c r="CN184" s="229">
        <v>0.4839</v>
      </c>
      <c r="CO184" s="228">
        <v>474</v>
      </c>
      <c r="CP184" s="228">
        <v>455</v>
      </c>
      <c r="CQ184" s="228">
        <v>20</v>
      </c>
      <c r="CR184" s="229">
        <v>4.3499999999999997E-2</v>
      </c>
      <c r="CS184" s="228">
        <v>340</v>
      </c>
      <c r="CT184" s="228">
        <v>341</v>
      </c>
      <c r="CU184" s="228">
        <v>-1</v>
      </c>
      <c r="CV184" s="229">
        <v>-3.7000000000000002E-3</v>
      </c>
      <c r="CW184" s="230">
        <v>2031</v>
      </c>
      <c r="CX184" s="230">
        <v>1987</v>
      </c>
      <c r="CY184" s="228">
        <v>45</v>
      </c>
      <c r="CZ184" s="229">
        <v>2.2499999999999999E-2</v>
      </c>
      <c r="DA184" s="228">
        <v>31.57</v>
      </c>
      <c r="DB184" s="228">
        <v>31.54</v>
      </c>
      <c r="DC184" s="228">
        <v>0.03</v>
      </c>
      <c r="DD184" s="228">
        <v>0.03</v>
      </c>
      <c r="DE184" s="228">
        <v>41.37</v>
      </c>
      <c r="DF184" s="228">
        <v>41.46</v>
      </c>
      <c r="DG184" s="228">
        <v>-9.8000000000000007</v>
      </c>
      <c r="DH184" s="228">
        <v>-0.09</v>
      </c>
      <c r="DI184" s="228">
        <v>31.17</v>
      </c>
      <c r="DJ184" s="228">
        <v>30.44</v>
      </c>
      <c r="DK184" s="228">
        <v>0.73</v>
      </c>
      <c r="DL184" s="228">
        <v>0.73</v>
      </c>
      <c r="DM184" s="228">
        <v>32.47</v>
      </c>
      <c r="DN184" s="228">
        <v>34.58</v>
      </c>
      <c r="DO184" s="228">
        <v>-2.11</v>
      </c>
      <c r="DP184" s="228">
        <v>-2.11</v>
      </c>
      <c r="DQ184" s="228">
        <v>0.72</v>
      </c>
      <c r="DR184" s="228">
        <v>0.75</v>
      </c>
      <c r="DS184" s="228">
        <v>-0.03</v>
      </c>
      <c r="DT184" s="229">
        <v>-0.04</v>
      </c>
      <c r="DU184" s="231">
        <v>15000</v>
      </c>
      <c r="DV184" s="231">
        <v>14000</v>
      </c>
      <c r="DW184" s="228">
        <v>0.45</v>
      </c>
      <c r="DX184" s="228">
        <v>0.36</v>
      </c>
      <c r="DY184" s="228">
        <v>0.09</v>
      </c>
      <c r="DZ184" s="229">
        <v>0.25</v>
      </c>
      <c r="EA184" s="229">
        <v>5.7200000000000001E-2</v>
      </c>
      <c r="EB184" s="230">
        <v>46725</v>
      </c>
      <c r="EC184" s="229">
        <v>5.3E-3</v>
      </c>
      <c r="ED184" s="229">
        <v>5.7200000000000001E-2</v>
      </c>
      <c r="EE184" s="228">
        <v>80.900000000000006</v>
      </c>
      <c r="EF184" s="229">
        <v>5.7000000000000002E-3</v>
      </c>
      <c r="EG184" s="230">
        <v>33066</v>
      </c>
      <c r="EH184" s="230">
        <v>29706</v>
      </c>
      <c r="EI184" s="229">
        <v>0.11310000000000001</v>
      </c>
      <c r="EJ184" s="229">
        <v>0.51300000000000001</v>
      </c>
      <c r="EK184" s="228">
        <v>533.96</v>
      </c>
      <c r="EL184" s="228">
        <v>209.74</v>
      </c>
      <c r="EM184" s="228">
        <v>158.11000000000001</v>
      </c>
      <c r="EN184" s="228">
        <v>22.35</v>
      </c>
      <c r="EO184" s="228">
        <v>901.81</v>
      </c>
      <c r="EP184" s="231">
        <v>1205.1500000000001</v>
      </c>
      <c r="EQ184" s="228">
        <v>-303.35000000000002</v>
      </c>
      <c r="ER184" s="229">
        <v>-0.25169999999999998</v>
      </c>
      <c r="ES184" s="228">
        <v>497.78</v>
      </c>
      <c r="ET184" s="228">
        <v>324.69</v>
      </c>
      <c r="EU184" s="231">
        <v>1217.2</v>
      </c>
      <c r="EV184" s="231">
        <v>3644817</v>
      </c>
      <c r="EW184" s="231">
        <v>2039.67</v>
      </c>
      <c r="EX184" s="231">
        <v>2002.54</v>
      </c>
      <c r="EY184" s="228">
        <v>37.130000000000003</v>
      </c>
      <c r="EZ184" s="229">
        <v>1.8499999999999999E-2</v>
      </c>
      <c r="FA184" s="229">
        <v>0.39300000000000002</v>
      </c>
      <c r="FB184" s="227" t="s">
        <v>567</v>
      </c>
      <c r="FC184">
        <f t="shared" si="3"/>
        <v>0</v>
      </c>
    </row>
    <row r="185" spans="1:159" ht="17.25" thickBot="1" x14ac:dyDescent="0.3">
      <c r="A185" s="226">
        <v>45940</v>
      </c>
      <c r="B185" s="227" t="s">
        <v>162</v>
      </c>
      <c r="C185" s="227" t="s">
        <v>615</v>
      </c>
      <c r="D185" s="228">
        <v>1050</v>
      </c>
      <c r="E185" s="228">
        <v>18</v>
      </c>
      <c r="F185" s="228">
        <v>434</v>
      </c>
      <c r="G185" s="228">
        <v>430.65</v>
      </c>
      <c r="H185" s="228">
        <v>3.35</v>
      </c>
      <c r="I185" s="229">
        <v>7.7999999999999996E-3</v>
      </c>
      <c r="J185" s="228">
        <v>432.8</v>
      </c>
      <c r="K185" s="228">
        <v>429.45</v>
      </c>
      <c r="L185" s="228">
        <v>3.35</v>
      </c>
      <c r="M185" s="229">
        <v>7.7999999999999996E-3</v>
      </c>
      <c r="N185" s="228">
        <v>434</v>
      </c>
      <c r="O185" s="228">
        <v>430.65</v>
      </c>
      <c r="P185" s="228">
        <v>3.35</v>
      </c>
      <c r="Q185" s="229">
        <v>7.7999999999999996E-3</v>
      </c>
      <c r="R185" s="228">
        <v>436.7</v>
      </c>
      <c r="S185" s="228">
        <v>432.95</v>
      </c>
      <c r="T185" s="228">
        <v>3.75</v>
      </c>
      <c r="U185" s="229">
        <v>8.6999999999999994E-3</v>
      </c>
      <c r="V185" s="228">
        <v>438.6</v>
      </c>
      <c r="W185" s="228">
        <v>435.6</v>
      </c>
      <c r="X185" s="228">
        <v>3</v>
      </c>
      <c r="Y185" s="229">
        <v>6.8999999999999999E-3</v>
      </c>
      <c r="Z185" s="228">
        <v>1.2</v>
      </c>
      <c r="AA185" s="228">
        <v>1.2</v>
      </c>
      <c r="AB185" s="228">
        <v>0</v>
      </c>
      <c r="AC185" s="229">
        <v>2.8E-3</v>
      </c>
      <c r="AD185" s="228">
        <v>1.2</v>
      </c>
      <c r="AE185" s="228">
        <v>1.2</v>
      </c>
      <c r="AF185" s="228">
        <v>0</v>
      </c>
      <c r="AG185" s="229">
        <v>2.8E-3</v>
      </c>
      <c r="AH185" s="228">
        <v>3.9</v>
      </c>
      <c r="AI185" s="228">
        <v>3.5</v>
      </c>
      <c r="AJ185" s="228">
        <v>0.4</v>
      </c>
      <c r="AK185" s="229">
        <v>8.9999999999999993E-3</v>
      </c>
      <c r="AL185" s="228">
        <v>5.8</v>
      </c>
      <c r="AM185" s="228">
        <v>6.15</v>
      </c>
      <c r="AN185" s="228">
        <v>-0.35</v>
      </c>
      <c r="AO185" s="229">
        <v>1.34E-2</v>
      </c>
      <c r="AP185" s="228">
        <v>440.95</v>
      </c>
      <c r="AQ185" s="228">
        <v>443.45</v>
      </c>
      <c r="AR185" s="228">
        <v>0</v>
      </c>
      <c r="AS185" s="228">
        <v>375</v>
      </c>
      <c r="AT185" s="228">
        <v>255</v>
      </c>
      <c r="AU185" s="228">
        <v>120</v>
      </c>
      <c r="AV185" s="229">
        <v>0.46949999999999997</v>
      </c>
      <c r="AW185" s="228">
        <v>344</v>
      </c>
      <c r="AX185" s="228">
        <v>230</v>
      </c>
      <c r="AY185" s="228">
        <v>114</v>
      </c>
      <c r="AZ185" s="229">
        <v>0.495</v>
      </c>
      <c r="BA185" s="228">
        <v>28</v>
      </c>
      <c r="BB185" s="228">
        <v>22</v>
      </c>
      <c r="BC185" s="228">
        <v>7</v>
      </c>
      <c r="BD185" s="229">
        <v>0.30330000000000001</v>
      </c>
      <c r="BE185" s="228">
        <v>3</v>
      </c>
      <c r="BF185" s="228">
        <v>4</v>
      </c>
      <c r="BG185" s="228">
        <v>-1</v>
      </c>
      <c r="BH185" s="229">
        <v>-0.1341</v>
      </c>
      <c r="BI185" s="230">
        <v>1204</v>
      </c>
      <c r="BJ185" s="228">
        <v>799</v>
      </c>
      <c r="BK185" s="228">
        <v>405</v>
      </c>
      <c r="BL185" s="229">
        <v>0.50739999999999996</v>
      </c>
      <c r="BM185" s="228">
        <v>497</v>
      </c>
      <c r="BN185" s="228">
        <v>307</v>
      </c>
      <c r="BO185" s="228">
        <v>190</v>
      </c>
      <c r="BP185" s="229">
        <v>0.6179</v>
      </c>
      <c r="BQ185" s="230">
        <v>2076</v>
      </c>
      <c r="BR185" s="230">
        <v>1361</v>
      </c>
      <c r="BS185" s="228">
        <v>715</v>
      </c>
      <c r="BT185" s="229">
        <v>0.5252</v>
      </c>
      <c r="BU185" s="230">
        <v>8933828</v>
      </c>
      <c r="BV185" s="230">
        <v>4912651</v>
      </c>
      <c r="BW185" s="230">
        <v>4021177</v>
      </c>
      <c r="BX185" s="229">
        <v>0.81850000000000001</v>
      </c>
      <c r="BY185" s="228">
        <v>947</v>
      </c>
      <c r="BZ185" s="230">
        <v>1021</v>
      </c>
      <c r="CA185" s="228">
        <v>-74</v>
      </c>
      <c r="CB185" s="229">
        <v>-7.2099999999999997E-2</v>
      </c>
      <c r="CC185" s="228">
        <v>917</v>
      </c>
      <c r="CD185" s="228">
        <v>990</v>
      </c>
      <c r="CE185" s="228">
        <v>-74</v>
      </c>
      <c r="CF185" s="229">
        <v>-7.4499999999999997E-2</v>
      </c>
      <c r="CG185" s="228">
        <v>27</v>
      </c>
      <c r="CH185" s="228">
        <v>27</v>
      </c>
      <c r="CI185" s="228">
        <v>0</v>
      </c>
      <c r="CJ185" s="229">
        <v>-1.6999999999999999E-3</v>
      </c>
      <c r="CK185" s="228">
        <v>4</v>
      </c>
      <c r="CL185" s="228">
        <v>4</v>
      </c>
      <c r="CM185" s="228">
        <v>0</v>
      </c>
      <c r="CN185" s="229">
        <v>4.9399999999999999E-2</v>
      </c>
      <c r="CO185" s="228">
        <v>276</v>
      </c>
      <c r="CP185" s="228">
        <v>195</v>
      </c>
      <c r="CQ185" s="228">
        <v>80</v>
      </c>
      <c r="CR185" s="229">
        <v>0.41189999999999999</v>
      </c>
      <c r="CS185" s="228">
        <v>166</v>
      </c>
      <c r="CT185" s="228">
        <v>142</v>
      </c>
      <c r="CU185" s="228">
        <v>24</v>
      </c>
      <c r="CV185" s="229">
        <v>0.16950000000000001</v>
      </c>
      <c r="CW185" s="230">
        <v>1389</v>
      </c>
      <c r="CX185" s="230">
        <v>1358</v>
      </c>
      <c r="CY185" s="228">
        <v>31</v>
      </c>
      <c r="CZ185" s="229">
        <v>2.2800000000000001E-2</v>
      </c>
      <c r="DA185" s="228">
        <v>33.33</v>
      </c>
      <c r="DB185" s="228">
        <v>34.89</v>
      </c>
      <c r="DC185" s="228">
        <v>-1.56</v>
      </c>
      <c r="DD185" s="228">
        <v>-1.56</v>
      </c>
      <c r="DE185" s="228">
        <v>41.12</v>
      </c>
      <c r="DF185" s="228">
        <v>41.21</v>
      </c>
      <c r="DG185" s="228">
        <v>-7.79</v>
      </c>
      <c r="DH185" s="228">
        <v>-0.09</v>
      </c>
      <c r="DI185" s="228">
        <v>33.65</v>
      </c>
      <c r="DJ185" s="228">
        <v>34.659999999999997</v>
      </c>
      <c r="DK185" s="228">
        <v>-1.01</v>
      </c>
      <c r="DL185" s="228">
        <v>-1.01</v>
      </c>
      <c r="DM185" s="228">
        <v>32.549999999999997</v>
      </c>
      <c r="DN185" s="228">
        <v>35.49</v>
      </c>
      <c r="DO185" s="228">
        <v>-2.94</v>
      </c>
      <c r="DP185" s="228">
        <v>-2.94</v>
      </c>
      <c r="DQ185" s="228">
        <v>0.6</v>
      </c>
      <c r="DR185" s="228">
        <v>0.73</v>
      </c>
      <c r="DS185" s="228">
        <v>-0.13</v>
      </c>
      <c r="DT185" s="229">
        <v>-0.17810000000000001</v>
      </c>
      <c r="DU185" s="228">
        <v>450</v>
      </c>
      <c r="DV185" s="228">
        <v>400</v>
      </c>
      <c r="DW185" s="228">
        <v>0.41</v>
      </c>
      <c r="DX185" s="228">
        <v>0.38</v>
      </c>
      <c r="DY185" s="228">
        <v>0.03</v>
      </c>
      <c r="DZ185" s="229">
        <v>7.8899999999999998E-2</v>
      </c>
      <c r="EA185" s="229">
        <v>3.2099999999999997E-2</v>
      </c>
      <c r="EB185" s="230">
        <v>697200</v>
      </c>
      <c r="EC185" s="229">
        <v>6.1999999999999998E-3</v>
      </c>
      <c r="ED185" s="229">
        <v>3.2099999999999997E-2</v>
      </c>
      <c r="EE185" s="228">
        <v>2.5</v>
      </c>
      <c r="EF185" s="229">
        <v>5.7000000000000002E-3</v>
      </c>
      <c r="EG185" s="230">
        <v>2853027</v>
      </c>
      <c r="EH185" s="230">
        <v>1961510</v>
      </c>
      <c r="EI185" s="229">
        <v>0.45450000000000002</v>
      </c>
      <c r="EJ185" s="229">
        <v>0.31940000000000002</v>
      </c>
      <c r="EK185" s="231">
        <v>1287.04</v>
      </c>
      <c r="EL185" s="228">
        <v>490.96</v>
      </c>
      <c r="EM185" s="228">
        <v>381.62</v>
      </c>
      <c r="EN185" s="228">
        <v>26.06</v>
      </c>
      <c r="EO185" s="231">
        <v>2159.61</v>
      </c>
      <c r="EP185" s="231">
        <v>1358.93</v>
      </c>
      <c r="EQ185" s="228">
        <v>800.68</v>
      </c>
      <c r="ER185" s="229">
        <v>0.58919999999999995</v>
      </c>
      <c r="ES185" s="228">
        <v>288.63</v>
      </c>
      <c r="ET185" s="228">
        <v>158.53</v>
      </c>
      <c r="EU185" s="228">
        <v>947.15</v>
      </c>
      <c r="EV185" s="231">
        <v>67126548</v>
      </c>
      <c r="EW185" s="231">
        <v>1394.32</v>
      </c>
      <c r="EX185" s="231">
        <v>1347.29</v>
      </c>
      <c r="EY185" s="228">
        <v>47.03</v>
      </c>
      <c r="EZ185" s="229">
        <v>3.49E-2</v>
      </c>
      <c r="FA185" s="229">
        <v>0.47670000000000001</v>
      </c>
      <c r="FB185" s="227" t="s">
        <v>556</v>
      </c>
      <c r="FC185">
        <f t="shared" si="3"/>
        <v>0</v>
      </c>
    </row>
    <row r="186" spans="1:159" ht="17.25" thickBot="1" x14ac:dyDescent="0.3">
      <c r="A186" s="226">
        <v>45940</v>
      </c>
      <c r="B186" s="227" t="s">
        <v>197</v>
      </c>
      <c r="C186" s="227" t="s">
        <v>286</v>
      </c>
      <c r="D186" s="228">
        <v>200</v>
      </c>
      <c r="E186" s="228">
        <v>18</v>
      </c>
      <c r="F186" s="231">
        <v>3038.8</v>
      </c>
      <c r="G186" s="231">
        <v>3012</v>
      </c>
      <c r="H186" s="228">
        <v>26.8</v>
      </c>
      <c r="I186" s="229">
        <v>8.8999999999999999E-3</v>
      </c>
      <c r="J186" s="231">
        <v>3024.5</v>
      </c>
      <c r="K186" s="231">
        <v>2996.9</v>
      </c>
      <c r="L186" s="228">
        <v>27.6</v>
      </c>
      <c r="M186" s="229">
        <v>9.1999999999999998E-3</v>
      </c>
      <c r="N186" s="231">
        <v>3038.8</v>
      </c>
      <c r="O186" s="231">
        <v>3012</v>
      </c>
      <c r="P186" s="228">
        <v>26.8</v>
      </c>
      <c r="Q186" s="229">
        <v>8.8999999999999999E-3</v>
      </c>
      <c r="R186" s="231">
        <v>3055.5</v>
      </c>
      <c r="S186" s="231">
        <v>3027.6</v>
      </c>
      <c r="T186" s="228">
        <v>27.9</v>
      </c>
      <c r="U186" s="229">
        <v>9.1999999999999998E-3</v>
      </c>
      <c r="V186" s="231">
        <v>3070</v>
      </c>
      <c r="W186" s="231">
        <v>3039.9</v>
      </c>
      <c r="X186" s="228">
        <v>30.1</v>
      </c>
      <c r="Y186" s="229">
        <v>9.9000000000000008E-3</v>
      </c>
      <c r="Z186" s="228">
        <v>14.3</v>
      </c>
      <c r="AA186" s="228">
        <v>15.1</v>
      </c>
      <c r="AB186" s="228">
        <v>-0.8</v>
      </c>
      <c r="AC186" s="229">
        <v>4.7000000000000002E-3</v>
      </c>
      <c r="AD186" s="228">
        <v>14.3</v>
      </c>
      <c r="AE186" s="228">
        <v>15.1</v>
      </c>
      <c r="AF186" s="228">
        <v>-0.8</v>
      </c>
      <c r="AG186" s="229">
        <v>4.7000000000000002E-3</v>
      </c>
      <c r="AH186" s="228">
        <v>31</v>
      </c>
      <c r="AI186" s="228">
        <v>30.7</v>
      </c>
      <c r="AJ186" s="228">
        <v>0.3</v>
      </c>
      <c r="AK186" s="229">
        <v>1.0200000000000001E-2</v>
      </c>
      <c r="AL186" s="228">
        <v>45.5</v>
      </c>
      <c r="AM186" s="228">
        <v>43</v>
      </c>
      <c r="AN186" s="228">
        <v>2.5</v>
      </c>
      <c r="AO186" s="229">
        <v>1.4999999999999999E-2</v>
      </c>
      <c r="AP186" s="231">
        <v>3028.17</v>
      </c>
      <c r="AQ186" s="231">
        <v>3044.85</v>
      </c>
      <c r="AR186" s="228">
        <v>0</v>
      </c>
      <c r="AS186" s="228">
        <v>155</v>
      </c>
      <c r="AT186" s="228">
        <v>119</v>
      </c>
      <c r="AU186" s="228">
        <v>37</v>
      </c>
      <c r="AV186" s="229">
        <v>0.30919999999999997</v>
      </c>
      <c r="AW186" s="228">
        <v>146</v>
      </c>
      <c r="AX186" s="228">
        <v>114</v>
      </c>
      <c r="AY186" s="228">
        <v>32</v>
      </c>
      <c r="AZ186" s="229">
        <v>0.28460000000000002</v>
      </c>
      <c r="BA186" s="228">
        <v>8</v>
      </c>
      <c r="BB186" s="228">
        <v>4</v>
      </c>
      <c r="BC186" s="228">
        <v>4</v>
      </c>
      <c r="BD186" s="229">
        <v>1.2333000000000001</v>
      </c>
      <c r="BE186" s="228">
        <v>1</v>
      </c>
      <c r="BF186" s="228">
        <v>1</v>
      </c>
      <c r="BG186" s="228">
        <v>0</v>
      </c>
      <c r="BH186" s="229">
        <v>-0.23530000000000001</v>
      </c>
      <c r="BI186" s="228">
        <v>431</v>
      </c>
      <c r="BJ186" s="228">
        <v>272</v>
      </c>
      <c r="BK186" s="228">
        <v>159</v>
      </c>
      <c r="BL186" s="229">
        <v>0.58620000000000005</v>
      </c>
      <c r="BM186" s="228">
        <v>196</v>
      </c>
      <c r="BN186" s="228">
        <v>129</v>
      </c>
      <c r="BO186" s="228">
        <v>67</v>
      </c>
      <c r="BP186" s="229">
        <v>0.51529999999999998</v>
      </c>
      <c r="BQ186" s="228">
        <v>782</v>
      </c>
      <c r="BR186" s="228">
        <v>520</v>
      </c>
      <c r="BS186" s="228">
        <v>263</v>
      </c>
      <c r="BT186" s="229">
        <v>0.50539999999999996</v>
      </c>
      <c r="BU186" s="230">
        <v>742506</v>
      </c>
      <c r="BV186" s="230">
        <v>165334</v>
      </c>
      <c r="BW186" s="230">
        <v>577172</v>
      </c>
      <c r="BX186" s="229">
        <v>3.4908999999999999</v>
      </c>
      <c r="BY186" s="228">
        <v>842</v>
      </c>
      <c r="BZ186" s="228">
        <v>846</v>
      </c>
      <c r="CA186" s="228">
        <v>-3</v>
      </c>
      <c r="CB186" s="229">
        <v>-4.1000000000000003E-3</v>
      </c>
      <c r="CC186" s="228">
        <v>829</v>
      </c>
      <c r="CD186" s="228">
        <v>834</v>
      </c>
      <c r="CE186" s="228">
        <v>-4</v>
      </c>
      <c r="CF186" s="229">
        <v>-5.1999999999999998E-3</v>
      </c>
      <c r="CG186" s="228">
        <v>11</v>
      </c>
      <c r="CH186" s="228">
        <v>11</v>
      </c>
      <c r="CI186" s="228">
        <v>1</v>
      </c>
      <c r="CJ186" s="229">
        <v>5.1700000000000003E-2</v>
      </c>
      <c r="CK186" s="228">
        <v>2</v>
      </c>
      <c r="CL186" s="228">
        <v>1</v>
      </c>
      <c r="CM186" s="228">
        <v>0</v>
      </c>
      <c r="CN186" s="229">
        <v>0.20830000000000001</v>
      </c>
      <c r="CO186" s="228">
        <v>251</v>
      </c>
      <c r="CP186" s="228">
        <v>230</v>
      </c>
      <c r="CQ186" s="228">
        <v>21</v>
      </c>
      <c r="CR186" s="229">
        <v>9.2200000000000004E-2</v>
      </c>
      <c r="CS186" s="228">
        <v>226</v>
      </c>
      <c r="CT186" s="228">
        <v>226</v>
      </c>
      <c r="CU186" s="228">
        <v>0</v>
      </c>
      <c r="CV186" s="229">
        <v>1.6000000000000001E-3</v>
      </c>
      <c r="CW186" s="230">
        <v>1320</v>
      </c>
      <c r="CX186" s="230">
        <v>1302</v>
      </c>
      <c r="CY186" s="228">
        <v>18</v>
      </c>
      <c r="CZ186" s="229">
        <v>1.3899999999999999E-2</v>
      </c>
      <c r="DA186" s="228">
        <v>22.98</v>
      </c>
      <c r="DB186" s="228">
        <v>23.69</v>
      </c>
      <c r="DC186" s="228">
        <v>-0.71</v>
      </c>
      <c r="DD186" s="228">
        <v>-0.71</v>
      </c>
      <c r="DE186" s="228">
        <v>32.1</v>
      </c>
      <c r="DF186" s="228">
        <v>32.159999999999997</v>
      </c>
      <c r="DG186" s="228">
        <v>-9.1199999999999992</v>
      </c>
      <c r="DH186" s="228">
        <v>-0.06</v>
      </c>
      <c r="DI186" s="228">
        <v>22.59</v>
      </c>
      <c r="DJ186" s="228">
        <v>23.36</v>
      </c>
      <c r="DK186" s="228">
        <v>-0.77</v>
      </c>
      <c r="DL186" s="228">
        <v>-0.77</v>
      </c>
      <c r="DM186" s="228">
        <v>23.84</v>
      </c>
      <c r="DN186" s="228">
        <v>24.37</v>
      </c>
      <c r="DO186" s="228">
        <v>-0.53</v>
      </c>
      <c r="DP186" s="228">
        <v>-0.53</v>
      </c>
      <c r="DQ186" s="228">
        <v>0.9</v>
      </c>
      <c r="DR186" s="228">
        <v>0.98</v>
      </c>
      <c r="DS186" s="228">
        <v>-0.08</v>
      </c>
      <c r="DT186" s="229">
        <v>-8.1600000000000006E-2</v>
      </c>
      <c r="DU186" s="231">
        <v>3100</v>
      </c>
      <c r="DV186" s="231">
        <v>2900</v>
      </c>
      <c r="DW186" s="228">
        <v>0.45</v>
      </c>
      <c r="DX186" s="228">
        <v>0.48</v>
      </c>
      <c r="DY186" s="228">
        <v>-0.03</v>
      </c>
      <c r="DZ186" s="229">
        <v>-6.25E-2</v>
      </c>
      <c r="EA186" s="229">
        <v>1.5299999999999999E-2</v>
      </c>
      <c r="EB186" s="230">
        <v>39600</v>
      </c>
      <c r="EC186" s="229">
        <v>5.4999999999999997E-3</v>
      </c>
      <c r="ED186" s="229">
        <v>1.5299999999999999E-2</v>
      </c>
      <c r="EE186" s="228">
        <v>16.68</v>
      </c>
      <c r="EF186" s="229">
        <v>5.4999999999999997E-3</v>
      </c>
      <c r="EG186" s="230">
        <v>645963</v>
      </c>
      <c r="EH186" s="230">
        <v>88078</v>
      </c>
      <c r="EI186" s="229">
        <v>6.3339999999999996</v>
      </c>
      <c r="EJ186" s="229">
        <v>0.87</v>
      </c>
      <c r="EK186" s="228">
        <v>443.34</v>
      </c>
      <c r="EL186" s="228">
        <v>192.47</v>
      </c>
      <c r="EM186" s="228">
        <v>154.66999999999999</v>
      </c>
      <c r="EN186" s="228">
        <v>24.54</v>
      </c>
      <c r="EO186" s="228">
        <v>790.48</v>
      </c>
      <c r="EP186" s="228">
        <v>521.37</v>
      </c>
      <c r="EQ186" s="228">
        <v>269.12</v>
      </c>
      <c r="ER186" s="229">
        <v>0.51619999999999999</v>
      </c>
      <c r="ES186" s="228">
        <v>252.91</v>
      </c>
      <c r="ET186" s="228">
        <v>212.71</v>
      </c>
      <c r="EU186" s="228">
        <v>842.43</v>
      </c>
      <c r="EV186" s="231">
        <v>21205300</v>
      </c>
      <c r="EW186" s="231">
        <v>1308.05</v>
      </c>
      <c r="EX186" s="231">
        <v>1280.45</v>
      </c>
      <c r="EY186" s="228">
        <v>27.6</v>
      </c>
      <c r="EZ186" s="229">
        <v>2.1600000000000001E-2</v>
      </c>
      <c r="FA186" s="229">
        <v>0.2049</v>
      </c>
      <c r="FB186" s="227" t="s">
        <v>556</v>
      </c>
      <c r="FC186">
        <f t="shared" si="3"/>
        <v>0</v>
      </c>
    </row>
    <row r="187" spans="1:159" ht="17.25" thickBot="1" x14ac:dyDescent="0.3">
      <c r="A187" s="226">
        <v>45940</v>
      </c>
      <c r="B187" s="227" t="s">
        <v>170</v>
      </c>
      <c r="C187" s="227" t="s">
        <v>288</v>
      </c>
      <c r="D187" s="228">
        <v>350</v>
      </c>
      <c r="E187" s="228">
        <v>18</v>
      </c>
      <c r="F187" s="231">
        <v>1679</v>
      </c>
      <c r="G187" s="231">
        <v>1662.2</v>
      </c>
      <c r="H187" s="228">
        <v>16.8</v>
      </c>
      <c r="I187" s="229">
        <v>1.01E-2</v>
      </c>
      <c r="J187" s="231">
        <v>1670.9</v>
      </c>
      <c r="K187" s="231">
        <v>1658.5</v>
      </c>
      <c r="L187" s="228">
        <v>12.4</v>
      </c>
      <c r="M187" s="229">
        <v>7.4999999999999997E-3</v>
      </c>
      <c r="N187" s="231">
        <v>1679</v>
      </c>
      <c r="O187" s="231">
        <v>1662.2</v>
      </c>
      <c r="P187" s="228">
        <v>16.8</v>
      </c>
      <c r="Q187" s="229">
        <v>1.01E-2</v>
      </c>
      <c r="R187" s="231">
        <v>1689</v>
      </c>
      <c r="S187" s="231">
        <v>1671.3</v>
      </c>
      <c r="T187" s="228">
        <v>17.7</v>
      </c>
      <c r="U187" s="229">
        <v>1.06E-2</v>
      </c>
      <c r="V187" s="231">
        <v>1699</v>
      </c>
      <c r="W187" s="231">
        <v>1679.9</v>
      </c>
      <c r="X187" s="228">
        <v>19.100000000000001</v>
      </c>
      <c r="Y187" s="229">
        <v>1.14E-2</v>
      </c>
      <c r="Z187" s="228">
        <v>8.1</v>
      </c>
      <c r="AA187" s="228">
        <v>3.7</v>
      </c>
      <c r="AB187" s="228">
        <v>4.4000000000000004</v>
      </c>
      <c r="AC187" s="229">
        <v>4.7999999999999996E-3</v>
      </c>
      <c r="AD187" s="228">
        <v>8.1</v>
      </c>
      <c r="AE187" s="228">
        <v>3.7</v>
      </c>
      <c r="AF187" s="228">
        <v>4.4000000000000004</v>
      </c>
      <c r="AG187" s="229">
        <v>4.7999999999999996E-3</v>
      </c>
      <c r="AH187" s="228">
        <v>18.100000000000001</v>
      </c>
      <c r="AI187" s="228">
        <v>12.8</v>
      </c>
      <c r="AJ187" s="228">
        <v>5.3</v>
      </c>
      <c r="AK187" s="229">
        <v>1.0800000000000001E-2</v>
      </c>
      <c r="AL187" s="228">
        <v>28.1</v>
      </c>
      <c r="AM187" s="228">
        <v>21.4</v>
      </c>
      <c r="AN187" s="228">
        <v>6.7</v>
      </c>
      <c r="AO187" s="229">
        <v>1.6799999999999999E-2</v>
      </c>
      <c r="AP187" s="231">
        <v>1675.37</v>
      </c>
      <c r="AQ187" s="231">
        <v>1683.95</v>
      </c>
      <c r="AR187" s="228">
        <v>0</v>
      </c>
      <c r="AS187" s="228">
        <v>275</v>
      </c>
      <c r="AT187" s="228">
        <v>272</v>
      </c>
      <c r="AU187" s="228">
        <v>3</v>
      </c>
      <c r="AV187" s="229">
        <v>1.23E-2</v>
      </c>
      <c r="AW187" s="228">
        <v>246</v>
      </c>
      <c r="AX187" s="228">
        <v>256</v>
      </c>
      <c r="AY187" s="228">
        <v>-10</v>
      </c>
      <c r="AZ187" s="229">
        <v>-3.8399999999999997E-2</v>
      </c>
      <c r="BA187" s="228">
        <v>24</v>
      </c>
      <c r="BB187" s="228">
        <v>16</v>
      </c>
      <c r="BC187" s="228">
        <v>8</v>
      </c>
      <c r="BD187" s="229">
        <v>0.51870000000000005</v>
      </c>
      <c r="BE187" s="228">
        <v>6</v>
      </c>
      <c r="BF187" s="228">
        <v>1</v>
      </c>
      <c r="BG187" s="228">
        <v>5</v>
      </c>
      <c r="BH187" s="229">
        <v>9.4443999999999999</v>
      </c>
      <c r="BI187" s="230">
        <v>1805</v>
      </c>
      <c r="BJ187" s="230">
        <v>1755</v>
      </c>
      <c r="BK187" s="228">
        <v>50</v>
      </c>
      <c r="BL187" s="229">
        <v>2.87E-2</v>
      </c>
      <c r="BM187" s="228">
        <v>815</v>
      </c>
      <c r="BN187" s="228">
        <v>745</v>
      </c>
      <c r="BO187" s="228">
        <v>71</v>
      </c>
      <c r="BP187" s="229">
        <v>9.5100000000000004E-2</v>
      </c>
      <c r="BQ187" s="230">
        <v>2896</v>
      </c>
      <c r="BR187" s="230">
        <v>2772</v>
      </c>
      <c r="BS187" s="228">
        <v>125</v>
      </c>
      <c r="BT187" s="229">
        <v>4.4900000000000002E-2</v>
      </c>
      <c r="BU187" s="230">
        <v>1514248</v>
      </c>
      <c r="BV187" s="230">
        <v>2253679</v>
      </c>
      <c r="BW187" s="230">
        <v>-739431</v>
      </c>
      <c r="BX187" s="229">
        <v>-0.3281</v>
      </c>
      <c r="BY187" s="230">
        <v>2616</v>
      </c>
      <c r="BZ187" s="230">
        <v>2557</v>
      </c>
      <c r="CA187" s="228">
        <v>60</v>
      </c>
      <c r="CB187" s="229">
        <v>2.3300000000000001E-2</v>
      </c>
      <c r="CC187" s="230">
        <v>2568</v>
      </c>
      <c r="CD187" s="230">
        <v>2523</v>
      </c>
      <c r="CE187" s="228">
        <v>45</v>
      </c>
      <c r="CF187" s="229">
        <v>1.77E-2</v>
      </c>
      <c r="CG187" s="228">
        <v>43</v>
      </c>
      <c r="CH187" s="228">
        <v>32</v>
      </c>
      <c r="CI187" s="228">
        <v>11</v>
      </c>
      <c r="CJ187" s="229">
        <v>0.32969999999999999</v>
      </c>
      <c r="CK187" s="228">
        <v>6</v>
      </c>
      <c r="CL187" s="228">
        <v>1</v>
      </c>
      <c r="CM187" s="228">
        <v>4</v>
      </c>
      <c r="CN187" s="229">
        <v>3.3635999999999999</v>
      </c>
      <c r="CO187" s="228">
        <v>813</v>
      </c>
      <c r="CP187" s="228">
        <v>788</v>
      </c>
      <c r="CQ187" s="228">
        <v>25</v>
      </c>
      <c r="CR187" s="229">
        <v>3.15E-2</v>
      </c>
      <c r="CS187" s="228">
        <v>754</v>
      </c>
      <c r="CT187" s="228">
        <v>716</v>
      </c>
      <c r="CU187" s="228">
        <v>38</v>
      </c>
      <c r="CV187" s="229">
        <v>5.2999999999999999E-2</v>
      </c>
      <c r="CW187" s="230">
        <v>4184</v>
      </c>
      <c r="CX187" s="230">
        <v>4061</v>
      </c>
      <c r="CY187" s="228">
        <v>122</v>
      </c>
      <c r="CZ187" s="229">
        <v>3.0099999999999998E-2</v>
      </c>
      <c r="DA187" s="228">
        <v>17.68</v>
      </c>
      <c r="DB187" s="228">
        <v>18.55</v>
      </c>
      <c r="DC187" s="228">
        <v>-0.87</v>
      </c>
      <c r="DD187" s="228">
        <v>-0.87</v>
      </c>
      <c r="DE187" s="228">
        <v>24.14</v>
      </c>
      <c r="DF187" s="228">
        <v>24.18</v>
      </c>
      <c r="DG187" s="228">
        <v>-6.46</v>
      </c>
      <c r="DH187" s="228">
        <v>-0.04</v>
      </c>
      <c r="DI187" s="228">
        <v>16.670000000000002</v>
      </c>
      <c r="DJ187" s="228">
        <v>17.850000000000001</v>
      </c>
      <c r="DK187" s="228">
        <v>-1.18</v>
      </c>
      <c r="DL187" s="228">
        <v>-1.18</v>
      </c>
      <c r="DM187" s="228">
        <v>19.940000000000001</v>
      </c>
      <c r="DN187" s="228">
        <v>20.190000000000001</v>
      </c>
      <c r="DO187" s="228">
        <v>-0.25</v>
      </c>
      <c r="DP187" s="228">
        <v>-0.25</v>
      </c>
      <c r="DQ187" s="228">
        <v>0.93</v>
      </c>
      <c r="DR187" s="228">
        <v>0.91</v>
      </c>
      <c r="DS187" s="228">
        <v>0.02</v>
      </c>
      <c r="DT187" s="229">
        <v>2.1999999999999999E-2</v>
      </c>
      <c r="DU187" s="231">
        <v>1680</v>
      </c>
      <c r="DV187" s="231">
        <v>1500</v>
      </c>
      <c r="DW187" s="228">
        <v>0.45</v>
      </c>
      <c r="DX187" s="228">
        <v>0.42</v>
      </c>
      <c r="DY187" s="228">
        <v>0.03</v>
      </c>
      <c r="DZ187" s="229">
        <v>7.1400000000000005E-2</v>
      </c>
      <c r="EA187" s="229">
        <v>1.8499999999999999E-2</v>
      </c>
      <c r="EB187" s="230">
        <v>198800</v>
      </c>
      <c r="EC187" s="229">
        <v>6.0000000000000001E-3</v>
      </c>
      <c r="ED187" s="229">
        <v>1.8499999999999999E-2</v>
      </c>
      <c r="EE187" s="228">
        <v>8.58</v>
      </c>
      <c r="EF187" s="229">
        <v>5.1000000000000004E-3</v>
      </c>
      <c r="EG187" s="230">
        <v>808967</v>
      </c>
      <c r="EH187" s="230">
        <v>1251903</v>
      </c>
      <c r="EI187" s="229">
        <v>-0.3538</v>
      </c>
      <c r="EJ187" s="229">
        <v>0.53420000000000001</v>
      </c>
      <c r="EK187" s="231">
        <v>1845.73</v>
      </c>
      <c r="EL187" s="228">
        <v>795.99</v>
      </c>
      <c r="EM187" s="228">
        <v>275.08999999999997</v>
      </c>
      <c r="EN187" s="228">
        <v>47.53</v>
      </c>
      <c r="EO187" s="231">
        <v>2916.82</v>
      </c>
      <c r="EP187" s="231">
        <v>2776.33</v>
      </c>
      <c r="EQ187" s="228">
        <v>140.47999999999999</v>
      </c>
      <c r="ER187" s="229">
        <v>5.0599999999999999E-2</v>
      </c>
      <c r="ES187" s="228">
        <v>821.77</v>
      </c>
      <c r="ET187" s="228">
        <v>708.22</v>
      </c>
      <c r="EU187" s="231">
        <v>2616.6</v>
      </c>
      <c r="EV187" s="231">
        <v>109220043</v>
      </c>
      <c r="EW187" s="231">
        <v>4146.59</v>
      </c>
      <c r="EX187" s="231">
        <v>3996.96</v>
      </c>
      <c r="EY187" s="228">
        <v>149.63</v>
      </c>
      <c r="EZ187" s="229">
        <v>3.7400000000000003E-2</v>
      </c>
      <c r="FA187" s="229">
        <v>0.2281</v>
      </c>
      <c r="FB187" s="227" t="s">
        <v>555</v>
      </c>
      <c r="FC187">
        <f t="shared" si="3"/>
        <v>0</v>
      </c>
    </row>
    <row r="188" spans="1:159" ht="17.25" thickBot="1" x14ac:dyDescent="0.3">
      <c r="A188" s="226">
        <v>45940</v>
      </c>
      <c r="B188" s="227" t="s">
        <v>184</v>
      </c>
      <c r="C188" s="227" t="s">
        <v>575</v>
      </c>
      <c r="D188" s="228">
        <v>175</v>
      </c>
      <c r="E188" s="228">
        <v>18</v>
      </c>
      <c r="F188" s="231">
        <v>4260.3999999999996</v>
      </c>
      <c r="G188" s="231">
        <v>4194.3</v>
      </c>
      <c r="H188" s="228">
        <v>66.099999999999994</v>
      </c>
      <c r="I188" s="229">
        <v>1.5800000000000002E-2</v>
      </c>
      <c r="J188" s="231">
        <v>4237.3999999999996</v>
      </c>
      <c r="K188" s="231">
        <v>4178.8</v>
      </c>
      <c r="L188" s="228">
        <v>58.6</v>
      </c>
      <c r="M188" s="229">
        <v>1.4E-2</v>
      </c>
      <c r="N188" s="231">
        <v>4260.3999999999996</v>
      </c>
      <c r="O188" s="231">
        <v>4194.3</v>
      </c>
      <c r="P188" s="228">
        <v>66.099999999999994</v>
      </c>
      <c r="Q188" s="229">
        <v>1.5800000000000002E-2</v>
      </c>
      <c r="R188" s="231">
        <v>4276.8999999999996</v>
      </c>
      <c r="S188" s="231">
        <v>4207</v>
      </c>
      <c r="T188" s="228">
        <v>69.900000000000006</v>
      </c>
      <c r="U188" s="229">
        <v>1.66E-2</v>
      </c>
      <c r="V188" s="231">
        <v>4298</v>
      </c>
      <c r="W188" s="231">
        <v>4235</v>
      </c>
      <c r="X188" s="228">
        <v>63</v>
      </c>
      <c r="Y188" s="229">
        <v>1.49E-2</v>
      </c>
      <c r="Z188" s="228">
        <v>23</v>
      </c>
      <c r="AA188" s="228">
        <v>15.5</v>
      </c>
      <c r="AB188" s="228">
        <v>7.5</v>
      </c>
      <c r="AC188" s="229">
        <v>5.4000000000000003E-3</v>
      </c>
      <c r="AD188" s="228">
        <v>23</v>
      </c>
      <c r="AE188" s="228">
        <v>15.5</v>
      </c>
      <c r="AF188" s="228">
        <v>7.5</v>
      </c>
      <c r="AG188" s="229">
        <v>5.4000000000000003E-3</v>
      </c>
      <c r="AH188" s="228">
        <v>39.5</v>
      </c>
      <c r="AI188" s="228">
        <v>28.2</v>
      </c>
      <c r="AJ188" s="228">
        <v>11.3</v>
      </c>
      <c r="AK188" s="229">
        <v>9.2999999999999992E-3</v>
      </c>
      <c r="AL188" s="228">
        <v>60.6</v>
      </c>
      <c r="AM188" s="228">
        <v>56.2</v>
      </c>
      <c r="AN188" s="228">
        <v>4.4000000000000004</v>
      </c>
      <c r="AO188" s="229">
        <v>1.43E-2</v>
      </c>
      <c r="AP188" s="231">
        <v>4242.97</v>
      </c>
      <c r="AQ188" s="231">
        <v>4269.88</v>
      </c>
      <c r="AR188" s="228">
        <v>0</v>
      </c>
      <c r="AS188" s="228">
        <v>139</v>
      </c>
      <c r="AT188" s="228">
        <v>70</v>
      </c>
      <c r="AU188" s="228">
        <v>69</v>
      </c>
      <c r="AV188" s="229">
        <v>0.98399999999999999</v>
      </c>
      <c r="AW188" s="228">
        <v>136</v>
      </c>
      <c r="AX188" s="228">
        <v>68</v>
      </c>
      <c r="AY188" s="228">
        <v>68</v>
      </c>
      <c r="AZ188" s="229">
        <v>1.0033000000000001</v>
      </c>
      <c r="BA188" s="228">
        <v>3</v>
      </c>
      <c r="BB188" s="228">
        <v>2</v>
      </c>
      <c r="BC188" s="228">
        <v>1</v>
      </c>
      <c r="BD188" s="229">
        <v>0.4</v>
      </c>
      <c r="BE188" s="228">
        <v>1</v>
      </c>
      <c r="BF188" s="228">
        <v>0</v>
      </c>
      <c r="BG188" s="228">
        <v>0</v>
      </c>
      <c r="BH188" s="229">
        <v>0.5</v>
      </c>
      <c r="BI188" s="228">
        <v>144</v>
      </c>
      <c r="BJ188" s="228">
        <v>64</v>
      </c>
      <c r="BK188" s="228">
        <v>81</v>
      </c>
      <c r="BL188" s="229">
        <v>1.2628999999999999</v>
      </c>
      <c r="BM188" s="228">
        <v>43</v>
      </c>
      <c r="BN188" s="228">
        <v>28</v>
      </c>
      <c r="BO188" s="228">
        <v>15</v>
      </c>
      <c r="BP188" s="229">
        <v>0.55649999999999999</v>
      </c>
      <c r="BQ188" s="228">
        <v>326</v>
      </c>
      <c r="BR188" s="228">
        <v>162</v>
      </c>
      <c r="BS188" s="228">
        <v>165</v>
      </c>
      <c r="BT188" s="229">
        <v>1.0207999999999999</v>
      </c>
      <c r="BU188" s="230">
        <v>186524</v>
      </c>
      <c r="BV188" s="230">
        <v>96628</v>
      </c>
      <c r="BW188" s="230">
        <v>89896</v>
      </c>
      <c r="BX188" s="229">
        <v>0.93030000000000002</v>
      </c>
      <c r="BY188" s="228">
        <v>574</v>
      </c>
      <c r="BZ188" s="228">
        <v>568</v>
      </c>
      <c r="CA188" s="228">
        <v>5</v>
      </c>
      <c r="CB188" s="229">
        <v>9.5999999999999992E-3</v>
      </c>
      <c r="CC188" s="228">
        <v>565</v>
      </c>
      <c r="CD188" s="228">
        <v>559</v>
      </c>
      <c r="CE188" s="228">
        <v>6</v>
      </c>
      <c r="CF188" s="229">
        <v>1.04E-2</v>
      </c>
      <c r="CG188" s="228">
        <v>8</v>
      </c>
      <c r="CH188" s="228">
        <v>8</v>
      </c>
      <c r="CI188" s="228">
        <v>0</v>
      </c>
      <c r="CJ188" s="229">
        <v>3.6400000000000002E-2</v>
      </c>
      <c r="CK188" s="228">
        <v>1</v>
      </c>
      <c r="CL188" s="228">
        <v>1</v>
      </c>
      <c r="CM188" s="228">
        <v>-1</v>
      </c>
      <c r="CN188" s="229">
        <v>-0.45</v>
      </c>
      <c r="CO188" s="228">
        <v>127</v>
      </c>
      <c r="CP188" s="228">
        <v>138</v>
      </c>
      <c r="CQ188" s="228">
        <v>-11</v>
      </c>
      <c r="CR188" s="229">
        <v>-7.9000000000000001E-2</v>
      </c>
      <c r="CS188" s="228">
        <v>80</v>
      </c>
      <c r="CT188" s="228">
        <v>77</v>
      </c>
      <c r="CU188" s="228">
        <v>2</v>
      </c>
      <c r="CV188" s="229">
        <v>3.09E-2</v>
      </c>
      <c r="CW188" s="228">
        <v>780</v>
      </c>
      <c r="CX188" s="228">
        <v>784</v>
      </c>
      <c r="CY188" s="228">
        <v>-3</v>
      </c>
      <c r="CZ188" s="229">
        <v>-3.8999999999999998E-3</v>
      </c>
      <c r="DA188" s="228">
        <v>31.68</v>
      </c>
      <c r="DB188" s="228">
        <v>32.83</v>
      </c>
      <c r="DC188" s="228">
        <v>-1.1499999999999999</v>
      </c>
      <c r="DD188" s="228">
        <v>-1.1499999999999999</v>
      </c>
      <c r="DE188" s="228">
        <v>41.71</v>
      </c>
      <c r="DF188" s="228">
        <v>41.76</v>
      </c>
      <c r="DG188" s="228">
        <v>-10.029999999999999</v>
      </c>
      <c r="DH188" s="228">
        <v>-0.05</v>
      </c>
      <c r="DI188" s="228">
        <v>31.71</v>
      </c>
      <c r="DJ188" s="228">
        <v>33</v>
      </c>
      <c r="DK188" s="228">
        <v>-1.29</v>
      </c>
      <c r="DL188" s="228">
        <v>-1.29</v>
      </c>
      <c r="DM188" s="228">
        <v>31.56</v>
      </c>
      <c r="DN188" s="228">
        <v>32.44</v>
      </c>
      <c r="DO188" s="228">
        <v>-0.88</v>
      </c>
      <c r="DP188" s="228">
        <v>-0.88</v>
      </c>
      <c r="DQ188" s="228">
        <v>0.63</v>
      </c>
      <c r="DR188" s="228">
        <v>0.56000000000000005</v>
      </c>
      <c r="DS188" s="228">
        <v>7.0000000000000007E-2</v>
      </c>
      <c r="DT188" s="229">
        <v>0.125</v>
      </c>
      <c r="DU188" s="231">
        <v>4500</v>
      </c>
      <c r="DV188" s="231">
        <v>4000</v>
      </c>
      <c r="DW188" s="228">
        <v>0.3</v>
      </c>
      <c r="DX188" s="228">
        <v>0.43</v>
      </c>
      <c r="DY188" s="228">
        <v>-0.13</v>
      </c>
      <c r="DZ188" s="229">
        <v>-0.30230000000000001</v>
      </c>
      <c r="EA188" s="229">
        <v>1.6199999999999999E-2</v>
      </c>
      <c r="EB188" s="230">
        <v>22750</v>
      </c>
      <c r="EC188" s="229">
        <v>3.8999999999999998E-3</v>
      </c>
      <c r="ED188" s="229">
        <v>1.6199999999999999E-2</v>
      </c>
      <c r="EE188" s="228">
        <v>26.91</v>
      </c>
      <c r="EF188" s="229">
        <v>6.3E-3</v>
      </c>
      <c r="EG188" s="230">
        <v>130547</v>
      </c>
      <c r="EH188" s="230">
        <v>66833</v>
      </c>
      <c r="EI188" s="229">
        <v>0.95330000000000004</v>
      </c>
      <c r="EJ188" s="229">
        <v>0.69989999999999997</v>
      </c>
      <c r="EK188" s="228">
        <v>151.02000000000001</v>
      </c>
      <c r="EL188" s="228">
        <v>42.87</v>
      </c>
      <c r="EM188" s="228">
        <v>138.36000000000001</v>
      </c>
      <c r="EN188" s="228">
        <v>11.71</v>
      </c>
      <c r="EO188" s="228">
        <v>332.24</v>
      </c>
      <c r="EP188" s="228">
        <v>162.47999999999999</v>
      </c>
      <c r="EQ188" s="228">
        <v>169.76</v>
      </c>
      <c r="ER188" s="229">
        <v>1.0448</v>
      </c>
      <c r="ES188" s="228">
        <v>133.22999999999999</v>
      </c>
      <c r="ET188" s="228">
        <v>78.22</v>
      </c>
      <c r="EU188" s="228">
        <v>573.98</v>
      </c>
      <c r="EV188" s="231">
        <v>7242074</v>
      </c>
      <c r="EW188" s="228">
        <v>785.43</v>
      </c>
      <c r="EX188" s="228">
        <v>779.71</v>
      </c>
      <c r="EY188" s="228">
        <v>5.72</v>
      </c>
      <c r="EZ188" s="229">
        <v>7.3000000000000001E-3</v>
      </c>
      <c r="FA188" s="229">
        <v>0.253</v>
      </c>
      <c r="FB188" s="227" t="s">
        <v>555</v>
      </c>
      <c r="FC188">
        <f t="shared" si="3"/>
        <v>0</v>
      </c>
    </row>
    <row r="189" spans="1:159" ht="17.25" thickBot="1" x14ac:dyDescent="0.3">
      <c r="A189" s="226">
        <v>45940</v>
      </c>
      <c r="B189" s="227" t="s">
        <v>161</v>
      </c>
      <c r="C189" s="227" t="s">
        <v>686</v>
      </c>
      <c r="D189" s="228">
        <v>8000</v>
      </c>
      <c r="E189" s="228">
        <v>18</v>
      </c>
      <c r="F189" s="228">
        <v>54.55</v>
      </c>
      <c r="G189" s="228">
        <v>53.46</v>
      </c>
      <c r="H189" s="228">
        <v>1.0900000000000001</v>
      </c>
      <c r="I189" s="229">
        <v>2.0400000000000001E-2</v>
      </c>
      <c r="J189" s="228">
        <v>54.31</v>
      </c>
      <c r="K189" s="228">
        <v>53.17</v>
      </c>
      <c r="L189" s="228">
        <v>1.1399999999999999</v>
      </c>
      <c r="M189" s="229">
        <v>2.1399999999999999E-2</v>
      </c>
      <c r="N189" s="228">
        <v>54.55</v>
      </c>
      <c r="O189" s="228">
        <v>53.46</v>
      </c>
      <c r="P189" s="228">
        <v>1.0900000000000001</v>
      </c>
      <c r="Q189" s="229">
        <v>2.0400000000000001E-2</v>
      </c>
      <c r="R189" s="228">
        <v>54.86</v>
      </c>
      <c r="S189" s="228">
        <v>53.75</v>
      </c>
      <c r="T189" s="228">
        <v>1.1100000000000001</v>
      </c>
      <c r="U189" s="229">
        <v>2.07E-2</v>
      </c>
      <c r="V189" s="228">
        <v>55.16</v>
      </c>
      <c r="W189" s="228">
        <v>53.98</v>
      </c>
      <c r="X189" s="228">
        <v>1.18</v>
      </c>
      <c r="Y189" s="229">
        <v>2.1899999999999999E-2</v>
      </c>
      <c r="Z189" s="228">
        <v>0.24</v>
      </c>
      <c r="AA189" s="228">
        <v>0.28999999999999998</v>
      </c>
      <c r="AB189" s="228">
        <v>-0.05</v>
      </c>
      <c r="AC189" s="229">
        <v>4.4000000000000003E-3</v>
      </c>
      <c r="AD189" s="228">
        <v>0.24</v>
      </c>
      <c r="AE189" s="228">
        <v>0.28999999999999998</v>
      </c>
      <c r="AF189" s="228">
        <v>-0.05</v>
      </c>
      <c r="AG189" s="229">
        <v>4.4000000000000003E-3</v>
      </c>
      <c r="AH189" s="228">
        <v>0.55000000000000004</v>
      </c>
      <c r="AI189" s="228">
        <v>0.57999999999999996</v>
      </c>
      <c r="AJ189" s="228">
        <v>-0.03</v>
      </c>
      <c r="AK189" s="229">
        <v>1.01E-2</v>
      </c>
      <c r="AL189" s="228">
        <v>0.85</v>
      </c>
      <c r="AM189" s="228">
        <v>0.81</v>
      </c>
      <c r="AN189" s="228">
        <v>0.04</v>
      </c>
      <c r="AO189" s="229">
        <v>1.5699999999999999E-2</v>
      </c>
      <c r="AP189" s="228">
        <v>54.56</v>
      </c>
      <c r="AQ189" s="228">
        <v>54.73</v>
      </c>
      <c r="AR189" s="228">
        <v>0</v>
      </c>
      <c r="AS189" s="228">
        <v>191</v>
      </c>
      <c r="AT189" s="228">
        <v>165</v>
      </c>
      <c r="AU189" s="228">
        <v>26</v>
      </c>
      <c r="AV189" s="229">
        <v>0.15920000000000001</v>
      </c>
      <c r="AW189" s="228">
        <v>158</v>
      </c>
      <c r="AX189" s="228">
        <v>148</v>
      </c>
      <c r="AY189" s="228">
        <v>11</v>
      </c>
      <c r="AZ189" s="229">
        <v>7.3599999999999999E-2</v>
      </c>
      <c r="BA189" s="228">
        <v>29</v>
      </c>
      <c r="BB189" s="228">
        <v>15</v>
      </c>
      <c r="BC189" s="228">
        <v>14</v>
      </c>
      <c r="BD189" s="229">
        <v>0.90539999999999998</v>
      </c>
      <c r="BE189" s="228">
        <v>3</v>
      </c>
      <c r="BF189" s="228">
        <v>2</v>
      </c>
      <c r="BG189" s="228">
        <v>2</v>
      </c>
      <c r="BH189" s="229">
        <v>0.81820000000000004</v>
      </c>
      <c r="BI189" s="228">
        <v>511</v>
      </c>
      <c r="BJ189" s="228">
        <v>406</v>
      </c>
      <c r="BK189" s="228">
        <v>106</v>
      </c>
      <c r="BL189" s="229">
        <v>0.26019999999999999</v>
      </c>
      <c r="BM189" s="228">
        <v>128</v>
      </c>
      <c r="BN189" s="228">
        <v>82</v>
      </c>
      <c r="BO189" s="228">
        <v>46</v>
      </c>
      <c r="BP189" s="229">
        <v>0.55269999999999997</v>
      </c>
      <c r="BQ189" s="228">
        <v>830</v>
      </c>
      <c r="BR189" s="228">
        <v>653</v>
      </c>
      <c r="BS189" s="228">
        <v>177</v>
      </c>
      <c r="BT189" s="229">
        <v>0.2717</v>
      </c>
      <c r="BU189" s="230">
        <v>68542828</v>
      </c>
      <c r="BV189" s="230">
        <v>71954255</v>
      </c>
      <c r="BW189" s="230">
        <v>-3411427</v>
      </c>
      <c r="BX189" s="229">
        <v>-4.7399999999999998E-2</v>
      </c>
      <c r="BY189" s="230">
        <v>1123</v>
      </c>
      <c r="BZ189" s="230">
        <v>1121</v>
      </c>
      <c r="CA189" s="228">
        <v>3</v>
      </c>
      <c r="CB189" s="229">
        <v>2.3999999999999998E-3</v>
      </c>
      <c r="CC189" s="230">
        <v>1016</v>
      </c>
      <c r="CD189" s="230">
        <v>1019</v>
      </c>
      <c r="CE189" s="228">
        <v>-3</v>
      </c>
      <c r="CF189" s="229">
        <v>-2.7000000000000001E-3</v>
      </c>
      <c r="CG189" s="228">
        <v>97</v>
      </c>
      <c r="CH189" s="228">
        <v>92</v>
      </c>
      <c r="CI189" s="228">
        <v>5</v>
      </c>
      <c r="CJ189" s="229">
        <v>5.8599999999999999E-2</v>
      </c>
      <c r="CK189" s="228">
        <v>10</v>
      </c>
      <c r="CL189" s="228">
        <v>10</v>
      </c>
      <c r="CM189" s="228">
        <v>0</v>
      </c>
      <c r="CN189" s="229">
        <v>0</v>
      </c>
      <c r="CO189" s="228">
        <v>743</v>
      </c>
      <c r="CP189" s="228">
        <v>729</v>
      </c>
      <c r="CQ189" s="228">
        <v>14</v>
      </c>
      <c r="CR189" s="229">
        <v>1.9300000000000001E-2</v>
      </c>
      <c r="CS189" s="228">
        <v>376</v>
      </c>
      <c r="CT189" s="228">
        <v>375</v>
      </c>
      <c r="CU189" s="228">
        <v>1</v>
      </c>
      <c r="CV189" s="229">
        <v>3.3999999999999998E-3</v>
      </c>
      <c r="CW189" s="230">
        <v>2243</v>
      </c>
      <c r="CX189" s="230">
        <v>2225</v>
      </c>
      <c r="CY189" s="228">
        <v>18</v>
      </c>
      <c r="CZ189" s="229">
        <v>8.0999999999999996E-3</v>
      </c>
      <c r="DA189" s="228">
        <v>35.56</v>
      </c>
      <c r="DB189" s="228">
        <v>38.200000000000003</v>
      </c>
      <c r="DC189" s="228">
        <v>-2.64</v>
      </c>
      <c r="DD189" s="228">
        <v>-2.64</v>
      </c>
      <c r="DE189" s="228">
        <v>51.02</v>
      </c>
      <c r="DF189" s="228">
        <v>51.08</v>
      </c>
      <c r="DG189" s="228">
        <v>-15.46</v>
      </c>
      <c r="DH189" s="228">
        <v>-0.06</v>
      </c>
      <c r="DI189" s="228">
        <v>36</v>
      </c>
      <c r="DJ189" s="228">
        <v>38.76</v>
      </c>
      <c r="DK189" s="228">
        <v>-2.76</v>
      </c>
      <c r="DL189" s="228">
        <v>-2.76</v>
      </c>
      <c r="DM189" s="228">
        <v>33.79</v>
      </c>
      <c r="DN189" s="228">
        <v>35.450000000000003</v>
      </c>
      <c r="DO189" s="228">
        <v>-1.66</v>
      </c>
      <c r="DP189" s="228">
        <v>-1.66</v>
      </c>
      <c r="DQ189" s="228">
        <v>0.51</v>
      </c>
      <c r="DR189" s="228">
        <v>0.51</v>
      </c>
      <c r="DS189" s="228">
        <v>0</v>
      </c>
      <c r="DT189" s="229">
        <v>0</v>
      </c>
      <c r="DU189" s="228">
        <v>60</v>
      </c>
      <c r="DV189" s="228">
        <v>56</v>
      </c>
      <c r="DW189" s="228">
        <v>0.25</v>
      </c>
      <c r="DX189" s="228">
        <v>0.2</v>
      </c>
      <c r="DY189" s="228">
        <v>0.05</v>
      </c>
      <c r="DZ189" s="229">
        <v>0.25</v>
      </c>
      <c r="EA189" s="229">
        <v>9.5100000000000004E-2</v>
      </c>
      <c r="EB189" s="230">
        <v>18608000</v>
      </c>
      <c r="EC189" s="229">
        <v>5.7000000000000002E-3</v>
      </c>
      <c r="ED189" s="229">
        <v>9.5100000000000004E-2</v>
      </c>
      <c r="EE189" s="228">
        <v>0.17</v>
      </c>
      <c r="EF189" s="229">
        <v>3.0999999999999999E-3</v>
      </c>
      <c r="EG189" s="230">
        <v>25951048</v>
      </c>
      <c r="EH189" s="230">
        <v>35067425</v>
      </c>
      <c r="EI189" s="229">
        <v>-0.26</v>
      </c>
      <c r="EJ189" s="229">
        <v>0.37859999999999999</v>
      </c>
      <c r="EK189" s="228">
        <v>543.25</v>
      </c>
      <c r="EL189" s="228">
        <v>125.95</v>
      </c>
      <c r="EM189" s="228">
        <v>191.09</v>
      </c>
      <c r="EN189" s="228">
        <v>36.11</v>
      </c>
      <c r="EO189" s="228">
        <v>860.3</v>
      </c>
      <c r="EP189" s="228">
        <v>675.57</v>
      </c>
      <c r="EQ189" s="228">
        <v>184.73</v>
      </c>
      <c r="ER189" s="229">
        <v>0.27339999999999998</v>
      </c>
      <c r="ES189" s="228">
        <v>804.11</v>
      </c>
      <c r="ET189" s="228">
        <v>379.36</v>
      </c>
      <c r="EU189" s="231">
        <v>1123.96</v>
      </c>
      <c r="EV189" s="231">
        <v>1813533848</v>
      </c>
      <c r="EW189" s="231">
        <v>2307.4299999999998</v>
      </c>
      <c r="EX189" s="231">
        <v>2264.2600000000002</v>
      </c>
      <c r="EY189" s="228">
        <v>43.17</v>
      </c>
      <c r="EZ189" s="229">
        <v>1.9099999999999999E-2</v>
      </c>
      <c r="FA189" s="229">
        <v>0.22670000000000001</v>
      </c>
      <c r="FB189" s="227" t="s">
        <v>555</v>
      </c>
      <c r="FC189">
        <f t="shared" si="3"/>
        <v>0</v>
      </c>
    </row>
    <row r="190" spans="1:159" ht="17.25" thickBot="1" x14ac:dyDescent="0.3">
      <c r="A190" s="226">
        <v>45940</v>
      </c>
      <c r="B190" s="227" t="s">
        <v>170</v>
      </c>
      <c r="C190" s="227" t="s">
        <v>520</v>
      </c>
      <c r="D190" s="228">
        <v>1000</v>
      </c>
      <c r="E190" s="228">
        <v>18</v>
      </c>
      <c r="F190" s="228">
        <v>654.9</v>
      </c>
      <c r="G190" s="228">
        <v>640.25</v>
      </c>
      <c r="H190" s="228">
        <v>14.65</v>
      </c>
      <c r="I190" s="229">
        <v>2.29E-2</v>
      </c>
      <c r="J190" s="228">
        <v>651.29999999999995</v>
      </c>
      <c r="K190" s="228">
        <v>638.6</v>
      </c>
      <c r="L190" s="228">
        <v>12.7</v>
      </c>
      <c r="M190" s="229">
        <v>1.9900000000000001E-2</v>
      </c>
      <c r="N190" s="228">
        <v>654.9</v>
      </c>
      <c r="O190" s="228">
        <v>640.25</v>
      </c>
      <c r="P190" s="228">
        <v>14.65</v>
      </c>
      <c r="Q190" s="229">
        <v>2.29E-2</v>
      </c>
      <c r="R190" s="228">
        <v>658.05</v>
      </c>
      <c r="S190" s="228">
        <v>643.29999999999995</v>
      </c>
      <c r="T190" s="228">
        <v>14.75</v>
      </c>
      <c r="U190" s="229">
        <v>2.29E-2</v>
      </c>
      <c r="V190" s="228">
        <v>661.7</v>
      </c>
      <c r="W190" s="228">
        <v>647.9</v>
      </c>
      <c r="X190" s="228">
        <v>13.8</v>
      </c>
      <c r="Y190" s="229">
        <v>2.1299999999999999E-2</v>
      </c>
      <c r="Z190" s="228">
        <v>3.6</v>
      </c>
      <c r="AA190" s="228">
        <v>1.65</v>
      </c>
      <c r="AB190" s="228">
        <v>1.95</v>
      </c>
      <c r="AC190" s="229">
        <v>5.4999999999999997E-3</v>
      </c>
      <c r="AD190" s="228">
        <v>3.6</v>
      </c>
      <c r="AE190" s="228">
        <v>1.65</v>
      </c>
      <c r="AF190" s="228">
        <v>1.95</v>
      </c>
      <c r="AG190" s="229">
        <v>5.4999999999999997E-3</v>
      </c>
      <c r="AH190" s="228">
        <v>6.75</v>
      </c>
      <c r="AI190" s="228">
        <v>4.7</v>
      </c>
      <c r="AJ190" s="228">
        <v>2.0499999999999998</v>
      </c>
      <c r="AK190" s="229">
        <v>1.04E-2</v>
      </c>
      <c r="AL190" s="228">
        <v>10.4</v>
      </c>
      <c r="AM190" s="228">
        <v>9.3000000000000007</v>
      </c>
      <c r="AN190" s="228">
        <v>1.1000000000000001</v>
      </c>
      <c r="AO190" s="229">
        <v>1.6E-2</v>
      </c>
      <c r="AP190" s="228">
        <v>650.41</v>
      </c>
      <c r="AQ190" s="228">
        <v>653.11</v>
      </c>
      <c r="AR190" s="228">
        <v>0</v>
      </c>
      <c r="AS190" s="228">
        <v>268</v>
      </c>
      <c r="AT190" s="228">
        <v>86</v>
      </c>
      <c r="AU190" s="228">
        <v>182</v>
      </c>
      <c r="AV190" s="229">
        <v>2.1191</v>
      </c>
      <c r="AW190" s="228">
        <v>251</v>
      </c>
      <c r="AX190" s="228">
        <v>79</v>
      </c>
      <c r="AY190" s="228">
        <v>173</v>
      </c>
      <c r="AZ190" s="229">
        <v>2.1894999999999998</v>
      </c>
      <c r="BA190" s="228">
        <v>15</v>
      </c>
      <c r="BB190" s="228">
        <v>6</v>
      </c>
      <c r="BC190" s="228">
        <v>9</v>
      </c>
      <c r="BD190" s="229">
        <v>1.3854</v>
      </c>
      <c r="BE190" s="228">
        <v>1</v>
      </c>
      <c r="BF190" s="228">
        <v>1</v>
      </c>
      <c r="BG190" s="228">
        <v>1</v>
      </c>
      <c r="BH190" s="229">
        <v>0.81820000000000004</v>
      </c>
      <c r="BI190" s="228">
        <v>690</v>
      </c>
      <c r="BJ190" s="228">
        <v>176</v>
      </c>
      <c r="BK190" s="228">
        <v>513</v>
      </c>
      <c r="BL190" s="229">
        <v>2.9079999999999999</v>
      </c>
      <c r="BM190" s="228">
        <v>323</v>
      </c>
      <c r="BN190" s="228">
        <v>69</v>
      </c>
      <c r="BO190" s="228">
        <v>254</v>
      </c>
      <c r="BP190" s="229">
        <v>3.6968999999999999</v>
      </c>
      <c r="BQ190" s="230">
        <v>1280</v>
      </c>
      <c r="BR190" s="228">
        <v>331</v>
      </c>
      <c r="BS190" s="228">
        <v>949</v>
      </c>
      <c r="BT190" s="229">
        <v>2.8672</v>
      </c>
      <c r="BU190" s="230">
        <v>1269674</v>
      </c>
      <c r="BV190" s="230">
        <v>775917</v>
      </c>
      <c r="BW190" s="230">
        <v>493757</v>
      </c>
      <c r="BX190" s="229">
        <v>0.63639999999999997</v>
      </c>
      <c r="BY190" s="228">
        <v>654</v>
      </c>
      <c r="BZ190" s="228">
        <v>637</v>
      </c>
      <c r="CA190" s="228">
        <v>17</v>
      </c>
      <c r="CB190" s="229">
        <v>2.6499999999999999E-2</v>
      </c>
      <c r="CC190" s="228">
        <v>639</v>
      </c>
      <c r="CD190" s="228">
        <v>623</v>
      </c>
      <c r="CE190" s="228">
        <v>16</v>
      </c>
      <c r="CF190" s="229">
        <v>2.4899999999999999E-2</v>
      </c>
      <c r="CG190" s="228">
        <v>13</v>
      </c>
      <c r="CH190" s="228">
        <v>12</v>
      </c>
      <c r="CI190" s="228">
        <v>2</v>
      </c>
      <c r="CJ190" s="229">
        <v>0.12570000000000001</v>
      </c>
      <c r="CK190" s="228">
        <v>2</v>
      </c>
      <c r="CL190" s="228">
        <v>2</v>
      </c>
      <c r="CM190" s="228">
        <v>0</v>
      </c>
      <c r="CN190" s="229">
        <v>-0.08</v>
      </c>
      <c r="CO190" s="228">
        <v>185</v>
      </c>
      <c r="CP190" s="228">
        <v>158</v>
      </c>
      <c r="CQ190" s="228">
        <v>27</v>
      </c>
      <c r="CR190" s="229">
        <v>0.1739</v>
      </c>
      <c r="CS190" s="228">
        <v>133</v>
      </c>
      <c r="CT190" s="228">
        <v>121</v>
      </c>
      <c r="CU190" s="228">
        <v>12</v>
      </c>
      <c r="CV190" s="229">
        <v>9.5399999999999999E-2</v>
      </c>
      <c r="CW190" s="228">
        <v>972</v>
      </c>
      <c r="CX190" s="228">
        <v>916</v>
      </c>
      <c r="CY190" s="228">
        <v>56</v>
      </c>
      <c r="CZ190" s="229">
        <v>6.1100000000000002E-2</v>
      </c>
      <c r="DA190" s="228">
        <v>29.37</v>
      </c>
      <c r="DB190" s="228">
        <v>30.88</v>
      </c>
      <c r="DC190" s="228">
        <v>-1.51</v>
      </c>
      <c r="DD190" s="228">
        <v>-1.51</v>
      </c>
      <c r="DE190" s="228">
        <v>33.369999999999997</v>
      </c>
      <c r="DF190" s="228">
        <v>33.340000000000003</v>
      </c>
      <c r="DG190" s="228">
        <v>-4</v>
      </c>
      <c r="DH190" s="228">
        <v>0.03</v>
      </c>
      <c r="DI190" s="228">
        <v>29.09</v>
      </c>
      <c r="DJ190" s="228">
        <v>30.54</v>
      </c>
      <c r="DK190" s="228">
        <v>-1.45</v>
      </c>
      <c r="DL190" s="228">
        <v>-1.45</v>
      </c>
      <c r="DM190" s="228">
        <v>29.95</v>
      </c>
      <c r="DN190" s="228">
        <v>31.75</v>
      </c>
      <c r="DO190" s="228">
        <v>-1.8</v>
      </c>
      <c r="DP190" s="228">
        <v>-1.8</v>
      </c>
      <c r="DQ190" s="228">
        <v>0.72</v>
      </c>
      <c r="DR190" s="228">
        <v>0.77</v>
      </c>
      <c r="DS190" s="228">
        <v>-0.05</v>
      </c>
      <c r="DT190" s="229">
        <v>-6.4899999999999999E-2</v>
      </c>
      <c r="DU190" s="228">
        <v>640</v>
      </c>
      <c r="DV190" s="228">
        <v>640</v>
      </c>
      <c r="DW190" s="228">
        <v>0.47</v>
      </c>
      <c r="DX190" s="228">
        <v>0.39</v>
      </c>
      <c r="DY190" s="228">
        <v>0.08</v>
      </c>
      <c r="DZ190" s="229">
        <v>0.2051</v>
      </c>
      <c r="EA190" s="229">
        <v>2.29E-2</v>
      </c>
      <c r="EB190" s="230">
        <v>208000</v>
      </c>
      <c r="EC190" s="229">
        <v>4.7999999999999996E-3</v>
      </c>
      <c r="ED190" s="229">
        <v>2.29E-2</v>
      </c>
      <c r="EE190" s="228">
        <v>2.7</v>
      </c>
      <c r="EF190" s="229">
        <v>4.1999999999999997E-3</v>
      </c>
      <c r="EG190" s="230">
        <v>481405</v>
      </c>
      <c r="EH190" s="230">
        <v>455988</v>
      </c>
      <c r="EI190" s="229">
        <v>5.57E-2</v>
      </c>
      <c r="EJ190" s="229">
        <v>0.37919999999999998</v>
      </c>
      <c r="EK190" s="228">
        <v>711.24</v>
      </c>
      <c r="EL190" s="228">
        <v>320.11</v>
      </c>
      <c r="EM190" s="228">
        <v>265.83</v>
      </c>
      <c r="EN190" s="228">
        <v>12.3</v>
      </c>
      <c r="EO190" s="231">
        <v>1297.19</v>
      </c>
      <c r="EP190" s="228">
        <v>331.79</v>
      </c>
      <c r="EQ190" s="228">
        <v>965.39</v>
      </c>
      <c r="ER190" s="229">
        <v>2.9096000000000002</v>
      </c>
      <c r="ES190" s="228">
        <v>186.33</v>
      </c>
      <c r="ET190" s="228">
        <v>127.82</v>
      </c>
      <c r="EU190" s="228">
        <v>653.61</v>
      </c>
      <c r="EV190" s="231">
        <v>28408333</v>
      </c>
      <c r="EW190" s="228">
        <v>967.75</v>
      </c>
      <c r="EX190" s="228">
        <v>896.44</v>
      </c>
      <c r="EY190" s="228">
        <v>71.31</v>
      </c>
      <c r="EZ190" s="229">
        <v>7.9500000000000001E-2</v>
      </c>
      <c r="FA190" s="229">
        <v>0.52229999999999999</v>
      </c>
      <c r="FB190" s="227" t="s">
        <v>555</v>
      </c>
      <c r="FC190">
        <f t="shared" si="3"/>
        <v>0</v>
      </c>
    </row>
    <row r="191" spans="1:159" ht="17.25" thickBot="1" x14ac:dyDescent="0.3">
      <c r="A191" s="226">
        <v>45940</v>
      </c>
      <c r="B191" s="227" t="s">
        <v>168</v>
      </c>
      <c r="C191" s="227" t="s">
        <v>291</v>
      </c>
      <c r="D191" s="228">
        <v>550</v>
      </c>
      <c r="E191" s="228">
        <v>18</v>
      </c>
      <c r="F191" s="231">
        <v>1132.7</v>
      </c>
      <c r="G191" s="231">
        <v>1124.2</v>
      </c>
      <c r="H191" s="228">
        <v>8.5</v>
      </c>
      <c r="I191" s="229">
        <v>7.6E-3</v>
      </c>
      <c r="J191" s="231">
        <v>1126.5</v>
      </c>
      <c r="K191" s="231">
        <v>1118</v>
      </c>
      <c r="L191" s="228">
        <v>8.5</v>
      </c>
      <c r="M191" s="229">
        <v>7.6E-3</v>
      </c>
      <c r="N191" s="231">
        <v>1132.7</v>
      </c>
      <c r="O191" s="231">
        <v>1124.2</v>
      </c>
      <c r="P191" s="228">
        <v>8.5</v>
      </c>
      <c r="Q191" s="229">
        <v>7.6E-3</v>
      </c>
      <c r="R191" s="231">
        <v>1139.3</v>
      </c>
      <c r="S191" s="231">
        <v>1129.2</v>
      </c>
      <c r="T191" s="228">
        <v>10.1</v>
      </c>
      <c r="U191" s="229">
        <v>8.8999999999999999E-3</v>
      </c>
      <c r="V191" s="231">
        <v>1146.5999999999999</v>
      </c>
      <c r="W191" s="231">
        <v>1135.4000000000001</v>
      </c>
      <c r="X191" s="228">
        <v>11.2</v>
      </c>
      <c r="Y191" s="229">
        <v>9.9000000000000008E-3</v>
      </c>
      <c r="Z191" s="228">
        <v>6.2</v>
      </c>
      <c r="AA191" s="228">
        <v>6.2</v>
      </c>
      <c r="AB191" s="228">
        <v>0</v>
      </c>
      <c r="AC191" s="229">
        <v>5.4999999999999997E-3</v>
      </c>
      <c r="AD191" s="228">
        <v>6.2</v>
      </c>
      <c r="AE191" s="228">
        <v>6.2</v>
      </c>
      <c r="AF191" s="228">
        <v>0</v>
      </c>
      <c r="AG191" s="229">
        <v>5.4999999999999997E-3</v>
      </c>
      <c r="AH191" s="228">
        <v>12.8</v>
      </c>
      <c r="AI191" s="228">
        <v>11.2</v>
      </c>
      <c r="AJ191" s="228">
        <v>1.6</v>
      </c>
      <c r="AK191" s="229">
        <v>1.14E-2</v>
      </c>
      <c r="AL191" s="228">
        <v>20.100000000000001</v>
      </c>
      <c r="AM191" s="228">
        <v>17.399999999999999</v>
      </c>
      <c r="AN191" s="228">
        <v>2.7</v>
      </c>
      <c r="AO191" s="229">
        <v>1.78E-2</v>
      </c>
      <c r="AP191" s="231">
        <v>1128.8499999999999</v>
      </c>
      <c r="AQ191" s="231">
        <v>1134.5</v>
      </c>
      <c r="AR191" s="228">
        <v>0</v>
      </c>
      <c r="AS191" s="228">
        <v>160</v>
      </c>
      <c r="AT191" s="228">
        <v>121</v>
      </c>
      <c r="AU191" s="228">
        <v>39</v>
      </c>
      <c r="AV191" s="229">
        <v>0.32519999999999999</v>
      </c>
      <c r="AW191" s="228">
        <v>149</v>
      </c>
      <c r="AX191" s="228">
        <v>115</v>
      </c>
      <c r="AY191" s="228">
        <v>34</v>
      </c>
      <c r="AZ191" s="229">
        <v>0.2918</v>
      </c>
      <c r="BA191" s="228">
        <v>9</v>
      </c>
      <c r="BB191" s="228">
        <v>5</v>
      </c>
      <c r="BC191" s="228">
        <v>4</v>
      </c>
      <c r="BD191" s="229">
        <v>0.66669999999999996</v>
      </c>
      <c r="BE191" s="228">
        <v>2</v>
      </c>
      <c r="BF191" s="228">
        <v>0</v>
      </c>
      <c r="BG191" s="228">
        <v>2</v>
      </c>
      <c r="BH191" s="229">
        <v>11</v>
      </c>
      <c r="BI191" s="228">
        <v>391</v>
      </c>
      <c r="BJ191" s="228">
        <v>234</v>
      </c>
      <c r="BK191" s="228">
        <v>156</v>
      </c>
      <c r="BL191" s="229">
        <v>0.66710000000000003</v>
      </c>
      <c r="BM191" s="228">
        <v>127</v>
      </c>
      <c r="BN191" s="228">
        <v>101</v>
      </c>
      <c r="BO191" s="228">
        <v>26</v>
      </c>
      <c r="BP191" s="229">
        <v>0.25369999999999998</v>
      </c>
      <c r="BQ191" s="228">
        <v>678</v>
      </c>
      <c r="BR191" s="228">
        <v>457</v>
      </c>
      <c r="BS191" s="228">
        <v>221</v>
      </c>
      <c r="BT191" s="229">
        <v>0.4849</v>
      </c>
      <c r="BU191" s="230">
        <v>1012166</v>
      </c>
      <c r="BV191" s="230">
        <v>861864</v>
      </c>
      <c r="BW191" s="230">
        <v>150302</v>
      </c>
      <c r="BX191" s="229">
        <v>0.1744</v>
      </c>
      <c r="BY191" s="230">
        <v>1863</v>
      </c>
      <c r="BZ191" s="230">
        <v>1851</v>
      </c>
      <c r="CA191" s="228">
        <v>13</v>
      </c>
      <c r="CB191" s="229">
        <v>6.7999999999999996E-3</v>
      </c>
      <c r="CC191" s="230">
        <v>1842</v>
      </c>
      <c r="CD191" s="230">
        <v>1835</v>
      </c>
      <c r="CE191" s="228">
        <v>7</v>
      </c>
      <c r="CF191" s="229">
        <v>4.1000000000000003E-3</v>
      </c>
      <c r="CG191" s="228">
        <v>18</v>
      </c>
      <c r="CH191" s="228">
        <v>15</v>
      </c>
      <c r="CI191" s="228">
        <v>3</v>
      </c>
      <c r="CJ191" s="229">
        <v>0.2107</v>
      </c>
      <c r="CK191" s="228">
        <v>3</v>
      </c>
      <c r="CL191" s="228">
        <v>1</v>
      </c>
      <c r="CM191" s="228">
        <v>2</v>
      </c>
      <c r="CN191" s="229">
        <v>2.1429</v>
      </c>
      <c r="CO191" s="228">
        <v>387</v>
      </c>
      <c r="CP191" s="228">
        <v>384</v>
      </c>
      <c r="CQ191" s="228">
        <v>3</v>
      </c>
      <c r="CR191" s="229">
        <v>7.3000000000000001E-3</v>
      </c>
      <c r="CS191" s="228">
        <v>165</v>
      </c>
      <c r="CT191" s="228">
        <v>159</v>
      </c>
      <c r="CU191" s="228">
        <v>5</v>
      </c>
      <c r="CV191" s="229">
        <v>3.4000000000000002E-2</v>
      </c>
      <c r="CW191" s="230">
        <v>2415</v>
      </c>
      <c r="CX191" s="230">
        <v>2395</v>
      </c>
      <c r="CY191" s="228">
        <v>21</v>
      </c>
      <c r="CZ191" s="229">
        <v>8.6999999999999994E-3</v>
      </c>
      <c r="DA191" s="228">
        <v>22.22</v>
      </c>
      <c r="DB191" s="228">
        <v>23.04</v>
      </c>
      <c r="DC191" s="228">
        <v>-0.82</v>
      </c>
      <c r="DD191" s="228">
        <v>-0.82</v>
      </c>
      <c r="DE191" s="228">
        <v>26.9</v>
      </c>
      <c r="DF191" s="228">
        <v>26.94</v>
      </c>
      <c r="DG191" s="228">
        <v>-4.68</v>
      </c>
      <c r="DH191" s="228">
        <v>-0.04</v>
      </c>
      <c r="DI191" s="228">
        <v>22.13</v>
      </c>
      <c r="DJ191" s="228">
        <v>23.01</v>
      </c>
      <c r="DK191" s="228">
        <v>-0.88</v>
      </c>
      <c r="DL191" s="228">
        <v>-0.88</v>
      </c>
      <c r="DM191" s="228">
        <v>22.5</v>
      </c>
      <c r="DN191" s="228">
        <v>23.11</v>
      </c>
      <c r="DO191" s="228">
        <v>-0.61</v>
      </c>
      <c r="DP191" s="228">
        <v>-0.61</v>
      </c>
      <c r="DQ191" s="228">
        <v>0.43</v>
      </c>
      <c r="DR191" s="228">
        <v>0.42</v>
      </c>
      <c r="DS191" s="228">
        <v>0.01</v>
      </c>
      <c r="DT191" s="229">
        <v>2.3800000000000002E-2</v>
      </c>
      <c r="DU191" s="231">
        <v>1240</v>
      </c>
      <c r="DV191" s="231">
        <v>1100</v>
      </c>
      <c r="DW191" s="228">
        <v>0.33</v>
      </c>
      <c r="DX191" s="228">
        <v>0.43</v>
      </c>
      <c r="DY191" s="228">
        <v>-0.1</v>
      </c>
      <c r="DZ191" s="229">
        <v>-0.2326</v>
      </c>
      <c r="EA191" s="229">
        <v>1.1299999999999999E-2</v>
      </c>
      <c r="EB191" s="230">
        <v>140800</v>
      </c>
      <c r="EC191" s="229">
        <v>5.7999999999999996E-3</v>
      </c>
      <c r="ED191" s="229">
        <v>1.1299999999999999E-2</v>
      </c>
      <c r="EE191" s="228">
        <v>5.65</v>
      </c>
      <c r="EF191" s="229">
        <v>5.0000000000000001E-3</v>
      </c>
      <c r="EG191" s="230">
        <v>636361</v>
      </c>
      <c r="EH191" s="230">
        <v>536241</v>
      </c>
      <c r="EI191" s="229">
        <v>0.1867</v>
      </c>
      <c r="EJ191" s="229">
        <v>0.62870000000000004</v>
      </c>
      <c r="EK191" s="228">
        <v>401.42</v>
      </c>
      <c r="EL191" s="228">
        <v>124.93</v>
      </c>
      <c r="EM191" s="228">
        <v>159.44999999999999</v>
      </c>
      <c r="EN191" s="228">
        <v>25.63</v>
      </c>
      <c r="EO191" s="228">
        <v>685.81</v>
      </c>
      <c r="EP191" s="228">
        <v>461.99</v>
      </c>
      <c r="EQ191" s="228">
        <v>223.82</v>
      </c>
      <c r="ER191" s="229">
        <v>0.48449999999999999</v>
      </c>
      <c r="ES191" s="228">
        <v>408.02</v>
      </c>
      <c r="ET191" s="228">
        <v>157.41</v>
      </c>
      <c r="EU191" s="231">
        <v>1863.61</v>
      </c>
      <c r="EV191" s="231">
        <v>65471528</v>
      </c>
      <c r="EW191" s="231">
        <v>2429.04</v>
      </c>
      <c r="EX191" s="231">
        <v>2394.5300000000002</v>
      </c>
      <c r="EY191" s="228">
        <v>34.51</v>
      </c>
      <c r="EZ191" s="229">
        <v>1.44E-2</v>
      </c>
      <c r="FA191" s="229">
        <v>0.32569999999999999</v>
      </c>
      <c r="FB191" s="227" t="s">
        <v>555</v>
      </c>
      <c r="FC191">
        <f t="shared" si="3"/>
        <v>0</v>
      </c>
    </row>
    <row r="192" spans="1:159" ht="17.25" thickBot="1" x14ac:dyDescent="0.3">
      <c r="A192" s="226">
        <v>45940</v>
      </c>
      <c r="B192" s="227" t="s">
        <v>221</v>
      </c>
      <c r="C192" s="227" t="s">
        <v>605</v>
      </c>
      <c r="D192" s="228">
        <v>100</v>
      </c>
      <c r="E192" s="228">
        <v>18</v>
      </c>
      <c r="F192" s="231">
        <v>5387.5</v>
      </c>
      <c r="G192" s="231">
        <v>5578</v>
      </c>
      <c r="H192" s="228">
        <v>-190.5</v>
      </c>
      <c r="I192" s="229">
        <v>-3.4200000000000001E-2</v>
      </c>
      <c r="J192" s="231">
        <v>5407.5</v>
      </c>
      <c r="K192" s="231">
        <v>5573</v>
      </c>
      <c r="L192" s="228">
        <v>-165.5</v>
      </c>
      <c r="M192" s="229">
        <v>-2.9700000000000001E-2</v>
      </c>
      <c r="N192" s="231">
        <v>5387.5</v>
      </c>
      <c r="O192" s="231">
        <v>5578</v>
      </c>
      <c r="P192" s="228">
        <v>-190.5</v>
      </c>
      <c r="Q192" s="229">
        <v>-3.4200000000000001E-2</v>
      </c>
      <c r="R192" s="231">
        <v>5354</v>
      </c>
      <c r="S192" s="231">
        <v>5549</v>
      </c>
      <c r="T192" s="228">
        <v>-195</v>
      </c>
      <c r="U192" s="229">
        <v>-3.5099999999999999E-2</v>
      </c>
      <c r="V192" s="231">
        <v>5325</v>
      </c>
      <c r="W192" s="231">
        <v>5515.5</v>
      </c>
      <c r="X192" s="228">
        <v>-190.5</v>
      </c>
      <c r="Y192" s="229">
        <v>-3.4500000000000003E-2</v>
      </c>
      <c r="Z192" s="228">
        <v>-20</v>
      </c>
      <c r="AA192" s="228">
        <v>5</v>
      </c>
      <c r="AB192" s="228">
        <v>-25</v>
      </c>
      <c r="AC192" s="229">
        <v>-3.7000000000000002E-3</v>
      </c>
      <c r="AD192" s="228">
        <v>-20</v>
      </c>
      <c r="AE192" s="228">
        <v>5</v>
      </c>
      <c r="AF192" s="228">
        <v>-25</v>
      </c>
      <c r="AG192" s="229">
        <v>-3.7000000000000002E-3</v>
      </c>
      <c r="AH192" s="228">
        <v>-53.5</v>
      </c>
      <c r="AI192" s="228">
        <v>-24</v>
      </c>
      <c r="AJ192" s="228">
        <v>-29.5</v>
      </c>
      <c r="AK192" s="229">
        <v>-9.9000000000000008E-3</v>
      </c>
      <c r="AL192" s="228">
        <v>-82.5</v>
      </c>
      <c r="AM192" s="228">
        <v>-57.5</v>
      </c>
      <c r="AN192" s="228">
        <v>-25</v>
      </c>
      <c r="AO192" s="229">
        <v>-1.5299999999999999E-2</v>
      </c>
      <c r="AP192" s="231">
        <v>5453.45</v>
      </c>
      <c r="AQ192" s="231">
        <v>5388.2</v>
      </c>
      <c r="AR192" s="228">
        <v>0</v>
      </c>
      <c r="AS192" s="230">
        <v>1078</v>
      </c>
      <c r="AT192" s="228">
        <v>423</v>
      </c>
      <c r="AU192" s="228">
        <v>655</v>
      </c>
      <c r="AV192" s="229">
        <v>1.5488999999999999</v>
      </c>
      <c r="AW192" s="228">
        <v>889</v>
      </c>
      <c r="AX192" s="228">
        <v>353</v>
      </c>
      <c r="AY192" s="228">
        <v>536</v>
      </c>
      <c r="AZ192" s="229">
        <v>1.5155000000000001</v>
      </c>
      <c r="BA192" s="228">
        <v>178</v>
      </c>
      <c r="BB192" s="228">
        <v>66</v>
      </c>
      <c r="BC192" s="228">
        <v>111</v>
      </c>
      <c r="BD192" s="229">
        <v>1.6763999999999999</v>
      </c>
      <c r="BE192" s="228">
        <v>11</v>
      </c>
      <c r="BF192" s="228">
        <v>3</v>
      </c>
      <c r="BG192" s="228">
        <v>8</v>
      </c>
      <c r="BH192" s="229">
        <v>2.6606999999999998</v>
      </c>
      <c r="BI192" s="230">
        <v>5022</v>
      </c>
      <c r="BJ192" s="230">
        <v>2424</v>
      </c>
      <c r="BK192" s="230">
        <v>2598</v>
      </c>
      <c r="BL192" s="229">
        <v>1.0714999999999999</v>
      </c>
      <c r="BM192" s="230">
        <v>2708</v>
      </c>
      <c r="BN192" s="228">
        <v>991</v>
      </c>
      <c r="BO192" s="230">
        <v>1717</v>
      </c>
      <c r="BP192" s="229">
        <v>1.7318</v>
      </c>
      <c r="BQ192" s="230">
        <v>8808</v>
      </c>
      <c r="BR192" s="230">
        <v>3839</v>
      </c>
      <c r="BS192" s="230">
        <v>4970</v>
      </c>
      <c r="BT192" s="229">
        <v>1.2946</v>
      </c>
      <c r="BU192" s="230">
        <v>838003</v>
      </c>
      <c r="BV192" s="230">
        <v>379481</v>
      </c>
      <c r="BW192" s="230">
        <v>458522</v>
      </c>
      <c r="BX192" s="229">
        <v>1.2082999999999999</v>
      </c>
      <c r="BY192" s="230">
        <v>1945</v>
      </c>
      <c r="BZ192" s="230">
        <v>1580</v>
      </c>
      <c r="CA192" s="228">
        <v>365</v>
      </c>
      <c r="CB192" s="229">
        <v>0.23069999999999999</v>
      </c>
      <c r="CC192" s="230">
        <v>1710</v>
      </c>
      <c r="CD192" s="230">
        <v>1470</v>
      </c>
      <c r="CE192" s="228">
        <v>239</v>
      </c>
      <c r="CF192" s="229">
        <v>0.1628</v>
      </c>
      <c r="CG192" s="228">
        <v>224</v>
      </c>
      <c r="CH192" s="228">
        <v>105</v>
      </c>
      <c r="CI192" s="228">
        <v>119</v>
      </c>
      <c r="CJ192" s="229">
        <v>1.1235999999999999</v>
      </c>
      <c r="CK192" s="228">
        <v>11</v>
      </c>
      <c r="CL192" s="228">
        <v>5</v>
      </c>
      <c r="CM192" s="228">
        <v>7</v>
      </c>
      <c r="CN192" s="229">
        <v>1.4482999999999999</v>
      </c>
      <c r="CO192" s="230">
        <v>1089</v>
      </c>
      <c r="CP192" s="228">
        <v>682</v>
      </c>
      <c r="CQ192" s="228">
        <v>407</v>
      </c>
      <c r="CR192" s="229">
        <v>0.59689999999999999</v>
      </c>
      <c r="CS192" s="228">
        <v>476</v>
      </c>
      <c r="CT192" s="228">
        <v>443</v>
      </c>
      <c r="CU192" s="228">
        <v>33</v>
      </c>
      <c r="CV192" s="229">
        <v>7.4899999999999994E-2</v>
      </c>
      <c r="CW192" s="230">
        <v>3510</v>
      </c>
      <c r="CX192" s="230">
        <v>2705</v>
      </c>
      <c r="CY192" s="228">
        <v>805</v>
      </c>
      <c r="CZ192" s="229">
        <v>0.29749999999999999</v>
      </c>
      <c r="DA192" s="228">
        <v>30.46</v>
      </c>
      <c r="DB192" s="228">
        <v>38.36</v>
      </c>
      <c r="DC192" s="228">
        <v>-7.9</v>
      </c>
      <c r="DD192" s="228">
        <v>-7.9</v>
      </c>
      <c r="DE192" s="228">
        <v>36.89</v>
      </c>
      <c r="DF192" s="228">
        <v>36.68</v>
      </c>
      <c r="DG192" s="228">
        <v>-6.43</v>
      </c>
      <c r="DH192" s="228">
        <v>0.21</v>
      </c>
      <c r="DI192" s="228">
        <v>30.95</v>
      </c>
      <c r="DJ192" s="228">
        <v>37.93</v>
      </c>
      <c r="DK192" s="228">
        <v>-6.98</v>
      </c>
      <c r="DL192" s="228">
        <v>-6.98</v>
      </c>
      <c r="DM192" s="228">
        <v>29.55</v>
      </c>
      <c r="DN192" s="228">
        <v>39.4</v>
      </c>
      <c r="DO192" s="228">
        <v>-9.85</v>
      </c>
      <c r="DP192" s="228">
        <v>-9.85</v>
      </c>
      <c r="DQ192" s="228">
        <v>0.44</v>
      </c>
      <c r="DR192" s="228">
        <v>0.65</v>
      </c>
      <c r="DS192" s="228">
        <v>-0.21</v>
      </c>
      <c r="DT192" s="229">
        <v>-0.3231</v>
      </c>
      <c r="DU192" s="231">
        <v>5500</v>
      </c>
      <c r="DV192" s="231">
        <v>5000</v>
      </c>
      <c r="DW192" s="228">
        <v>0.54</v>
      </c>
      <c r="DX192" s="228">
        <v>0.41</v>
      </c>
      <c r="DY192" s="228">
        <v>0.13</v>
      </c>
      <c r="DZ192" s="229">
        <v>0.31709999999999999</v>
      </c>
      <c r="EA192" s="229">
        <v>0.1211</v>
      </c>
      <c r="EB192" s="230">
        <v>204500</v>
      </c>
      <c r="EC192" s="229">
        <v>-6.1999999999999998E-3</v>
      </c>
      <c r="ED192" s="229">
        <v>0.1211</v>
      </c>
      <c r="EE192" s="228">
        <v>-65.25</v>
      </c>
      <c r="EF192" s="229">
        <v>-1.2E-2</v>
      </c>
      <c r="EG192" s="230">
        <v>220131</v>
      </c>
      <c r="EH192" s="230">
        <v>116792</v>
      </c>
      <c r="EI192" s="229">
        <v>0.88480000000000003</v>
      </c>
      <c r="EJ192" s="229">
        <v>0.26269999999999999</v>
      </c>
      <c r="EK192" s="231">
        <v>5419.69</v>
      </c>
      <c r="EL192" s="231">
        <v>2678.96</v>
      </c>
      <c r="EM192" s="231">
        <v>1088.8599999999999</v>
      </c>
      <c r="EN192" s="228">
        <v>56.79</v>
      </c>
      <c r="EO192" s="231">
        <v>9187.51</v>
      </c>
      <c r="EP192" s="231">
        <v>4065.8</v>
      </c>
      <c r="EQ192" s="231">
        <v>5121.71</v>
      </c>
      <c r="ER192" s="229">
        <v>1.2597</v>
      </c>
      <c r="ES192" s="231">
        <v>1162.17</v>
      </c>
      <c r="ET192" s="228">
        <v>460.72</v>
      </c>
      <c r="EU192" s="231">
        <v>1943.47</v>
      </c>
      <c r="EV192" s="231">
        <v>4309631</v>
      </c>
      <c r="EW192" s="231">
        <v>3566.36</v>
      </c>
      <c r="EX192" s="231">
        <v>2805.87</v>
      </c>
      <c r="EY192" s="228">
        <v>760.49</v>
      </c>
      <c r="EZ192" s="229">
        <v>0.27100000000000002</v>
      </c>
      <c r="FA192" s="229">
        <v>1.5118</v>
      </c>
      <c r="FB192" s="227" t="s">
        <v>567</v>
      </c>
      <c r="FC192">
        <f t="shared" si="3"/>
        <v>0</v>
      </c>
    </row>
    <row r="193" spans="1:159" ht="17.25" thickBot="1" x14ac:dyDescent="0.3">
      <c r="A193" s="226">
        <v>45940</v>
      </c>
      <c r="B193" s="227" t="s">
        <v>162</v>
      </c>
      <c r="C193" s="227" t="s">
        <v>292</v>
      </c>
      <c r="D193" s="228">
        <v>800</v>
      </c>
      <c r="E193" s="228">
        <v>18</v>
      </c>
      <c r="F193" s="228">
        <v>679.4</v>
      </c>
      <c r="G193" s="228">
        <v>683.15</v>
      </c>
      <c r="H193" s="228">
        <v>-3.75</v>
      </c>
      <c r="I193" s="229">
        <v>-5.4999999999999997E-3</v>
      </c>
      <c r="J193" s="228">
        <v>678.95</v>
      </c>
      <c r="K193" s="228">
        <v>681.1</v>
      </c>
      <c r="L193" s="228">
        <v>-2.15</v>
      </c>
      <c r="M193" s="229">
        <v>-3.2000000000000002E-3</v>
      </c>
      <c r="N193" s="228">
        <v>679.4</v>
      </c>
      <c r="O193" s="228">
        <v>683.15</v>
      </c>
      <c r="P193" s="228">
        <v>-3.75</v>
      </c>
      <c r="Q193" s="229">
        <v>-5.4999999999999997E-3</v>
      </c>
      <c r="R193" s="228">
        <v>679.1</v>
      </c>
      <c r="S193" s="228">
        <v>682.45</v>
      </c>
      <c r="T193" s="228">
        <v>-3.35</v>
      </c>
      <c r="U193" s="229">
        <v>-4.8999999999999998E-3</v>
      </c>
      <c r="V193" s="228">
        <v>679.05</v>
      </c>
      <c r="W193" s="228">
        <v>683.35</v>
      </c>
      <c r="X193" s="228">
        <v>-4.3</v>
      </c>
      <c r="Y193" s="229">
        <v>-6.3E-3</v>
      </c>
      <c r="Z193" s="228">
        <v>0.45</v>
      </c>
      <c r="AA193" s="228">
        <v>2.0499999999999998</v>
      </c>
      <c r="AB193" s="228">
        <v>-1.6</v>
      </c>
      <c r="AC193" s="229">
        <v>6.9999999999999999E-4</v>
      </c>
      <c r="AD193" s="228">
        <v>0.45</v>
      </c>
      <c r="AE193" s="228">
        <v>2.0499999999999998</v>
      </c>
      <c r="AF193" s="228">
        <v>-1.6</v>
      </c>
      <c r="AG193" s="229">
        <v>6.9999999999999999E-4</v>
      </c>
      <c r="AH193" s="228">
        <v>0.15</v>
      </c>
      <c r="AI193" s="228">
        <v>1.35</v>
      </c>
      <c r="AJ193" s="228">
        <v>-1.2</v>
      </c>
      <c r="AK193" s="229">
        <v>2.0000000000000001E-4</v>
      </c>
      <c r="AL193" s="228">
        <v>0.1</v>
      </c>
      <c r="AM193" s="228">
        <v>2.25</v>
      </c>
      <c r="AN193" s="228">
        <v>-2.15</v>
      </c>
      <c r="AO193" s="229">
        <v>1E-4</v>
      </c>
      <c r="AP193" s="228">
        <v>680.6</v>
      </c>
      <c r="AQ193" s="228">
        <v>680.73</v>
      </c>
      <c r="AR193" s="228">
        <v>0</v>
      </c>
      <c r="AS193" s="230">
        <v>1477</v>
      </c>
      <c r="AT193" s="230">
        <v>1564</v>
      </c>
      <c r="AU193" s="228">
        <v>-88</v>
      </c>
      <c r="AV193" s="229">
        <v>-5.6099999999999997E-2</v>
      </c>
      <c r="AW193" s="230">
        <v>1263</v>
      </c>
      <c r="AX193" s="230">
        <v>1380</v>
      </c>
      <c r="AY193" s="228">
        <v>-118</v>
      </c>
      <c r="AZ193" s="229">
        <v>-8.5099999999999995E-2</v>
      </c>
      <c r="BA193" s="228">
        <v>177</v>
      </c>
      <c r="BB193" s="228">
        <v>148</v>
      </c>
      <c r="BC193" s="228">
        <v>30</v>
      </c>
      <c r="BD193" s="229">
        <v>0.2011</v>
      </c>
      <c r="BE193" s="228">
        <v>37</v>
      </c>
      <c r="BF193" s="228">
        <v>37</v>
      </c>
      <c r="BG193" s="228">
        <v>0</v>
      </c>
      <c r="BH193" s="229">
        <v>1.5E-3</v>
      </c>
      <c r="BI193" s="230">
        <v>19358</v>
      </c>
      <c r="BJ193" s="230">
        <v>20560</v>
      </c>
      <c r="BK193" s="230">
        <v>-1202</v>
      </c>
      <c r="BL193" s="229">
        <v>-5.8400000000000001E-2</v>
      </c>
      <c r="BM193" s="230">
        <v>8343</v>
      </c>
      <c r="BN193" s="230">
        <v>8806</v>
      </c>
      <c r="BO193" s="228">
        <v>-463</v>
      </c>
      <c r="BP193" s="229">
        <v>-5.2600000000000001E-2</v>
      </c>
      <c r="BQ193" s="230">
        <v>29177</v>
      </c>
      <c r="BR193" s="230">
        <v>30930</v>
      </c>
      <c r="BS193" s="230">
        <v>-1753</v>
      </c>
      <c r="BT193" s="229">
        <v>-5.67E-2</v>
      </c>
      <c r="BU193" s="230">
        <v>16776518</v>
      </c>
      <c r="BV193" s="230">
        <v>17214521</v>
      </c>
      <c r="BW193" s="230">
        <v>-438003</v>
      </c>
      <c r="BX193" s="229">
        <v>-2.5399999999999999E-2</v>
      </c>
      <c r="BY193" s="230">
        <v>3030</v>
      </c>
      <c r="BZ193" s="230">
        <v>3437</v>
      </c>
      <c r="CA193" s="228">
        <v>-407</v>
      </c>
      <c r="CB193" s="229">
        <v>-0.11840000000000001</v>
      </c>
      <c r="CC193" s="230">
        <v>2652</v>
      </c>
      <c r="CD193" s="230">
        <v>3027</v>
      </c>
      <c r="CE193" s="228">
        <v>-375</v>
      </c>
      <c r="CF193" s="229">
        <v>-0.124</v>
      </c>
      <c r="CG193" s="228">
        <v>325</v>
      </c>
      <c r="CH193" s="228">
        <v>360</v>
      </c>
      <c r="CI193" s="228">
        <v>-34</v>
      </c>
      <c r="CJ193" s="229">
        <v>-9.5399999999999999E-2</v>
      </c>
      <c r="CK193" s="228">
        <v>53</v>
      </c>
      <c r="CL193" s="228">
        <v>50</v>
      </c>
      <c r="CM193" s="228">
        <v>3</v>
      </c>
      <c r="CN193" s="229">
        <v>5.5599999999999997E-2</v>
      </c>
      <c r="CO193" s="230">
        <v>8185</v>
      </c>
      <c r="CP193" s="230">
        <v>8956</v>
      </c>
      <c r="CQ193" s="228">
        <v>-771</v>
      </c>
      <c r="CR193" s="229">
        <v>-8.6099999999999996E-2</v>
      </c>
      <c r="CS193" s="230">
        <v>2451</v>
      </c>
      <c r="CT193" s="230">
        <v>2783</v>
      </c>
      <c r="CU193" s="228">
        <v>-332</v>
      </c>
      <c r="CV193" s="229">
        <v>-0.1192</v>
      </c>
      <c r="CW193" s="230">
        <v>13666</v>
      </c>
      <c r="CX193" s="230">
        <v>15176</v>
      </c>
      <c r="CY193" s="230">
        <v>-1510</v>
      </c>
      <c r="CZ193" s="229">
        <v>-9.9500000000000005E-2</v>
      </c>
      <c r="DA193" s="228">
        <v>16.93</v>
      </c>
      <c r="DB193" s="228">
        <v>17.66</v>
      </c>
      <c r="DC193" s="228">
        <v>-0.73</v>
      </c>
      <c r="DD193" s="228">
        <v>-0.73</v>
      </c>
      <c r="DE193" s="228">
        <v>35.78</v>
      </c>
      <c r="DF193" s="228">
        <v>35.869999999999997</v>
      </c>
      <c r="DG193" s="228">
        <v>-18.850000000000001</v>
      </c>
      <c r="DH193" s="228">
        <v>-0.09</v>
      </c>
      <c r="DI193" s="228">
        <v>18.14</v>
      </c>
      <c r="DJ193" s="228">
        <v>18.510000000000002</v>
      </c>
      <c r="DK193" s="228">
        <v>-0.37</v>
      </c>
      <c r="DL193" s="228">
        <v>-0.37</v>
      </c>
      <c r="DM193" s="228">
        <v>14.11</v>
      </c>
      <c r="DN193" s="228">
        <v>15.66</v>
      </c>
      <c r="DO193" s="228">
        <v>-1.55</v>
      </c>
      <c r="DP193" s="228">
        <v>-1.55</v>
      </c>
      <c r="DQ193" s="228">
        <v>0.3</v>
      </c>
      <c r="DR193" s="228">
        <v>0.31</v>
      </c>
      <c r="DS193" s="228">
        <v>-0.01</v>
      </c>
      <c r="DT193" s="229">
        <v>-3.2300000000000002E-2</v>
      </c>
      <c r="DU193" s="228">
        <v>700</v>
      </c>
      <c r="DV193" s="228">
        <v>650</v>
      </c>
      <c r="DW193" s="228">
        <v>0.43</v>
      </c>
      <c r="DX193" s="228">
        <v>0.43</v>
      </c>
      <c r="DY193" s="228">
        <v>0</v>
      </c>
      <c r="DZ193" s="229">
        <v>0</v>
      </c>
      <c r="EA193" s="229">
        <v>0.12479999999999999</v>
      </c>
      <c r="EB193" s="230">
        <v>6028000</v>
      </c>
      <c r="EC193" s="229">
        <v>-4.0000000000000002E-4</v>
      </c>
      <c r="ED193" s="229">
        <v>0.12479999999999999</v>
      </c>
      <c r="EE193" s="228">
        <v>0.13</v>
      </c>
      <c r="EF193" s="229">
        <v>2.0000000000000001E-4</v>
      </c>
      <c r="EG193" s="230">
        <v>8958681</v>
      </c>
      <c r="EH193" s="230">
        <v>8043617</v>
      </c>
      <c r="EI193" s="229">
        <v>0.1138</v>
      </c>
      <c r="EJ193" s="229">
        <v>0.53400000000000003</v>
      </c>
      <c r="EK193" s="231">
        <v>20618.650000000001</v>
      </c>
      <c r="EL193" s="231">
        <v>8193.73</v>
      </c>
      <c r="EM193" s="231">
        <v>1479.3</v>
      </c>
      <c r="EN193" s="228">
        <v>273.44</v>
      </c>
      <c r="EO193" s="231">
        <v>30291.69</v>
      </c>
      <c r="EP193" s="231">
        <v>32040.15</v>
      </c>
      <c r="EQ193" s="231">
        <v>-1748.46</v>
      </c>
      <c r="ER193" s="229">
        <v>-5.4600000000000003E-2</v>
      </c>
      <c r="ES193" s="231">
        <v>8874.7099999999991</v>
      </c>
      <c r="ET193" s="231">
        <v>2419.21</v>
      </c>
      <c r="EU193" s="231">
        <v>3029.74</v>
      </c>
      <c r="EV193" s="231">
        <v>284575867</v>
      </c>
      <c r="EW193" s="231">
        <v>14323.66</v>
      </c>
      <c r="EX193" s="231">
        <v>15935.46</v>
      </c>
      <c r="EY193" s="231">
        <v>-1611.8</v>
      </c>
      <c r="EZ193" s="229">
        <v>-0.1011</v>
      </c>
      <c r="FA193" s="229">
        <v>0.70679999999999998</v>
      </c>
      <c r="FB193" s="227" t="s">
        <v>568</v>
      </c>
      <c r="FC193">
        <f t="shared" si="3"/>
        <v>0</v>
      </c>
    </row>
    <row r="194" spans="1:159" ht="17.25" thickBot="1" x14ac:dyDescent="0.3">
      <c r="A194" s="226">
        <v>45940</v>
      </c>
      <c r="B194" s="227" t="s">
        <v>161</v>
      </c>
      <c r="C194" s="227" t="s">
        <v>293</v>
      </c>
      <c r="D194" s="228">
        <v>1450</v>
      </c>
      <c r="E194" s="228">
        <v>18</v>
      </c>
      <c r="F194" s="228">
        <v>392.25</v>
      </c>
      <c r="G194" s="228">
        <v>390.35</v>
      </c>
      <c r="H194" s="228">
        <v>1.9</v>
      </c>
      <c r="I194" s="229">
        <v>4.8999999999999998E-3</v>
      </c>
      <c r="J194" s="228">
        <v>390.1</v>
      </c>
      <c r="K194" s="228">
        <v>388.2</v>
      </c>
      <c r="L194" s="228">
        <v>1.9</v>
      </c>
      <c r="M194" s="229">
        <v>4.8999999999999998E-3</v>
      </c>
      <c r="N194" s="228">
        <v>392.25</v>
      </c>
      <c r="O194" s="228">
        <v>390.35</v>
      </c>
      <c r="P194" s="228">
        <v>1.9</v>
      </c>
      <c r="Q194" s="229">
        <v>4.8999999999999998E-3</v>
      </c>
      <c r="R194" s="228">
        <v>394.45</v>
      </c>
      <c r="S194" s="228">
        <v>392.45</v>
      </c>
      <c r="T194" s="228">
        <v>2</v>
      </c>
      <c r="U194" s="229">
        <v>5.1000000000000004E-3</v>
      </c>
      <c r="V194" s="228">
        <v>396.95</v>
      </c>
      <c r="W194" s="228">
        <v>394.9</v>
      </c>
      <c r="X194" s="228">
        <v>2.0499999999999998</v>
      </c>
      <c r="Y194" s="229">
        <v>5.1999999999999998E-3</v>
      </c>
      <c r="Z194" s="228">
        <v>2.15</v>
      </c>
      <c r="AA194" s="228">
        <v>2.15</v>
      </c>
      <c r="AB194" s="228">
        <v>0</v>
      </c>
      <c r="AC194" s="229">
        <v>5.4999999999999997E-3</v>
      </c>
      <c r="AD194" s="228">
        <v>2.15</v>
      </c>
      <c r="AE194" s="228">
        <v>2.15</v>
      </c>
      <c r="AF194" s="228">
        <v>0</v>
      </c>
      <c r="AG194" s="229">
        <v>5.4999999999999997E-3</v>
      </c>
      <c r="AH194" s="228">
        <v>4.3499999999999996</v>
      </c>
      <c r="AI194" s="228">
        <v>4.25</v>
      </c>
      <c r="AJ194" s="228">
        <v>0.1</v>
      </c>
      <c r="AK194" s="229">
        <v>1.12E-2</v>
      </c>
      <c r="AL194" s="228">
        <v>6.85</v>
      </c>
      <c r="AM194" s="228">
        <v>6.7</v>
      </c>
      <c r="AN194" s="228">
        <v>0.15</v>
      </c>
      <c r="AO194" s="229">
        <v>1.7600000000000001E-2</v>
      </c>
      <c r="AP194" s="228">
        <v>395.15</v>
      </c>
      <c r="AQ194" s="228">
        <v>397.2</v>
      </c>
      <c r="AR194" s="228">
        <v>0</v>
      </c>
      <c r="AS194" s="228">
        <v>522</v>
      </c>
      <c r="AT194" s="228">
        <v>285</v>
      </c>
      <c r="AU194" s="228">
        <v>238</v>
      </c>
      <c r="AV194" s="229">
        <v>0.83389999999999997</v>
      </c>
      <c r="AW194" s="228">
        <v>474</v>
      </c>
      <c r="AX194" s="228">
        <v>257</v>
      </c>
      <c r="AY194" s="228">
        <v>216</v>
      </c>
      <c r="AZ194" s="229">
        <v>0.84050000000000002</v>
      </c>
      <c r="BA194" s="228">
        <v>44</v>
      </c>
      <c r="BB194" s="228">
        <v>26</v>
      </c>
      <c r="BC194" s="228">
        <v>18</v>
      </c>
      <c r="BD194" s="229">
        <v>0.70820000000000005</v>
      </c>
      <c r="BE194" s="228">
        <v>5</v>
      </c>
      <c r="BF194" s="228">
        <v>2</v>
      </c>
      <c r="BG194" s="228">
        <v>3</v>
      </c>
      <c r="BH194" s="229">
        <v>1.6175999999999999</v>
      </c>
      <c r="BI194" s="230">
        <v>1888</v>
      </c>
      <c r="BJ194" s="228">
        <v>949</v>
      </c>
      <c r="BK194" s="228">
        <v>938</v>
      </c>
      <c r="BL194" s="229">
        <v>0.98860000000000003</v>
      </c>
      <c r="BM194" s="228">
        <v>919</v>
      </c>
      <c r="BN194" s="228">
        <v>550</v>
      </c>
      <c r="BO194" s="228">
        <v>369</v>
      </c>
      <c r="BP194" s="229">
        <v>0.67090000000000005</v>
      </c>
      <c r="BQ194" s="230">
        <v>3330</v>
      </c>
      <c r="BR194" s="230">
        <v>1784</v>
      </c>
      <c r="BS194" s="230">
        <v>1545</v>
      </c>
      <c r="BT194" s="229">
        <v>0.8659</v>
      </c>
      <c r="BU194" s="230">
        <v>8666933</v>
      </c>
      <c r="BV194" s="230">
        <v>5684725</v>
      </c>
      <c r="BW194" s="230">
        <v>2982208</v>
      </c>
      <c r="BX194" s="229">
        <v>0.52459999999999996</v>
      </c>
      <c r="BY194" s="230">
        <v>2424</v>
      </c>
      <c r="BZ194" s="230">
        <v>2412</v>
      </c>
      <c r="CA194" s="228">
        <v>11</v>
      </c>
      <c r="CB194" s="229">
        <v>4.7000000000000002E-3</v>
      </c>
      <c r="CC194" s="230">
        <v>2354</v>
      </c>
      <c r="CD194" s="230">
        <v>2348</v>
      </c>
      <c r="CE194" s="228">
        <v>6</v>
      </c>
      <c r="CF194" s="229">
        <v>2.5999999999999999E-3</v>
      </c>
      <c r="CG194" s="228">
        <v>63</v>
      </c>
      <c r="CH194" s="228">
        <v>59</v>
      </c>
      <c r="CI194" s="228">
        <v>4</v>
      </c>
      <c r="CJ194" s="229">
        <v>6.0499999999999998E-2</v>
      </c>
      <c r="CK194" s="228">
        <v>7</v>
      </c>
      <c r="CL194" s="228">
        <v>5</v>
      </c>
      <c r="CM194" s="228">
        <v>2</v>
      </c>
      <c r="CN194" s="229">
        <v>0.3488</v>
      </c>
      <c r="CO194" s="230">
        <v>1056</v>
      </c>
      <c r="CP194" s="230">
        <v>1055</v>
      </c>
      <c r="CQ194" s="228">
        <v>1</v>
      </c>
      <c r="CR194" s="229">
        <v>8.9999999999999998E-4</v>
      </c>
      <c r="CS194" s="228">
        <v>851</v>
      </c>
      <c r="CT194" s="228">
        <v>846</v>
      </c>
      <c r="CU194" s="228">
        <v>5</v>
      </c>
      <c r="CV194" s="229">
        <v>6.1000000000000004E-3</v>
      </c>
      <c r="CW194" s="230">
        <v>4331</v>
      </c>
      <c r="CX194" s="230">
        <v>4314</v>
      </c>
      <c r="CY194" s="228">
        <v>17</v>
      </c>
      <c r="CZ194" s="229">
        <v>4.0000000000000001E-3</v>
      </c>
      <c r="DA194" s="228">
        <v>20.85</v>
      </c>
      <c r="DB194" s="228">
        <v>21.43</v>
      </c>
      <c r="DC194" s="228">
        <v>-0.57999999999999996</v>
      </c>
      <c r="DD194" s="228">
        <v>-0.57999999999999996</v>
      </c>
      <c r="DE194" s="228">
        <v>33.51</v>
      </c>
      <c r="DF194" s="228">
        <v>33.590000000000003</v>
      </c>
      <c r="DG194" s="228">
        <v>-12.66</v>
      </c>
      <c r="DH194" s="228">
        <v>-0.08</v>
      </c>
      <c r="DI194" s="228">
        <v>21.06</v>
      </c>
      <c r="DJ194" s="228">
        <v>21.37</v>
      </c>
      <c r="DK194" s="228">
        <v>-0.31</v>
      </c>
      <c r="DL194" s="228">
        <v>-0.31</v>
      </c>
      <c r="DM194" s="228">
        <v>20.43</v>
      </c>
      <c r="DN194" s="228">
        <v>21.53</v>
      </c>
      <c r="DO194" s="228">
        <v>-1.1000000000000001</v>
      </c>
      <c r="DP194" s="228">
        <v>-1.1000000000000001</v>
      </c>
      <c r="DQ194" s="228">
        <v>0.81</v>
      </c>
      <c r="DR194" s="228">
        <v>0.8</v>
      </c>
      <c r="DS194" s="228">
        <v>0.01</v>
      </c>
      <c r="DT194" s="229">
        <v>1.2500000000000001E-2</v>
      </c>
      <c r="DU194" s="228">
        <v>400</v>
      </c>
      <c r="DV194" s="228">
        <v>390</v>
      </c>
      <c r="DW194" s="228">
        <v>0.49</v>
      </c>
      <c r="DX194" s="228">
        <v>0.57999999999999996</v>
      </c>
      <c r="DY194" s="228">
        <v>-0.09</v>
      </c>
      <c r="DZ194" s="229">
        <v>-0.1552</v>
      </c>
      <c r="EA194" s="229">
        <v>2.86E-2</v>
      </c>
      <c r="EB194" s="230">
        <v>1634150</v>
      </c>
      <c r="EC194" s="229">
        <v>5.5999999999999999E-3</v>
      </c>
      <c r="ED194" s="229">
        <v>2.86E-2</v>
      </c>
      <c r="EE194" s="228">
        <v>2.0499999999999998</v>
      </c>
      <c r="EF194" s="229">
        <v>5.1999999999999998E-3</v>
      </c>
      <c r="EG194" s="230">
        <v>4533510</v>
      </c>
      <c r="EH194" s="230">
        <v>3216716</v>
      </c>
      <c r="EI194" s="229">
        <v>0.40939999999999999</v>
      </c>
      <c r="EJ194" s="229">
        <v>0.52310000000000001</v>
      </c>
      <c r="EK194" s="231">
        <v>1956.66</v>
      </c>
      <c r="EL194" s="228">
        <v>919.02</v>
      </c>
      <c r="EM194" s="228">
        <v>526.6</v>
      </c>
      <c r="EN194" s="228">
        <v>42.48</v>
      </c>
      <c r="EO194" s="231">
        <v>3402.29</v>
      </c>
      <c r="EP194" s="231">
        <v>1796.18</v>
      </c>
      <c r="EQ194" s="231">
        <v>1606.1</v>
      </c>
      <c r="ER194" s="229">
        <v>0.89419999999999999</v>
      </c>
      <c r="ES194" s="231">
        <v>1092.3</v>
      </c>
      <c r="ET194" s="228">
        <v>856.34</v>
      </c>
      <c r="EU194" s="231">
        <v>2424.16</v>
      </c>
      <c r="EV194" s="231">
        <v>169808198</v>
      </c>
      <c r="EW194" s="231">
        <v>4372.79</v>
      </c>
      <c r="EX194" s="231">
        <v>4342.04</v>
      </c>
      <c r="EY194" s="228">
        <v>30.75</v>
      </c>
      <c r="EZ194" s="229">
        <v>7.1000000000000004E-3</v>
      </c>
      <c r="FA194" s="229">
        <v>0.6502</v>
      </c>
      <c r="FB194" s="227" t="s">
        <v>555</v>
      </c>
      <c r="FC194">
        <f t="shared" si="3"/>
        <v>0</v>
      </c>
    </row>
    <row r="195" spans="1:159" ht="17.25" thickBot="1" x14ac:dyDescent="0.3">
      <c r="A195" s="226">
        <v>45940</v>
      </c>
      <c r="B195" s="227" t="s">
        <v>227</v>
      </c>
      <c r="C195" s="227" t="s">
        <v>294</v>
      </c>
      <c r="D195" s="228">
        <v>5500</v>
      </c>
      <c r="E195" s="228">
        <v>18</v>
      </c>
      <c r="F195" s="228">
        <v>174.73</v>
      </c>
      <c r="G195" s="228">
        <v>176.98</v>
      </c>
      <c r="H195" s="228">
        <v>-2.25</v>
      </c>
      <c r="I195" s="229">
        <v>-1.2699999999999999E-2</v>
      </c>
      <c r="J195" s="228">
        <v>173.86</v>
      </c>
      <c r="K195" s="228">
        <v>176.42</v>
      </c>
      <c r="L195" s="228">
        <v>-2.56</v>
      </c>
      <c r="M195" s="229">
        <v>-1.4500000000000001E-2</v>
      </c>
      <c r="N195" s="228">
        <v>174.73</v>
      </c>
      <c r="O195" s="228">
        <v>176.98</v>
      </c>
      <c r="P195" s="228">
        <v>-2.25</v>
      </c>
      <c r="Q195" s="229">
        <v>-1.2699999999999999E-2</v>
      </c>
      <c r="R195" s="228">
        <v>175.77</v>
      </c>
      <c r="S195" s="228">
        <v>177.89</v>
      </c>
      <c r="T195" s="228">
        <v>-2.12</v>
      </c>
      <c r="U195" s="229">
        <v>-1.1900000000000001E-2</v>
      </c>
      <c r="V195" s="228">
        <v>176.79</v>
      </c>
      <c r="W195" s="228">
        <v>178.86</v>
      </c>
      <c r="X195" s="228">
        <v>-2.0699999999999998</v>
      </c>
      <c r="Y195" s="229">
        <v>-1.1599999999999999E-2</v>
      </c>
      <c r="Z195" s="228">
        <v>0.87</v>
      </c>
      <c r="AA195" s="228">
        <v>0.56000000000000005</v>
      </c>
      <c r="AB195" s="228">
        <v>0.31</v>
      </c>
      <c r="AC195" s="229">
        <v>5.0000000000000001E-3</v>
      </c>
      <c r="AD195" s="228">
        <v>0.87</v>
      </c>
      <c r="AE195" s="228">
        <v>0.56000000000000005</v>
      </c>
      <c r="AF195" s="228">
        <v>0.31</v>
      </c>
      <c r="AG195" s="229">
        <v>5.0000000000000001E-3</v>
      </c>
      <c r="AH195" s="228">
        <v>1.91</v>
      </c>
      <c r="AI195" s="228">
        <v>1.47</v>
      </c>
      <c r="AJ195" s="228">
        <v>0.44</v>
      </c>
      <c r="AK195" s="229">
        <v>1.0999999999999999E-2</v>
      </c>
      <c r="AL195" s="228">
        <v>2.93</v>
      </c>
      <c r="AM195" s="228">
        <v>2.44</v>
      </c>
      <c r="AN195" s="228">
        <v>0.49</v>
      </c>
      <c r="AO195" s="229">
        <v>1.6899999999999998E-2</v>
      </c>
      <c r="AP195" s="228">
        <v>174.51</v>
      </c>
      <c r="AQ195" s="228">
        <v>175.5</v>
      </c>
      <c r="AR195" s="228">
        <v>0</v>
      </c>
      <c r="AS195" s="228">
        <v>684</v>
      </c>
      <c r="AT195" s="230">
        <v>1417</v>
      </c>
      <c r="AU195" s="228">
        <v>-734</v>
      </c>
      <c r="AV195" s="229">
        <v>-0.51770000000000005</v>
      </c>
      <c r="AW195" s="228">
        <v>601</v>
      </c>
      <c r="AX195" s="230">
        <v>1297</v>
      </c>
      <c r="AY195" s="228">
        <v>-696</v>
      </c>
      <c r="AZ195" s="229">
        <v>-0.53649999999999998</v>
      </c>
      <c r="BA195" s="228">
        <v>71</v>
      </c>
      <c r="BB195" s="228">
        <v>103</v>
      </c>
      <c r="BC195" s="228">
        <v>-32</v>
      </c>
      <c r="BD195" s="229">
        <v>-0.3115</v>
      </c>
      <c r="BE195" s="228">
        <v>12</v>
      </c>
      <c r="BF195" s="228">
        <v>18</v>
      </c>
      <c r="BG195" s="228">
        <v>-6</v>
      </c>
      <c r="BH195" s="229">
        <v>-0.33700000000000002</v>
      </c>
      <c r="BI195" s="230">
        <v>3072</v>
      </c>
      <c r="BJ195" s="230">
        <v>8839</v>
      </c>
      <c r="BK195" s="230">
        <v>-5767</v>
      </c>
      <c r="BL195" s="229">
        <v>-0.65249999999999997</v>
      </c>
      <c r="BM195" s="230">
        <v>1792</v>
      </c>
      <c r="BN195" s="230">
        <v>4202</v>
      </c>
      <c r="BO195" s="230">
        <v>-2410</v>
      </c>
      <c r="BP195" s="229">
        <v>-0.5736</v>
      </c>
      <c r="BQ195" s="230">
        <v>5547</v>
      </c>
      <c r="BR195" s="230">
        <v>14458</v>
      </c>
      <c r="BS195" s="230">
        <v>-8911</v>
      </c>
      <c r="BT195" s="229">
        <v>-0.61629999999999996</v>
      </c>
      <c r="BU195" s="230">
        <v>19714522</v>
      </c>
      <c r="BV195" s="230">
        <v>76477698</v>
      </c>
      <c r="BW195" s="230">
        <v>-56763176</v>
      </c>
      <c r="BX195" s="229">
        <v>-0.74219999999999997</v>
      </c>
      <c r="BY195" s="230">
        <v>3383</v>
      </c>
      <c r="BZ195" s="230">
        <v>3389</v>
      </c>
      <c r="CA195" s="228">
        <v>-6</v>
      </c>
      <c r="CB195" s="229">
        <v>-1.8E-3</v>
      </c>
      <c r="CC195" s="230">
        <v>3261</v>
      </c>
      <c r="CD195" s="230">
        <v>3276</v>
      </c>
      <c r="CE195" s="228">
        <v>-15</v>
      </c>
      <c r="CF195" s="229">
        <v>-4.7000000000000002E-3</v>
      </c>
      <c r="CG195" s="228">
        <v>104</v>
      </c>
      <c r="CH195" s="228">
        <v>99</v>
      </c>
      <c r="CI195" s="228">
        <v>5</v>
      </c>
      <c r="CJ195" s="229">
        <v>5.16E-2</v>
      </c>
      <c r="CK195" s="228">
        <v>18</v>
      </c>
      <c r="CL195" s="228">
        <v>14</v>
      </c>
      <c r="CM195" s="228">
        <v>4</v>
      </c>
      <c r="CN195" s="229">
        <v>0.30499999999999999</v>
      </c>
      <c r="CO195" s="230">
        <v>2211</v>
      </c>
      <c r="CP195" s="230">
        <v>2005</v>
      </c>
      <c r="CQ195" s="228">
        <v>206</v>
      </c>
      <c r="CR195" s="229">
        <v>0.1027</v>
      </c>
      <c r="CS195" s="230">
        <v>1457</v>
      </c>
      <c r="CT195" s="230">
        <v>1512</v>
      </c>
      <c r="CU195" s="228">
        <v>-54</v>
      </c>
      <c r="CV195" s="229">
        <v>-3.5999999999999997E-2</v>
      </c>
      <c r="CW195" s="230">
        <v>7050</v>
      </c>
      <c r="CX195" s="230">
        <v>6905</v>
      </c>
      <c r="CY195" s="228">
        <v>145</v>
      </c>
      <c r="CZ195" s="229">
        <v>2.1000000000000001E-2</v>
      </c>
      <c r="DA195" s="228">
        <v>23.46</v>
      </c>
      <c r="DB195" s="228">
        <v>23.76</v>
      </c>
      <c r="DC195" s="228">
        <v>-0.3</v>
      </c>
      <c r="DD195" s="228">
        <v>-0.3</v>
      </c>
      <c r="DE195" s="228">
        <v>34.5</v>
      </c>
      <c r="DF195" s="228">
        <v>34.54</v>
      </c>
      <c r="DG195" s="228">
        <v>-11.04</v>
      </c>
      <c r="DH195" s="228">
        <v>-0.04</v>
      </c>
      <c r="DI195" s="228">
        <v>23.48</v>
      </c>
      <c r="DJ195" s="228">
        <v>23.56</v>
      </c>
      <c r="DK195" s="228">
        <v>-0.08</v>
      </c>
      <c r="DL195" s="228">
        <v>-0.08</v>
      </c>
      <c r="DM195" s="228">
        <v>23.43</v>
      </c>
      <c r="DN195" s="228">
        <v>24.17</v>
      </c>
      <c r="DO195" s="228">
        <v>-0.74</v>
      </c>
      <c r="DP195" s="228">
        <v>-0.74</v>
      </c>
      <c r="DQ195" s="228">
        <v>0.66</v>
      </c>
      <c r="DR195" s="228">
        <v>0.75</v>
      </c>
      <c r="DS195" s="228">
        <v>-0.09</v>
      </c>
      <c r="DT195" s="229">
        <v>-0.12</v>
      </c>
      <c r="DU195" s="228">
        <v>180</v>
      </c>
      <c r="DV195" s="228">
        <v>165</v>
      </c>
      <c r="DW195" s="228">
        <v>0.57999999999999996</v>
      </c>
      <c r="DX195" s="228">
        <v>0.48</v>
      </c>
      <c r="DY195" s="228">
        <v>0.1</v>
      </c>
      <c r="DZ195" s="229">
        <v>0.20830000000000001</v>
      </c>
      <c r="EA195" s="229">
        <v>3.5900000000000001E-2</v>
      </c>
      <c r="EB195" s="230">
        <v>6424000</v>
      </c>
      <c r="EC195" s="229">
        <v>6.0000000000000001E-3</v>
      </c>
      <c r="ED195" s="229">
        <v>3.5900000000000001E-2</v>
      </c>
      <c r="EE195" s="228">
        <v>0.99</v>
      </c>
      <c r="EF195" s="229">
        <v>5.7000000000000002E-3</v>
      </c>
      <c r="EG195" s="230">
        <v>7792241</v>
      </c>
      <c r="EH195" s="230">
        <v>32298852</v>
      </c>
      <c r="EI195" s="229">
        <v>-0.75870000000000004</v>
      </c>
      <c r="EJ195" s="229">
        <v>0.39529999999999998</v>
      </c>
      <c r="EK195" s="231">
        <v>3203.53</v>
      </c>
      <c r="EL195" s="231">
        <v>1772.67</v>
      </c>
      <c r="EM195" s="228">
        <v>683.34</v>
      </c>
      <c r="EN195" s="228">
        <v>104.97</v>
      </c>
      <c r="EO195" s="231">
        <v>5659.54</v>
      </c>
      <c r="EP195" s="231">
        <v>14935.47</v>
      </c>
      <c r="EQ195" s="231">
        <v>-9275.93</v>
      </c>
      <c r="ER195" s="229">
        <v>-0.62109999999999999</v>
      </c>
      <c r="ES195" s="231">
        <v>2280.42</v>
      </c>
      <c r="ET195" s="231">
        <v>1378.76</v>
      </c>
      <c r="EU195" s="231">
        <v>3383.5</v>
      </c>
      <c r="EV195" s="231">
        <v>833987639</v>
      </c>
      <c r="EW195" s="231">
        <v>7042.67</v>
      </c>
      <c r="EX195" s="231">
        <v>6932.47</v>
      </c>
      <c r="EY195" s="228">
        <v>110.2</v>
      </c>
      <c r="EZ195" s="229">
        <v>1.5900000000000001E-2</v>
      </c>
      <c r="FA195" s="229">
        <v>0.48380000000000001</v>
      </c>
      <c r="FB195" s="227" t="s">
        <v>568</v>
      </c>
      <c r="FC195">
        <f t="shared" ref="FC195:FC258" si="4">BY262-CC262</f>
        <v>0</v>
      </c>
    </row>
    <row r="196" spans="1:159" ht="17.25" thickBot="1" x14ac:dyDescent="0.3">
      <c r="A196" s="226">
        <v>45940</v>
      </c>
      <c r="B196" s="227" t="s">
        <v>221</v>
      </c>
      <c r="C196" s="227" t="s">
        <v>665</v>
      </c>
      <c r="D196" s="228">
        <v>800</v>
      </c>
      <c r="E196" s="228">
        <v>18</v>
      </c>
      <c r="F196" s="228">
        <v>718</v>
      </c>
      <c r="G196" s="228">
        <v>721.75</v>
      </c>
      <c r="H196" s="228">
        <v>-3.75</v>
      </c>
      <c r="I196" s="229">
        <v>-5.1999999999999998E-3</v>
      </c>
      <c r="J196" s="228">
        <v>714.35</v>
      </c>
      <c r="K196" s="228">
        <v>717.6</v>
      </c>
      <c r="L196" s="228">
        <v>-3.25</v>
      </c>
      <c r="M196" s="229">
        <v>-4.4999999999999997E-3</v>
      </c>
      <c r="N196" s="228">
        <v>718</v>
      </c>
      <c r="O196" s="228">
        <v>721.75</v>
      </c>
      <c r="P196" s="228">
        <v>-3.75</v>
      </c>
      <c r="Q196" s="229">
        <v>-5.1999999999999998E-3</v>
      </c>
      <c r="R196" s="228">
        <v>720.25</v>
      </c>
      <c r="S196" s="228">
        <v>723.7</v>
      </c>
      <c r="T196" s="228">
        <v>-3.45</v>
      </c>
      <c r="U196" s="229">
        <v>-4.7999999999999996E-3</v>
      </c>
      <c r="V196" s="228">
        <v>722</v>
      </c>
      <c r="W196" s="228">
        <v>726</v>
      </c>
      <c r="X196" s="228">
        <v>-4</v>
      </c>
      <c r="Y196" s="229">
        <v>-5.4999999999999997E-3</v>
      </c>
      <c r="Z196" s="228">
        <v>3.65</v>
      </c>
      <c r="AA196" s="228">
        <v>4.1500000000000004</v>
      </c>
      <c r="AB196" s="228">
        <v>-0.5</v>
      </c>
      <c r="AC196" s="229">
        <v>5.1000000000000004E-3</v>
      </c>
      <c r="AD196" s="228">
        <v>3.65</v>
      </c>
      <c r="AE196" s="228">
        <v>4.1500000000000004</v>
      </c>
      <c r="AF196" s="228">
        <v>-0.5</v>
      </c>
      <c r="AG196" s="229">
        <v>5.1000000000000004E-3</v>
      </c>
      <c r="AH196" s="228">
        <v>5.9</v>
      </c>
      <c r="AI196" s="228">
        <v>6.1</v>
      </c>
      <c r="AJ196" s="228">
        <v>-0.2</v>
      </c>
      <c r="AK196" s="229">
        <v>8.3000000000000001E-3</v>
      </c>
      <c r="AL196" s="228">
        <v>7.65</v>
      </c>
      <c r="AM196" s="228">
        <v>8.4</v>
      </c>
      <c r="AN196" s="228">
        <v>-0.75</v>
      </c>
      <c r="AO196" s="229">
        <v>1.0699999999999999E-2</v>
      </c>
      <c r="AP196" s="228">
        <v>720.43</v>
      </c>
      <c r="AQ196" s="228">
        <v>722.49</v>
      </c>
      <c r="AR196" s="228">
        <v>0</v>
      </c>
      <c r="AS196" s="228">
        <v>87</v>
      </c>
      <c r="AT196" s="228">
        <v>118</v>
      </c>
      <c r="AU196" s="228">
        <v>-31</v>
      </c>
      <c r="AV196" s="229">
        <v>-0.26400000000000001</v>
      </c>
      <c r="AW196" s="228">
        <v>77</v>
      </c>
      <c r="AX196" s="228">
        <v>107</v>
      </c>
      <c r="AY196" s="228">
        <v>-30</v>
      </c>
      <c r="AZ196" s="229">
        <v>-0.27989999999999998</v>
      </c>
      <c r="BA196" s="228">
        <v>9</v>
      </c>
      <c r="BB196" s="228">
        <v>11</v>
      </c>
      <c r="BC196" s="228">
        <v>-2</v>
      </c>
      <c r="BD196" s="229">
        <v>-0.16489999999999999</v>
      </c>
      <c r="BE196" s="228">
        <v>1</v>
      </c>
      <c r="BF196" s="228">
        <v>0</v>
      </c>
      <c r="BG196" s="228">
        <v>1</v>
      </c>
      <c r="BH196" s="229">
        <v>1.2857000000000001</v>
      </c>
      <c r="BI196" s="228">
        <v>144</v>
      </c>
      <c r="BJ196" s="228">
        <v>220</v>
      </c>
      <c r="BK196" s="228">
        <v>-76</v>
      </c>
      <c r="BL196" s="229">
        <v>-0.34570000000000001</v>
      </c>
      <c r="BM196" s="228">
        <v>71</v>
      </c>
      <c r="BN196" s="228">
        <v>94</v>
      </c>
      <c r="BO196" s="228">
        <v>-24</v>
      </c>
      <c r="BP196" s="229">
        <v>-0.25230000000000002</v>
      </c>
      <c r="BQ196" s="228">
        <v>301</v>
      </c>
      <c r="BR196" s="228">
        <v>432</v>
      </c>
      <c r="BS196" s="228">
        <v>-131</v>
      </c>
      <c r="BT196" s="229">
        <v>-0.30299999999999999</v>
      </c>
      <c r="BU196" s="230">
        <v>602534</v>
      </c>
      <c r="BV196" s="230">
        <v>940760</v>
      </c>
      <c r="BW196" s="230">
        <v>-338226</v>
      </c>
      <c r="BX196" s="229">
        <v>-0.35949999999999999</v>
      </c>
      <c r="BY196" s="228">
        <v>652</v>
      </c>
      <c r="BZ196" s="228">
        <v>649</v>
      </c>
      <c r="CA196" s="228">
        <v>3</v>
      </c>
      <c r="CB196" s="229">
        <v>4.4999999999999997E-3</v>
      </c>
      <c r="CC196" s="228">
        <v>599</v>
      </c>
      <c r="CD196" s="228">
        <v>598</v>
      </c>
      <c r="CE196" s="228">
        <v>1</v>
      </c>
      <c r="CF196" s="229">
        <v>1E-3</v>
      </c>
      <c r="CG196" s="228">
        <v>49</v>
      </c>
      <c r="CH196" s="228">
        <v>48</v>
      </c>
      <c r="CI196" s="228">
        <v>2</v>
      </c>
      <c r="CJ196" s="229">
        <v>3.7400000000000003E-2</v>
      </c>
      <c r="CK196" s="228">
        <v>4</v>
      </c>
      <c r="CL196" s="228">
        <v>4</v>
      </c>
      <c r="CM196" s="228">
        <v>1</v>
      </c>
      <c r="CN196" s="229">
        <v>0.15629999999999999</v>
      </c>
      <c r="CO196" s="228">
        <v>281</v>
      </c>
      <c r="CP196" s="228">
        <v>270</v>
      </c>
      <c r="CQ196" s="228">
        <v>10</v>
      </c>
      <c r="CR196" s="229">
        <v>3.7999999999999999E-2</v>
      </c>
      <c r="CS196" s="228">
        <v>214</v>
      </c>
      <c r="CT196" s="228">
        <v>205</v>
      </c>
      <c r="CU196" s="228">
        <v>9</v>
      </c>
      <c r="CV196" s="229">
        <v>4.2799999999999998E-2</v>
      </c>
      <c r="CW196" s="230">
        <v>1147</v>
      </c>
      <c r="CX196" s="230">
        <v>1125</v>
      </c>
      <c r="CY196" s="228">
        <v>22</v>
      </c>
      <c r="CZ196" s="229">
        <v>1.9599999999999999E-2</v>
      </c>
      <c r="DA196" s="228">
        <v>27.27</v>
      </c>
      <c r="DB196" s="228">
        <v>27.43</v>
      </c>
      <c r="DC196" s="228">
        <v>-0.16</v>
      </c>
      <c r="DD196" s="228">
        <v>-0.16</v>
      </c>
      <c r="DE196" s="228">
        <v>31.57</v>
      </c>
      <c r="DF196" s="228">
        <v>31.64</v>
      </c>
      <c r="DG196" s="228">
        <v>-4.3</v>
      </c>
      <c r="DH196" s="228">
        <v>-7.0000000000000007E-2</v>
      </c>
      <c r="DI196" s="228">
        <v>27.18</v>
      </c>
      <c r="DJ196" s="228">
        <v>27.2</v>
      </c>
      <c r="DK196" s="228">
        <v>-0.02</v>
      </c>
      <c r="DL196" s="228">
        <v>-0.02</v>
      </c>
      <c r="DM196" s="228">
        <v>27.45</v>
      </c>
      <c r="DN196" s="228">
        <v>27.98</v>
      </c>
      <c r="DO196" s="228">
        <v>-0.53</v>
      </c>
      <c r="DP196" s="228">
        <v>-0.53</v>
      </c>
      <c r="DQ196" s="228">
        <v>0.76</v>
      </c>
      <c r="DR196" s="228">
        <v>0.76</v>
      </c>
      <c r="DS196" s="228">
        <v>0</v>
      </c>
      <c r="DT196" s="229">
        <v>0</v>
      </c>
      <c r="DU196" s="228">
        <v>720</v>
      </c>
      <c r="DV196" s="228">
        <v>700</v>
      </c>
      <c r="DW196" s="228">
        <v>0.49</v>
      </c>
      <c r="DX196" s="228">
        <v>0.43</v>
      </c>
      <c r="DY196" s="228">
        <v>0.06</v>
      </c>
      <c r="DZ196" s="229">
        <v>0.13950000000000001</v>
      </c>
      <c r="EA196" s="229">
        <v>8.2199999999999995E-2</v>
      </c>
      <c r="EB196" s="230">
        <v>714400</v>
      </c>
      <c r="EC196" s="229">
        <v>3.0999999999999999E-3</v>
      </c>
      <c r="ED196" s="229">
        <v>8.2199999999999995E-2</v>
      </c>
      <c r="EE196" s="228">
        <v>2.06</v>
      </c>
      <c r="EF196" s="229">
        <v>2.8999999999999998E-3</v>
      </c>
      <c r="EG196" s="230">
        <v>262507</v>
      </c>
      <c r="EH196" s="230">
        <v>552315</v>
      </c>
      <c r="EI196" s="229">
        <v>-0.52470000000000006</v>
      </c>
      <c r="EJ196" s="229">
        <v>0.43569999999999998</v>
      </c>
      <c r="EK196" s="228">
        <v>149.91</v>
      </c>
      <c r="EL196" s="228">
        <v>69.67</v>
      </c>
      <c r="EM196" s="228">
        <v>87.12</v>
      </c>
      <c r="EN196" s="228">
        <v>24.57</v>
      </c>
      <c r="EO196" s="228">
        <v>306.7</v>
      </c>
      <c r="EP196" s="228">
        <v>440.77</v>
      </c>
      <c r="EQ196" s="228">
        <v>-134.07</v>
      </c>
      <c r="ER196" s="229">
        <v>-0.30420000000000003</v>
      </c>
      <c r="ES196" s="228">
        <v>286.25</v>
      </c>
      <c r="ET196" s="228">
        <v>204.17</v>
      </c>
      <c r="EU196" s="228">
        <v>652.58000000000004</v>
      </c>
      <c r="EV196" s="231">
        <v>27246569</v>
      </c>
      <c r="EW196" s="231">
        <v>1143</v>
      </c>
      <c r="EX196" s="231">
        <v>1123.98</v>
      </c>
      <c r="EY196" s="228">
        <v>19.02</v>
      </c>
      <c r="EZ196" s="229">
        <v>1.6899999999999998E-2</v>
      </c>
      <c r="FA196" s="229">
        <v>0.58630000000000004</v>
      </c>
      <c r="FB196" s="227" t="s">
        <v>567</v>
      </c>
      <c r="FC196">
        <f t="shared" si="4"/>
        <v>0</v>
      </c>
    </row>
    <row r="197" spans="1:159" ht="17.25" thickBot="1" x14ac:dyDescent="0.3">
      <c r="A197" s="226">
        <v>45940</v>
      </c>
      <c r="B197" s="227" t="s">
        <v>221</v>
      </c>
      <c r="C197" s="227" t="s">
        <v>295</v>
      </c>
      <c r="D197" s="228">
        <v>175</v>
      </c>
      <c r="E197" s="228">
        <v>18</v>
      </c>
      <c r="F197" s="231">
        <v>3026.5</v>
      </c>
      <c r="G197" s="231">
        <v>3057.5</v>
      </c>
      <c r="H197" s="228">
        <v>-31</v>
      </c>
      <c r="I197" s="229">
        <v>-1.01E-2</v>
      </c>
      <c r="J197" s="231">
        <v>3028.3</v>
      </c>
      <c r="K197" s="231">
        <v>3061.7</v>
      </c>
      <c r="L197" s="228">
        <v>-33.4</v>
      </c>
      <c r="M197" s="229">
        <v>-1.09E-2</v>
      </c>
      <c r="N197" s="231">
        <v>3026.5</v>
      </c>
      <c r="O197" s="231">
        <v>3057.5</v>
      </c>
      <c r="P197" s="228">
        <v>-31</v>
      </c>
      <c r="Q197" s="229">
        <v>-1.01E-2</v>
      </c>
      <c r="R197" s="231">
        <v>3043.1</v>
      </c>
      <c r="S197" s="231">
        <v>3073.2</v>
      </c>
      <c r="T197" s="228">
        <v>-30.1</v>
      </c>
      <c r="U197" s="229">
        <v>-9.7999999999999997E-3</v>
      </c>
      <c r="V197" s="231">
        <v>3062</v>
      </c>
      <c r="W197" s="231">
        <v>3091.1</v>
      </c>
      <c r="X197" s="228">
        <v>-29.1</v>
      </c>
      <c r="Y197" s="229">
        <v>-9.4000000000000004E-3</v>
      </c>
      <c r="Z197" s="228">
        <v>-1.8</v>
      </c>
      <c r="AA197" s="228">
        <v>-4.2</v>
      </c>
      <c r="AB197" s="228">
        <v>2.4</v>
      </c>
      <c r="AC197" s="229">
        <v>-5.9999999999999995E-4</v>
      </c>
      <c r="AD197" s="228">
        <v>-1.8</v>
      </c>
      <c r="AE197" s="228">
        <v>-4.2</v>
      </c>
      <c r="AF197" s="228">
        <v>2.4</v>
      </c>
      <c r="AG197" s="229">
        <v>-5.9999999999999995E-4</v>
      </c>
      <c r="AH197" s="228">
        <v>14.8</v>
      </c>
      <c r="AI197" s="228">
        <v>11.5</v>
      </c>
      <c r="AJ197" s="228">
        <v>3.3</v>
      </c>
      <c r="AK197" s="229">
        <v>4.8999999999999998E-3</v>
      </c>
      <c r="AL197" s="228">
        <v>33.700000000000003</v>
      </c>
      <c r="AM197" s="228">
        <v>29.4</v>
      </c>
      <c r="AN197" s="228">
        <v>4.3</v>
      </c>
      <c r="AO197" s="229">
        <v>1.11E-2</v>
      </c>
      <c r="AP197" s="231">
        <v>3033.41</v>
      </c>
      <c r="AQ197" s="231">
        <v>3047.87</v>
      </c>
      <c r="AR197" s="228">
        <v>0</v>
      </c>
      <c r="AS197" s="230">
        <v>4156</v>
      </c>
      <c r="AT197" s="230">
        <v>2186</v>
      </c>
      <c r="AU197" s="230">
        <v>1970</v>
      </c>
      <c r="AV197" s="229">
        <v>0.90139999999999998</v>
      </c>
      <c r="AW197" s="230">
        <v>3759</v>
      </c>
      <c r="AX197" s="230">
        <v>2060</v>
      </c>
      <c r="AY197" s="230">
        <v>1699</v>
      </c>
      <c r="AZ197" s="229">
        <v>0.82499999999999996</v>
      </c>
      <c r="BA197" s="228">
        <v>346</v>
      </c>
      <c r="BB197" s="228">
        <v>106</v>
      </c>
      <c r="BC197" s="228">
        <v>240</v>
      </c>
      <c r="BD197" s="229">
        <v>2.2565</v>
      </c>
      <c r="BE197" s="228">
        <v>51</v>
      </c>
      <c r="BF197" s="228">
        <v>20</v>
      </c>
      <c r="BG197" s="228">
        <v>31</v>
      </c>
      <c r="BH197" s="229">
        <v>1.6</v>
      </c>
      <c r="BI197" s="230">
        <v>26168</v>
      </c>
      <c r="BJ197" s="230">
        <v>15593</v>
      </c>
      <c r="BK197" s="230">
        <v>10575</v>
      </c>
      <c r="BL197" s="229">
        <v>0.67820000000000003</v>
      </c>
      <c r="BM197" s="230">
        <v>13254</v>
      </c>
      <c r="BN197" s="230">
        <v>8217</v>
      </c>
      <c r="BO197" s="230">
        <v>5037</v>
      </c>
      <c r="BP197" s="229">
        <v>0.61299999999999999</v>
      </c>
      <c r="BQ197" s="230">
        <v>43578</v>
      </c>
      <c r="BR197" s="230">
        <v>25996</v>
      </c>
      <c r="BS197" s="230">
        <v>17582</v>
      </c>
      <c r="BT197" s="229">
        <v>0.6764</v>
      </c>
      <c r="BU197" s="230">
        <v>9103674</v>
      </c>
      <c r="BV197" s="230">
        <v>3650809</v>
      </c>
      <c r="BW197" s="230">
        <v>5452865</v>
      </c>
      <c r="BX197" s="229">
        <v>1.4936</v>
      </c>
      <c r="BY197" s="230">
        <v>9607</v>
      </c>
      <c r="BZ197" s="230">
        <v>9792</v>
      </c>
      <c r="CA197" s="228">
        <v>-186</v>
      </c>
      <c r="CB197" s="229">
        <v>-1.89E-2</v>
      </c>
      <c r="CC197" s="230">
        <v>8978</v>
      </c>
      <c r="CD197" s="230">
        <v>9336</v>
      </c>
      <c r="CE197" s="228">
        <v>-358</v>
      </c>
      <c r="CF197" s="229">
        <v>-3.8399999999999997E-2</v>
      </c>
      <c r="CG197" s="228">
        <v>565</v>
      </c>
      <c r="CH197" s="228">
        <v>426</v>
      </c>
      <c r="CI197" s="228">
        <v>139</v>
      </c>
      <c r="CJ197" s="229">
        <v>0.32669999999999999</v>
      </c>
      <c r="CK197" s="228">
        <v>64</v>
      </c>
      <c r="CL197" s="228">
        <v>30</v>
      </c>
      <c r="CM197" s="228">
        <v>34</v>
      </c>
      <c r="CN197" s="229">
        <v>1.1194999999999999</v>
      </c>
      <c r="CO197" s="230">
        <v>7581</v>
      </c>
      <c r="CP197" s="230">
        <v>6278</v>
      </c>
      <c r="CQ197" s="230">
        <v>1303</v>
      </c>
      <c r="CR197" s="229">
        <v>0.20760000000000001</v>
      </c>
      <c r="CS197" s="230">
        <v>4305</v>
      </c>
      <c r="CT197" s="230">
        <v>4594</v>
      </c>
      <c r="CU197" s="228">
        <v>-290</v>
      </c>
      <c r="CV197" s="229">
        <v>-6.3E-2</v>
      </c>
      <c r="CW197" s="230">
        <v>21493</v>
      </c>
      <c r="CX197" s="230">
        <v>20665</v>
      </c>
      <c r="CY197" s="228">
        <v>828</v>
      </c>
      <c r="CZ197" s="229">
        <v>4.0099999999999997E-2</v>
      </c>
      <c r="DA197" s="228">
        <v>20.52</v>
      </c>
      <c r="DB197" s="228">
        <v>24.72</v>
      </c>
      <c r="DC197" s="228">
        <v>-4.2</v>
      </c>
      <c r="DD197" s="228">
        <v>-4.2</v>
      </c>
      <c r="DE197" s="228">
        <v>24.65</v>
      </c>
      <c r="DF197" s="228">
        <v>24.67</v>
      </c>
      <c r="DG197" s="228">
        <v>-4.13</v>
      </c>
      <c r="DH197" s="228">
        <v>-0.02</v>
      </c>
      <c r="DI197" s="228">
        <v>20.420000000000002</v>
      </c>
      <c r="DJ197" s="228">
        <v>23.94</v>
      </c>
      <c r="DK197" s="228">
        <v>-3.52</v>
      </c>
      <c r="DL197" s="228">
        <v>-3.52</v>
      </c>
      <c r="DM197" s="228">
        <v>20.73</v>
      </c>
      <c r="DN197" s="228">
        <v>26.22</v>
      </c>
      <c r="DO197" s="228">
        <v>-5.49</v>
      </c>
      <c r="DP197" s="228">
        <v>-5.49</v>
      </c>
      <c r="DQ197" s="228">
        <v>0.56999999999999995</v>
      </c>
      <c r="DR197" s="228">
        <v>0.73</v>
      </c>
      <c r="DS197" s="228">
        <v>-0.16</v>
      </c>
      <c r="DT197" s="229">
        <v>-0.21920000000000001</v>
      </c>
      <c r="DU197" s="231">
        <v>3200</v>
      </c>
      <c r="DV197" s="231">
        <v>3000</v>
      </c>
      <c r="DW197" s="228">
        <v>0.51</v>
      </c>
      <c r="DX197" s="228">
        <v>0.53</v>
      </c>
      <c r="DY197" s="228">
        <v>-0.02</v>
      </c>
      <c r="DZ197" s="229">
        <v>-3.7699999999999997E-2</v>
      </c>
      <c r="EA197" s="229">
        <v>6.54E-2</v>
      </c>
      <c r="EB197" s="230">
        <v>1505700</v>
      </c>
      <c r="EC197" s="229">
        <v>5.4999999999999997E-3</v>
      </c>
      <c r="ED197" s="229">
        <v>6.54E-2</v>
      </c>
      <c r="EE197" s="228">
        <v>14.46</v>
      </c>
      <c r="EF197" s="229">
        <v>4.7999999999999996E-3</v>
      </c>
      <c r="EG197" s="230">
        <v>4639514</v>
      </c>
      <c r="EH197" s="230">
        <v>1601083</v>
      </c>
      <c r="EI197" s="229">
        <v>1.8976999999999999</v>
      </c>
      <c r="EJ197" s="229">
        <v>0.50960000000000005</v>
      </c>
      <c r="EK197" s="231">
        <v>27339.11</v>
      </c>
      <c r="EL197" s="231">
        <v>13037.75</v>
      </c>
      <c r="EM197" s="231">
        <v>4167.46</v>
      </c>
      <c r="EN197" s="228">
        <v>321.54000000000002</v>
      </c>
      <c r="EO197" s="231">
        <v>44544.32</v>
      </c>
      <c r="EP197" s="231">
        <v>26628.13</v>
      </c>
      <c r="EQ197" s="231">
        <v>17916.189999999999</v>
      </c>
      <c r="ER197" s="229">
        <v>0.67279999999999995</v>
      </c>
      <c r="ES197" s="231">
        <v>7860.2</v>
      </c>
      <c r="ET197" s="231">
        <v>4202.6000000000004</v>
      </c>
      <c r="EU197" s="231">
        <v>9610.36</v>
      </c>
      <c r="EV197" s="231">
        <v>123298271</v>
      </c>
      <c r="EW197" s="231">
        <v>21673.16</v>
      </c>
      <c r="EX197" s="231">
        <v>20903.169999999998</v>
      </c>
      <c r="EY197" s="228">
        <v>769.99</v>
      </c>
      <c r="EZ197" s="229">
        <v>3.6799999999999999E-2</v>
      </c>
      <c r="FA197" s="229">
        <v>0.57599999999999996</v>
      </c>
      <c r="FB197" s="227" t="s">
        <v>568</v>
      </c>
      <c r="FC197">
        <f t="shared" si="4"/>
        <v>0</v>
      </c>
    </row>
    <row r="198" spans="1:159" ht="17.25" thickBot="1" x14ac:dyDescent="0.3">
      <c r="A198" s="226">
        <v>45940</v>
      </c>
      <c r="B198" s="227" t="s">
        <v>221</v>
      </c>
      <c r="C198" s="227" t="s">
        <v>296</v>
      </c>
      <c r="D198" s="228">
        <v>600</v>
      </c>
      <c r="E198" s="228">
        <v>18</v>
      </c>
      <c r="F198" s="231">
        <v>1452.6</v>
      </c>
      <c r="G198" s="231">
        <v>1461.2</v>
      </c>
      <c r="H198" s="228">
        <v>-8.6</v>
      </c>
      <c r="I198" s="229">
        <v>-5.8999999999999999E-3</v>
      </c>
      <c r="J198" s="231">
        <v>1457.2</v>
      </c>
      <c r="K198" s="231">
        <v>1466.6</v>
      </c>
      <c r="L198" s="228">
        <v>-9.4</v>
      </c>
      <c r="M198" s="229">
        <v>-6.4000000000000003E-3</v>
      </c>
      <c r="N198" s="231">
        <v>1452.6</v>
      </c>
      <c r="O198" s="231">
        <v>1461.2</v>
      </c>
      <c r="P198" s="228">
        <v>-8.6</v>
      </c>
      <c r="Q198" s="229">
        <v>-5.8999999999999999E-3</v>
      </c>
      <c r="R198" s="231">
        <v>1457.7</v>
      </c>
      <c r="S198" s="231">
        <v>1463.5</v>
      </c>
      <c r="T198" s="228">
        <v>-5.8</v>
      </c>
      <c r="U198" s="229">
        <v>-4.0000000000000001E-3</v>
      </c>
      <c r="V198" s="231">
        <v>1465.8</v>
      </c>
      <c r="W198" s="231">
        <v>1471</v>
      </c>
      <c r="X198" s="228">
        <v>-5.2</v>
      </c>
      <c r="Y198" s="229">
        <v>-3.5000000000000001E-3</v>
      </c>
      <c r="Z198" s="228">
        <v>-4.5999999999999996</v>
      </c>
      <c r="AA198" s="228">
        <v>-5.4</v>
      </c>
      <c r="AB198" s="228">
        <v>0.8</v>
      </c>
      <c r="AC198" s="229">
        <v>-3.2000000000000002E-3</v>
      </c>
      <c r="AD198" s="228">
        <v>-4.5999999999999996</v>
      </c>
      <c r="AE198" s="228">
        <v>-5.4</v>
      </c>
      <c r="AF198" s="228">
        <v>0.8</v>
      </c>
      <c r="AG198" s="229">
        <v>-3.2000000000000002E-3</v>
      </c>
      <c r="AH198" s="228">
        <v>0.5</v>
      </c>
      <c r="AI198" s="228">
        <v>-3.1</v>
      </c>
      <c r="AJ198" s="228">
        <v>3.6</v>
      </c>
      <c r="AK198" s="229">
        <v>2.9999999999999997E-4</v>
      </c>
      <c r="AL198" s="228">
        <v>8.6</v>
      </c>
      <c r="AM198" s="228">
        <v>4.4000000000000004</v>
      </c>
      <c r="AN198" s="228">
        <v>4.2</v>
      </c>
      <c r="AO198" s="229">
        <v>5.8999999999999999E-3</v>
      </c>
      <c r="AP198" s="231">
        <v>1454.53</v>
      </c>
      <c r="AQ198" s="231">
        <v>1460.52</v>
      </c>
      <c r="AR198" s="228">
        <v>0</v>
      </c>
      <c r="AS198" s="228">
        <v>444</v>
      </c>
      <c r="AT198" s="228">
        <v>488</v>
      </c>
      <c r="AU198" s="228">
        <v>-44</v>
      </c>
      <c r="AV198" s="229">
        <v>-8.9800000000000005E-2</v>
      </c>
      <c r="AW198" s="228">
        <v>413</v>
      </c>
      <c r="AX198" s="228">
        <v>453</v>
      </c>
      <c r="AY198" s="228">
        <v>-40</v>
      </c>
      <c r="AZ198" s="229">
        <v>-8.9300000000000004E-2</v>
      </c>
      <c r="BA198" s="228">
        <v>28</v>
      </c>
      <c r="BB198" s="228">
        <v>34</v>
      </c>
      <c r="BC198" s="228">
        <v>-5</v>
      </c>
      <c r="BD198" s="229">
        <v>-0.16320000000000001</v>
      </c>
      <c r="BE198" s="228">
        <v>4</v>
      </c>
      <c r="BF198" s="228">
        <v>2</v>
      </c>
      <c r="BG198" s="228">
        <v>2</v>
      </c>
      <c r="BH198" s="229">
        <v>1.3332999999999999</v>
      </c>
      <c r="BI198" s="228">
        <v>813</v>
      </c>
      <c r="BJ198" s="228">
        <v>954</v>
      </c>
      <c r="BK198" s="228">
        <v>-141</v>
      </c>
      <c r="BL198" s="229">
        <v>-0.14749999999999999</v>
      </c>
      <c r="BM198" s="228">
        <v>520</v>
      </c>
      <c r="BN198" s="228">
        <v>476</v>
      </c>
      <c r="BO198" s="228">
        <v>44</v>
      </c>
      <c r="BP198" s="229">
        <v>9.2700000000000005E-2</v>
      </c>
      <c r="BQ198" s="230">
        <v>1777</v>
      </c>
      <c r="BR198" s="230">
        <v>1918</v>
      </c>
      <c r="BS198" s="228">
        <v>-140</v>
      </c>
      <c r="BT198" s="229">
        <v>-7.3300000000000004E-2</v>
      </c>
      <c r="BU198" s="230">
        <v>956931</v>
      </c>
      <c r="BV198" s="230">
        <v>1378311</v>
      </c>
      <c r="BW198" s="230">
        <v>-421380</v>
      </c>
      <c r="BX198" s="229">
        <v>-0.30570000000000003</v>
      </c>
      <c r="BY198" s="230">
        <v>2440</v>
      </c>
      <c r="BZ198" s="230">
        <v>2444</v>
      </c>
      <c r="CA198" s="228">
        <v>-4</v>
      </c>
      <c r="CB198" s="229">
        <v>-1.5E-3</v>
      </c>
      <c r="CC198" s="230">
        <v>2216</v>
      </c>
      <c r="CD198" s="230">
        <v>2226</v>
      </c>
      <c r="CE198" s="228">
        <v>-10</v>
      </c>
      <c r="CF198" s="229">
        <v>-4.4999999999999997E-3</v>
      </c>
      <c r="CG198" s="228">
        <v>219</v>
      </c>
      <c r="CH198" s="228">
        <v>215</v>
      </c>
      <c r="CI198" s="228">
        <v>4</v>
      </c>
      <c r="CJ198" s="229">
        <v>1.66E-2</v>
      </c>
      <c r="CK198" s="228">
        <v>5</v>
      </c>
      <c r="CL198" s="228">
        <v>3</v>
      </c>
      <c r="CM198" s="228">
        <v>3</v>
      </c>
      <c r="CN198" s="229">
        <v>1.0323</v>
      </c>
      <c r="CO198" s="228">
        <v>691</v>
      </c>
      <c r="CP198" s="228">
        <v>635</v>
      </c>
      <c r="CQ198" s="228">
        <v>56</v>
      </c>
      <c r="CR198" s="229">
        <v>8.77E-2</v>
      </c>
      <c r="CS198" s="228">
        <v>604</v>
      </c>
      <c r="CT198" s="228">
        <v>614</v>
      </c>
      <c r="CU198" s="228">
        <v>-10</v>
      </c>
      <c r="CV198" s="229">
        <v>-1.6299999999999999E-2</v>
      </c>
      <c r="CW198" s="230">
        <v>3734</v>
      </c>
      <c r="CX198" s="230">
        <v>3692</v>
      </c>
      <c r="CY198" s="228">
        <v>42</v>
      </c>
      <c r="CZ198" s="229">
        <v>1.14E-2</v>
      </c>
      <c r="DA198" s="228">
        <v>29.39</v>
      </c>
      <c r="DB198" s="228">
        <v>30.17</v>
      </c>
      <c r="DC198" s="228">
        <v>-0.78</v>
      </c>
      <c r="DD198" s="228">
        <v>-0.78</v>
      </c>
      <c r="DE198" s="228">
        <v>30.2</v>
      </c>
      <c r="DF198" s="228">
        <v>30.27</v>
      </c>
      <c r="DG198" s="228">
        <v>-0.81</v>
      </c>
      <c r="DH198" s="228">
        <v>-7.0000000000000007E-2</v>
      </c>
      <c r="DI198" s="228">
        <v>29.38</v>
      </c>
      <c r="DJ198" s="228">
        <v>30.04</v>
      </c>
      <c r="DK198" s="228">
        <v>-0.66</v>
      </c>
      <c r="DL198" s="228">
        <v>-0.66</v>
      </c>
      <c r="DM198" s="228">
        <v>29.41</v>
      </c>
      <c r="DN198" s="228">
        <v>30.42</v>
      </c>
      <c r="DO198" s="228">
        <v>-1.01</v>
      </c>
      <c r="DP198" s="228">
        <v>-1.01</v>
      </c>
      <c r="DQ198" s="228">
        <v>0.87</v>
      </c>
      <c r="DR198" s="228">
        <v>0.97</v>
      </c>
      <c r="DS198" s="228">
        <v>-0.1</v>
      </c>
      <c r="DT198" s="229">
        <v>-0.1031</v>
      </c>
      <c r="DU198" s="231">
        <v>1500</v>
      </c>
      <c r="DV198" s="231">
        <v>1400</v>
      </c>
      <c r="DW198" s="228">
        <v>0.64</v>
      </c>
      <c r="DX198" s="228">
        <v>0.5</v>
      </c>
      <c r="DY198" s="228">
        <v>0.14000000000000001</v>
      </c>
      <c r="DZ198" s="229">
        <v>0.28000000000000003</v>
      </c>
      <c r="EA198" s="229">
        <v>9.1899999999999996E-2</v>
      </c>
      <c r="EB198" s="230">
        <v>1500600</v>
      </c>
      <c r="EC198" s="229">
        <v>3.5000000000000001E-3</v>
      </c>
      <c r="ED198" s="229">
        <v>9.1899999999999996E-2</v>
      </c>
      <c r="EE198" s="228">
        <v>5.99</v>
      </c>
      <c r="EF198" s="229">
        <v>4.1000000000000003E-3</v>
      </c>
      <c r="EG198" s="230">
        <v>447323</v>
      </c>
      <c r="EH198" s="230">
        <v>796920</v>
      </c>
      <c r="EI198" s="229">
        <v>-0.43869999999999998</v>
      </c>
      <c r="EJ198" s="229">
        <v>0.46750000000000003</v>
      </c>
      <c r="EK198" s="228">
        <v>851.09</v>
      </c>
      <c r="EL198" s="228">
        <v>522.72</v>
      </c>
      <c r="EM198" s="228">
        <v>445.06</v>
      </c>
      <c r="EN198" s="228">
        <v>52.63</v>
      </c>
      <c r="EO198" s="231">
        <v>1818.86</v>
      </c>
      <c r="EP198" s="231">
        <v>1969.63</v>
      </c>
      <c r="EQ198" s="228">
        <v>-150.76</v>
      </c>
      <c r="ER198" s="229">
        <v>-7.6499999999999999E-2</v>
      </c>
      <c r="ES198" s="228">
        <v>725.13</v>
      </c>
      <c r="ET198" s="228">
        <v>577.36</v>
      </c>
      <c r="EU198" s="231">
        <v>2441.0100000000002</v>
      </c>
      <c r="EV198" s="231">
        <v>76137451</v>
      </c>
      <c r="EW198" s="231">
        <v>3743.5</v>
      </c>
      <c r="EX198" s="231">
        <v>3713.02</v>
      </c>
      <c r="EY198" s="228">
        <v>30.48</v>
      </c>
      <c r="EZ198" s="229">
        <v>8.2000000000000007E-3</v>
      </c>
      <c r="FA198" s="229">
        <v>0.3377</v>
      </c>
      <c r="FB198" s="227" t="s">
        <v>568</v>
      </c>
      <c r="FC198">
        <f t="shared" si="4"/>
        <v>0</v>
      </c>
    </row>
    <row r="199" spans="1:159" ht="17.25" thickBot="1" x14ac:dyDescent="0.3">
      <c r="A199" s="226">
        <v>45940</v>
      </c>
      <c r="B199" s="227" t="s">
        <v>184</v>
      </c>
      <c r="C199" s="227" t="s">
        <v>596</v>
      </c>
      <c r="D199" s="228">
        <v>200</v>
      </c>
      <c r="E199" s="228">
        <v>18</v>
      </c>
      <c r="F199" s="231">
        <v>3175.5</v>
      </c>
      <c r="G199" s="231">
        <v>3200.8</v>
      </c>
      <c r="H199" s="228">
        <v>-25.3</v>
      </c>
      <c r="I199" s="229">
        <v>-7.9000000000000008E-3</v>
      </c>
      <c r="J199" s="231">
        <v>3159</v>
      </c>
      <c r="K199" s="231">
        <v>3191.6</v>
      </c>
      <c r="L199" s="228">
        <v>-32.6</v>
      </c>
      <c r="M199" s="229">
        <v>-1.0200000000000001E-2</v>
      </c>
      <c r="N199" s="231">
        <v>3175.5</v>
      </c>
      <c r="O199" s="231">
        <v>3200.8</v>
      </c>
      <c r="P199" s="228">
        <v>-25.3</v>
      </c>
      <c r="Q199" s="229">
        <v>-7.9000000000000008E-3</v>
      </c>
      <c r="R199" s="231">
        <v>3195.5</v>
      </c>
      <c r="S199" s="231">
        <v>3218.2</v>
      </c>
      <c r="T199" s="228">
        <v>-22.7</v>
      </c>
      <c r="U199" s="229">
        <v>-7.1000000000000004E-3</v>
      </c>
      <c r="V199" s="231">
        <v>3214</v>
      </c>
      <c r="W199" s="231">
        <v>3221.5</v>
      </c>
      <c r="X199" s="228">
        <v>-7.5</v>
      </c>
      <c r="Y199" s="229">
        <v>-2.3E-3</v>
      </c>
      <c r="Z199" s="228">
        <v>16.5</v>
      </c>
      <c r="AA199" s="228">
        <v>9.1999999999999993</v>
      </c>
      <c r="AB199" s="228">
        <v>7.3</v>
      </c>
      <c r="AC199" s="229">
        <v>5.1999999999999998E-3</v>
      </c>
      <c r="AD199" s="228">
        <v>16.5</v>
      </c>
      <c r="AE199" s="228">
        <v>9.1999999999999993</v>
      </c>
      <c r="AF199" s="228">
        <v>7.3</v>
      </c>
      <c r="AG199" s="229">
        <v>5.1999999999999998E-3</v>
      </c>
      <c r="AH199" s="228">
        <v>36.5</v>
      </c>
      <c r="AI199" s="228">
        <v>26.6</v>
      </c>
      <c r="AJ199" s="228">
        <v>9.9</v>
      </c>
      <c r="AK199" s="229">
        <v>1.1599999999999999E-2</v>
      </c>
      <c r="AL199" s="228">
        <v>55</v>
      </c>
      <c r="AM199" s="228">
        <v>29.9</v>
      </c>
      <c r="AN199" s="228">
        <v>25.1</v>
      </c>
      <c r="AO199" s="229">
        <v>1.7399999999999999E-2</v>
      </c>
      <c r="AP199" s="231">
        <v>3181.47</v>
      </c>
      <c r="AQ199" s="231">
        <v>3199.72</v>
      </c>
      <c r="AR199" s="228">
        <v>0</v>
      </c>
      <c r="AS199" s="228">
        <v>46</v>
      </c>
      <c r="AT199" s="228">
        <v>65</v>
      </c>
      <c r="AU199" s="228">
        <v>-19</v>
      </c>
      <c r="AV199" s="229">
        <v>-0.29530000000000001</v>
      </c>
      <c r="AW199" s="228">
        <v>42</v>
      </c>
      <c r="AX199" s="228">
        <v>61</v>
      </c>
      <c r="AY199" s="228">
        <v>-19</v>
      </c>
      <c r="AZ199" s="229">
        <v>-0.30709999999999998</v>
      </c>
      <c r="BA199" s="228">
        <v>3</v>
      </c>
      <c r="BB199" s="228">
        <v>4</v>
      </c>
      <c r="BC199" s="228">
        <v>0</v>
      </c>
      <c r="BD199" s="229">
        <v>-8.6199999999999999E-2</v>
      </c>
      <c r="BE199" s="228">
        <v>0</v>
      </c>
      <c r="BF199" s="228">
        <v>0</v>
      </c>
      <c r="BG199" s="228">
        <v>0</v>
      </c>
      <c r="BH199" s="229">
        <v>-0.5</v>
      </c>
      <c r="BI199" s="228">
        <v>72</v>
      </c>
      <c r="BJ199" s="228">
        <v>149</v>
      </c>
      <c r="BK199" s="228">
        <v>-77</v>
      </c>
      <c r="BL199" s="229">
        <v>-0.51580000000000004</v>
      </c>
      <c r="BM199" s="228">
        <v>31</v>
      </c>
      <c r="BN199" s="228">
        <v>38</v>
      </c>
      <c r="BO199" s="228">
        <v>-7</v>
      </c>
      <c r="BP199" s="229">
        <v>-0.1893</v>
      </c>
      <c r="BQ199" s="228">
        <v>149</v>
      </c>
      <c r="BR199" s="228">
        <v>252</v>
      </c>
      <c r="BS199" s="228">
        <v>-103</v>
      </c>
      <c r="BT199" s="229">
        <v>-0.40970000000000001</v>
      </c>
      <c r="BU199" s="230">
        <v>107000</v>
      </c>
      <c r="BV199" s="230">
        <v>200231</v>
      </c>
      <c r="BW199" s="230">
        <v>-93231</v>
      </c>
      <c r="BX199" s="229">
        <v>-0.46560000000000001</v>
      </c>
      <c r="BY199" s="228">
        <v>633</v>
      </c>
      <c r="BZ199" s="228">
        <v>630</v>
      </c>
      <c r="CA199" s="228">
        <v>2</v>
      </c>
      <c r="CB199" s="229">
        <v>3.8999999999999998E-3</v>
      </c>
      <c r="CC199" s="228">
        <v>624</v>
      </c>
      <c r="CD199" s="228">
        <v>623</v>
      </c>
      <c r="CE199" s="228">
        <v>2</v>
      </c>
      <c r="CF199" s="229">
        <v>2.5000000000000001E-3</v>
      </c>
      <c r="CG199" s="228">
        <v>8</v>
      </c>
      <c r="CH199" s="228">
        <v>7</v>
      </c>
      <c r="CI199" s="228">
        <v>1</v>
      </c>
      <c r="CJ199" s="229">
        <v>0.12039999999999999</v>
      </c>
      <c r="CK199" s="228">
        <v>1</v>
      </c>
      <c r="CL199" s="228">
        <v>1</v>
      </c>
      <c r="CM199" s="228">
        <v>0</v>
      </c>
      <c r="CN199" s="229">
        <v>6.6699999999999995E-2</v>
      </c>
      <c r="CO199" s="228">
        <v>136</v>
      </c>
      <c r="CP199" s="228">
        <v>134</v>
      </c>
      <c r="CQ199" s="228">
        <v>2</v>
      </c>
      <c r="CR199" s="229">
        <v>1.47E-2</v>
      </c>
      <c r="CS199" s="228">
        <v>82</v>
      </c>
      <c r="CT199" s="228">
        <v>74</v>
      </c>
      <c r="CU199" s="228">
        <v>8</v>
      </c>
      <c r="CV199" s="229">
        <v>0.1119</v>
      </c>
      <c r="CW199" s="228">
        <v>851</v>
      </c>
      <c r="CX199" s="228">
        <v>838</v>
      </c>
      <c r="CY199" s="228">
        <v>13</v>
      </c>
      <c r="CZ199" s="229">
        <v>1.52E-2</v>
      </c>
      <c r="DA199" s="228">
        <v>28.15</v>
      </c>
      <c r="DB199" s="228">
        <v>28.63</v>
      </c>
      <c r="DC199" s="228">
        <v>-0.48</v>
      </c>
      <c r="DD199" s="228">
        <v>-0.48</v>
      </c>
      <c r="DE199" s="228">
        <v>43.1</v>
      </c>
      <c r="DF199" s="228">
        <v>43.2</v>
      </c>
      <c r="DG199" s="228">
        <v>-14.95</v>
      </c>
      <c r="DH199" s="228">
        <v>-0.1</v>
      </c>
      <c r="DI199" s="228">
        <v>28.54</v>
      </c>
      <c r="DJ199" s="228">
        <v>28.63</v>
      </c>
      <c r="DK199" s="228">
        <v>-0.09</v>
      </c>
      <c r="DL199" s="228">
        <v>-0.09</v>
      </c>
      <c r="DM199" s="228">
        <v>27.24</v>
      </c>
      <c r="DN199" s="228">
        <v>28.63</v>
      </c>
      <c r="DO199" s="228">
        <v>-1.39</v>
      </c>
      <c r="DP199" s="228">
        <v>-1.39</v>
      </c>
      <c r="DQ199" s="228">
        <v>0.6</v>
      </c>
      <c r="DR199" s="228">
        <v>0.55000000000000004</v>
      </c>
      <c r="DS199" s="228">
        <v>0.05</v>
      </c>
      <c r="DT199" s="229">
        <v>9.0899999999999995E-2</v>
      </c>
      <c r="DU199" s="231">
        <v>3200</v>
      </c>
      <c r="DV199" s="231">
        <v>3000</v>
      </c>
      <c r="DW199" s="228">
        <v>0.43</v>
      </c>
      <c r="DX199" s="228">
        <v>0.25</v>
      </c>
      <c r="DY199" s="228">
        <v>0.18</v>
      </c>
      <c r="DZ199" s="229">
        <v>0.72</v>
      </c>
      <c r="EA199" s="229">
        <v>1.37E-2</v>
      </c>
      <c r="EB199" s="230">
        <v>24600</v>
      </c>
      <c r="EC199" s="229">
        <v>6.3E-3</v>
      </c>
      <c r="ED199" s="229">
        <v>1.37E-2</v>
      </c>
      <c r="EE199" s="228">
        <v>18.25</v>
      </c>
      <c r="EF199" s="229">
        <v>5.7000000000000002E-3</v>
      </c>
      <c r="EG199" s="230">
        <v>45580</v>
      </c>
      <c r="EH199" s="230">
        <v>109866</v>
      </c>
      <c r="EI199" s="229">
        <v>-0.58509999999999995</v>
      </c>
      <c r="EJ199" s="229">
        <v>0.42599999999999999</v>
      </c>
      <c r="EK199" s="228">
        <v>75.63</v>
      </c>
      <c r="EL199" s="228">
        <v>29.76</v>
      </c>
      <c r="EM199" s="228">
        <v>46.03</v>
      </c>
      <c r="EN199" s="228">
        <v>14.48</v>
      </c>
      <c r="EO199" s="228">
        <v>151.41</v>
      </c>
      <c r="EP199" s="228">
        <v>258.60000000000002</v>
      </c>
      <c r="EQ199" s="228">
        <v>-107.19</v>
      </c>
      <c r="ER199" s="229">
        <v>-0.41449999999999998</v>
      </c>
      <c r="ES199" s="228">
        <v>142.07</v>
      </c>
      <c r="ET199" s="228">
        <v>79.55</v>
      </c>
      <c r="EU199" s="228">
        <v>633</v>
      </c>
      <c r="EV199" s="231">
        <v>14039249</v>
      </c>
      <c r="EW199" s="228">
        <v>854.62</v>
      </c>
      <c r="EX199" s="228">
        <v>847.19</v>
      </c>
      <c r="EY199" s="228">
        <v>7.43</v>
      </c>
      <c r="EZ199" s="229">
        <v>8.8000000000000005E-3</v>
      </c>
      <c r="FA199" s="229">
        <v>0.19089999999999999</v>
      </c>
      <c r="FB199" s="227" t="s">
        <v>567</v>
      </c>
      <c r="FC199">
        <f t="shared" si="4"/>
        <v>0</v>
      </c>
    </row>
    <row r="200" spans="1:159" ht="17.25" thickBot="1" x14ac:dyDescent="0.3">
      <c r="A200" s="226">
        <v>45940</v>
      </c>
      <c r="B200" s="227" t="s">
        <v>184</v>
      </c>
      <c r="C200" s="227" t="s">
        <v>664</v>
      </c>
      <c r="D200" s="228">
        <v>725</v>
      </c>
      <c r="E200" s="228">
        <v>18</v>
      </c>
      <c r="F200" s="228">
        <v>903.85</v>
      </c>
      <c r="G200" s="228">
        <v>909.45</v>
      </c>
      <c r="H200" s="228">
        <v>-5.6</v>
      </c>
      <c r="I200" s="229">
        <v>-6.1999999999999998E-3</v>
      </c>
      <c r="J200" s="228">
        <v>900.15</v>
      </c>
      <c r="K200" s="228">
        <v>905</v>
      </c>
      <c r="L200" s="228">
        <v>-4.8499999999999996</v>
      </c>
      <c r="M200" s="229">
        <v>-5.4000000000000003E-3</v>
      </c>
      <c r="N200" s="228">
        <v>903.85</v>
      </c>
      <c r="O200" s="228">
        <v>909.45</v>
      </c>
      <c r="P200" s="228">
        <v>-5.6</v>
      </c>
      <c r="Q200" s="229">
        <v>-6.1999999999999998E-3</v>
      </c>
      <c r="R200" s="228">
        <v>906.85</v>
      </c>
      <c r="S200" s="228">
        <v>913.1</v>
      </c>
      <c r="T200" s="228">
        <v>-6.25</v>
      </c>
      <c r="U200" s="229">
        <v>-6.7999999999999996E-3</v>
      </c>
      <c r="V200" s="228">
        <v>911</v>
      </c>
      <c r="W200" s="228">
        <v>916.5</v>
      </c>
      <c r="X200" s="228">
        <v>-5.5</v>
      </c>
      <c r="Y200" s="229">
        <v>-6.0000000000000001E-3</v>
      </c>
      <c r="Z200" s="228">
        <v>3.7</v>
      </c>
      <c r="AA200" s="228">
        <v>4.45</v>
      </c>
      <c r="AB200" s="228">
        <v>-0.75</v>
      </c>
      <c r="AC200" s="229">
        <v>4.1000000000000003E-3</v>
      </c>
      <c r="AD200" s="228">
        <v>3.7</v>
      </c>
      <c r="AE200" s="228">
        <v>4.45</v>
      </c>
      <c r="AF200" s="228">
        <v>-0.75</v>
      </c>
      <c r="AG200" s="229">
        <v>4.1000000000000003E-3</v>
      </c>
      <c r="AH200" s="228">
        <v>6.7</v>
      </c>
      <c r="AI200" s="228">
        <v>8.1</v>
      </c>
      <c r="AJ200" s="228">
        <v>-1.4</v>
      </c>
      <c r="AK200" s="229">
        <v>7.4000000000000003E-3</v>
      </c>
      <c r="AL200" s="228">
        <v>10.85</v>
      </c>
      <c r="AM200" s="228">
        <v>11.5</v>
      </c>
      <c r="AN200" s="228">
        <v>-0.65</v>
      </c>
      <c r="AO200" s="229">
        <v>1.21E-2</v>
      </c>
      <c r="AP200" s="228">
        <v>909.13</v>
      </c>
      <c r="AQ200" s="228">
        <v>911.89</v>
      </c>
      <c r="AR200" s="228">
        <v>0</v>
      </c>
      <c r="AS200" s="228">
        <v>70</v>
      </c>
      <c r="AT200" s="228">
        <v>186</v>
      </c>
      <c r="AU200" s="228">
        <v>-116</v>
      </c>
      <c r="AV200" s="229">
        <v>-0.62460000000000004</v>
      </c>
      <c r="AW200" s="228">
        <v>62</v>
      </c>
      <c r="AX200" s="228">
        <v>174</v>
      </c>
      <c r="AY200" s="228">
        <v>-112</v>
      </c>
      <c r="AZ200" s="229">
        <v>-0.64549999999999996</v>
      </c>
      <c r="BA200" s="228">
        <v>7</v>
      </c>
      <c r="BB200" s="228">
        <v>11</v>
      </c>
      <c r="BC200" s="228">
        <v>-5</v>
      </c>
      <c r="BD200" s="229">
        <v>-0.41860000000000003</v>
      </c>
      <c r="BE200" s="228">
        <v>2</v>
      </c>
      <c r="BF200" s="228">
        <v>1</v>
      </c>
      <c r="BG200" s="228">
        <v>1</v>
      </c>
      <c r="BH200" s="229">
        <v>0.92310000000000003</v>
      </c>
      <c r="BI200" s="228">
        <v>220</v>
      </c>
      <c r="BJ200" s="228">
        <v>628</v>
      </c>
      <c r="BK200" s="228">
        <v>-408</v>
      </c>
      <c r="BL200" s="229">
        <v>-0.6492</v>
      </c>
      <c r="BM200" s="228">
        <v>81</v>
      </c>
      <c r="BN200" s="228">
        <v>243</v>
      </c>
      <c r="BO200" s="228">
        <v>-162</v>
      </c>
      <c r="BP200" s="229">
        <v>-0.66610000000000003</v>
      </c>
      <c r="BQ200" s="228">
        <v>371</v>
      </c>
      <c r="BR200" s="230">
        <v>1057</v>
      </c>
      <c r="BS200" s="228">
        <v>-686</v>
      </c>
      <c r="BT200" s="229">
        <v>-0.64880000000000004</v>
      </c>
      <c r="BU200" s="230">
        <v>529150</v>
      </c>
      <c r="BV200" s="230">
        <v>1233297</v>
      </c>
      <c r="BW200" s="230">
        <v>-704147</v>
      </c>
      <c r="BX200" s="229">
        <v>-0.57089999999999996</v>
      </c>
      <c r="BY200" s="228">
        <v>641</v>
      </c>
      <c r="BZ200" s="228">
        <v>635</v>
      </c>
      <c r="CA200" s="228">
        <v>6</v>
      </c>
      <c r="CB200" s="229">
        <v>9.1999999999999998E-3</v>
      </c>
      <c r="CC200" s="228">
        <v>608</v>
      </c>
      <c r="CD200" s="228">
        <v>606</v>
      </c>
      <c r="CE200" s="228">
        <v>2</v>
      </c>
      <c r="CF200" s="229">
        <v>4.1000000000000003E-3</v>
      </c>
      <c r="CG200" s="228">
        <v>29</v>
      </c>
      <c r="CH200" s="228">
        <v>27</v>
      </c>
      <c r="CI200" s="228">
        <v>2</v>
      </c>
      <c r="CJ200" s="229">
        <v>6.4600000000000005E-2</v>
      </c>
      <c r="CK200" s="228">
        <v>4</v>
      </c>
      <c r="CL200" s="228">
        <v>2</v>
      </c>
      <c r="CM200" s="228">
        <v>2</v>
      </c>
      <c r="CN200" s="229">
        <v>0.8</v>
      </c>
      <c r="CO200" s="228">
        <v>336</v>
      </c>
      <c r="CP200" s="228">
        <v>335</v>
      </c>
      <c r="CQ200" s="228">
        <v>1</v>
      </c>
      <c r="CR200" s="229">
        <v>3.7000000000000002E-3</v>
      </c>
      <c r="CS200" s="228">
        <v>161</v>
      </c>
      <c r="CT200" s="228">
        <v>157</v>
      </c>
      <c r="CU200" s="228">
        <v>4</v>
      </c>
      <c r="CV200" s="229">
        <v>2.5000000000000001E-2</v>
      </c>
      <c r="CW200" s="230">
        <v>1138</v>
      </c>
      <c r="CX200" s="230">
        <v>1127</v>
      </c>
      <c r="CY200" s="228">
        <v>11</v>
      </c>
      <c r="CZ200" s="229">
        <v>9.7999999999999997E-3</v>
      </c>
      <c r="DA200" s="228">
        <v>37.159999999999997</v>
      </c>
      <c r="DB200" s="228">
        <v>37.51</v>
      </c>
      <c r="DC200" s="228">
        <v>-0.35</v>
      </c>
      <c r="DD200" s="228">
        <v>-0.35</v>
      </c>
      <c r="DE200" s="228">
        <v>56.13</v>
      </c>
      <c r="DF200" s="228">
        <v>56.26</v>
      </c>
      <c r="DG200" s="228">
        <v>-18.97</v>
      </c>
      <c r="DH200" s="228">
        <v>-0.13</v>
      </c>
      <c r="DI200" s="228">
        <v>37.11</v>
      </c>
      <c r="DJ200" s="228">
        <v>37.549999999999997</v>
      </c>
      <c r="DK200" s="228">
        <v>-0.44</v>
      </c>
      <c r="DL200" s="228">
        <v>-0.44</v>
      </c>
      <c r="DM200" s="228">
        <v>37.31</v>
      </c>
      <c r="DN200" s="228">
        <v>37.4</v>
      </c>
      <c r="DO200" s="228">
        <v>-0.09</v>
      </c>
      <c r="DP200" s="228">
        <v>-0.09</v>
      </c>
      <c r="DQ200" s="228">
        <v>0.48</v>
      </c>
      <c r="DR200" s="228">
        <v>0.47</v>
      </c>
      <c r="DS200" s="228">
        <v>0.01</v>
      </c>
      <c r="DT200" s="229">
        <v>2.1299999999999999E-2</v>
      </c>
      <c r="DU200" s="228">
        <v>920</v>
      </c>
      <c r="DV200" s="228">
        <v>900</v>
      </c>
      <c r="DW200" s="228">
        <v>0.37</v>
      </c>
      <c r="DX200" s="228">
        <v>0.39</v>
      </c>
      <c r="DY200" s="228">
        <v>-0.02</v>
      </c>
      <c r="DZ200" s="229">
        <v>-5.1299999999999998E-2</v>
      </c>
      <c r="EA200" s="229">
        <v>5.0999999999999997E-2</v>
      </c>
      <c r="EB200" s="230">
        <v>324800</v>
      </c>
      <c r="EC200" s="229">
        <v>3.3E-3</v>
      </c>
      <c r="ED200" s="229">
        <v>5.0999999999999997E-2</v>
      </c>
      <c r="EE200" s="228">
        <v>2.76</v>
      </c>
      <c r="EF200" s="229">
        <v>3.0000000000000001E-3</v>
      </c>
      <c r="EG200" s="230">
        <v>155082</v>
      </c>
      <c r="EH200" s="230">
        <v>177478</v>
      </c>
      <c r="EI200" s="229">
        <v>-0.12620000000000001</v>
      </c>
      <c r="EJ200" s="229">
        <v>0.29310000000000003</v>
      </c>
      <c r="EK200" s="228">
        <v>236.39</v>
      </c>
      <c r="EL200" s="228">
        <v>79.459999999999994</v>
      </c>
      <c r="EM200" s="228">
        <v>70.36</v>
      </c>
      <c r="EN200" s="228">
        <v>26.3</v>
      </c>
      <c r="EO200" s="228">
        <v>386.21</v>
      </c>
      <c r="EP200" s="231">
        <v>1095.47</v>
      </c>
      <c r="EQ200" s="228">
        <v>-709.25</v>
      </c>
      <c r="ER200" s="229">
        <v>-0.64739999999999998</v>
      </c>
      <c r="ES200" s="228">
        <v>354.65</v>
      </c>
      <c r="ET200" s="228">
        <v>153.19</v>
      </c>
      <c r="EU200" s="228">
        <v>640.87</v>
      </c>
      <c r="EV200" s="231">
        <v>12028036</v>
      </c>
      <c r="EW200" s="231">
        <v>1148.7</v>
      </c>
      <c r="EX200" s="231">
        <v>1142.49</v>
      </c>
      <c r="EY200" s="228">
        <v>6.21</v>
      </c>
      <c r="EZ200" s="229">
        <v>5.4000000000000003E-3</v>
      </c>
      <c r="FA200" s="229">
        <v>1.0466</v>
      </c>
      <c r="FB200" s="227" t="s">
        <v>567</v>
      </c>
      <c r="FC200">
        <f t="shared" si="4"/>
        <v>0</v>
      </c>
    </row>
    <row r="201" spans="1:159" ht="17.25" thickBot="1" x14ac:dyDescent="0.3">
      <c r="A201" s="226">
        <v>45940</v>
      </c>
      <c r="B201" s="227" t="s">
        <v>168</v>
      </c>
      <c r="C201" s="227" t="s">
        <v>297</v>
      </c>
      <c r="D201" s="228">
        <v>175</v>
      </c>
      <c r="E201" s="228">
        <v>18</v>
      </c>
      <c r="F201" s="231">
        <v>3550.2</v>
      </c>
      <c r="G201" s="231">
        <v>3566</v>
      </c>
      <c r="H201" s="228">
        <v>-15.8</v>
      </c>
      <c r="I201" s="229">
        <v>-4.4000000000000003E-3</v>
      </c>
      <c r="J201" s="231">
        <v>3531.9</v>
      </c>
      <c r="K201" s="231">
        <v>3550.6</v>
      </c>
      <c r="L201" s="228">
        <v>-18.7</v>
      </c>
      <c r="M201" s="229">
        <v>-5.3E-3</v>
      </c>
      <c r="N201" s="231">
        <v>3550.2</v>
      </c>
      <c r="O201" s="231">
        <v>3566</v>
      </c>
      <c r="P201" s="228">
        <v>-15.8</v>
      </c>
      <c r="Q201" s="229">
        <v>-4.4000000000000003E-3</v>
      </c>
      <c r="R201" s="231">
        <v>3569.9</v>
      </c>
      <c r="S201" s="231">
        <v>3586.3</v>
      </c>
      <c r="T201" s="228">
        <v>-16.399999999999999</v>
      </c>
      <c r="U201" s="229">
        <v>-4.5999999999999999E-3</v>
      </c>
      <c r="V201" s="231">
        <v>3592.7</v>
      </c>
      <c r="W201" s="231">
        <v>3603.6</v>
      </c>
      <c r="X201" s="228">
        <v>-10.9</v>
      </c>
      <c r="Y201" s="229">
        <v>-3.0000000000000001E-3</v>
      </c>
      <c r="Z201" s="228">
        <v>18.3</v>
      </c>
      <c r="AA201" s="228">
        <v>15.4</v>
      </c>
      <c r="AB201" s="228">
        <v>2.9</v>
      </c>
      <c r="AC201" s="229">
        <v>5.1999999999999998E-3</v>
      </c>
      <c r="AD201" s="228">
        <v>18.3</v>
      </c>
      <c r="AE201" s="228">
        <v>15.4</v>
      </c>
      <c r="AF201" s="228">
        <v>2.9</v>
      </c>
      <c r="AG201" s="229">
        <v>5.1999999999999998E-3</v>
      </c>
      <c r="AH201" s="228">
        <v>38</v>
      </c>
      <c r="AI201" s="228">
        <v>35.700000000000003</v>
      </c>
      <c r="AJ201" s="228">
        <v>2.2999999999999998</v>
      </c>
      <c r="AK201" s="229">
        <v>1.0800000000000001E-2</v>
      </c>
      <c r="AL201" s="228">
        <v>60.8</v>
      </c>
      <c r="AM201" s="228">
        <v>53</v>
      </c>
      <c r="AN201" s="228">
        <v>7.8</v>
      </c>
      <c r="AO201" s="229">
        <v>1.72E-2</v>
      </c>
      <c r="AP201" s="231">
        <v>3566.06</v>
      </c>
      <c r="AQ201" s="231">
        <v>3587.81</v>
      </c>
      <c r="AR201" s="228">
        <v>0</v>
      </c>
      <c r="AS201" s="228">
        <v>461</v>
      </c>
      <c r="AT201" s="228">
        <v>350</v>
      </c>
      <c r="AU201" s="228">
        <v>111</v>
      </c>
      <c r="AV201" s="229">
        <v>0.31759999999999999</v>
      </c>
      <c r="AW201" s="228">
        <v>421</v>
      </c>
      <c r="AX201" s="228">
        <v>325</v>
      </c>
      <c r="AY201" s="228">
        <v>96</v>
      </c>
      <c r="AZ201" s="229">
        <v>0.29720000000000002</v>
      </c>
      <c r="BA201" s="228">
        <v>31</v>
      </c>
      <c r="BB201" s="228">
        <v>23</v>
      </c>
      <c r="BC201" s="228">
        <v>8</v>
      </c>
      <c r="BD201" s="229">
        <v>0.36990000000000001</v>
      </c>
      <c r="BE201" s="228">
        <v>8</v>
      </c>
      <c r="BF201" s="228">
        <v>2</v>
      </c>
      <c r="BG201" s="228">
        <v>6</v>
      </c>
      <c r="BH201" s="229">
        <v>2.75</v>
      </c>
      <c r="BI201" s="230">
        <v>1963</v>
      </c>
      <c r="BJ201" s="230">
        <v>1817</v>
      </c>
      <c r="BK201" s="228">
        <v>146</v>
      </c>
      <c r="BL201" s="229">
        <v>8.0100000000000005E-2</v>
      </c>
      <c r="BM201" s="230">
        <v>1207</v>
      </c>
      <c r="BN201" s="230">
        <v>1397</v>
      </c>
      <c r="BO201" s="228">
        <v>-190</v>
      </c>
      <c r="BP201" s="229">
        <v>-0.13589999999999999</v>
      </c>
      <c r="BQ201" s="230">
        <v>3630</v>
      </c>
      <c r="BR201" s="230">
        <v>3563</v>
      </c>
      <c r="BS201" s="228">
        <v>67</v>
      </c>
      <c r="BT201" s="229">
        <v>1.8700000000000001E-2</v>
      </c>
      <c r="BU201" s="230">
        <v>838987</v>
      </c>
      <c r="BV201" s="230">
        <v>622629</v>
      </c>
      <c r="BW201" s="230">
        <v>216358</v>
      </c>
      <c r="BX201" s="229">
        <v>0.34749999999999998</v>
      </c>
      <c r="BY201" s="230">
        <v>3950</v>
      </c>
      <c r="BZ201" s="230">
        <v>3994</v>
      </c>
      <c r="CA201" s="228">
        <v>-44</v>
      </c>
      <c r="CB201" s="229">
        <v>-1.0999999999999999E-2</v>
      </c>
      <c r="CC201" s="230">
        <v>3879</v>
      </c>
      <c r="CD201" s="230">
        <v>3929</v>
      </c>
      <c r="CE201" s="228">
        <v>-50</v>
      </c>
      <c r="CF201" s="229">
        <v>-1.2800000000000001E-2</v>
      </c>
      <c r="CG201" s="228">
        <v>59</v>
      </c>
      <c r="CH201" s="228">
        <v>58</v>
      </c>
      <c r="CI201" s="228">
        <v>1</v>
      </c>
      <c r="CJ201" s="229">
        <v>1.6199999999999999E-2</v>
      </c>
      <c r="CK201" s="228">
        <v>13</v>
      </c>
      <c r="CL201" s="228">
        <v>8</v>
      </c>
      <c r="CM201" s="228">
        <v>6</v>
      </c>
      <c r="CN201" s="229">
        <v>0.7258</v>
      </c>
      <c r="CO201" s="230">
        <v>1665</v>
      </c>
      <c r="CP201" s="230">
        <v>1703</v>
      </c>
      <c r="CQ201" s="228">
        <v>-38</v>
      </c>
      <c r="CR201" s="229">
        <v>-2.2499999999999999E-2</v>
      </c>
      <c r="CS201" s="230">
        <v>1042</v>
      </c>
      <c r="CT201" s="230">
        <v>1096</v>
      </c>
      <c r="CU201" s="228">
        <v>-54</v>
      </c>
      <c r="CV201" s="229">
        <v>-4.9599999999999998E-2</v>
      </c>
      <c r="CW201" s="230">
        <v>6657</v>
      </c>
      <c r="CX201" s="230">
        <v>6793</v>
      </c>
      <c r="CY201" s="228">
        <v>-136</v>
      </c>
      <c r="CZ201" s="229">
        <v>-2.01E-2</v>
      </c>
      <c r="DA201" s="228">
        <v>17.579999999999998</v>
      </c>
      <c r="DB201" s="228">
        <v>18.11</v>
      </c>
      <c r="DC201" s="228">
        <v>-0.53</v>
      </c>
      <c r="DD201" s="228">
        <v>-0.53</v>
      </c>
      <c r="DE201" s="228">
        <v>26.18</v>
      </c>
      <c r="DF201" s="228">
        <v>26.23</v>
      </c>
      <c r="DG201" s="228">
        <v>-8.6</v>
      </c>
      <c r="DH201" s="228">
        <v>-0.05</v>
      </c>
      <c r="DI201" s="228">
        <v>18.079999999999998</v>
      </c>
      <c r="DJ201" s="228">
        <v>18.25</v>
      </c>
      <c r="DK201" s="228">
        <v>-0.17</v>
      </c>
      <c r="DL201" s="228">
        <v>-0.17</v>
      </c>
      <c r="DM201" s="228">
        <v>16.77</v>
      </c>
      <c r="DN201" s="228">
        <v>17.93</v>
      </c>
      <c r="DO201" s="228">
        <v>-1.1599999999999999</v>
      </c>
      <c r="DP201" s="228">
        <v>-1.1599999999999999</v>
      </c>
      <c r="DQ201" s="228">
        <v>0.63</v>
      </c>
      <c r="DR201" s="228">
        <v>0.64</v>
      </c>
      <c r="DS201" s="228">
        <v>-0.01</v>
      </c>
      <c r="DT201" s="229">
        <v>-1.5599999999999999E-2</v>
      </c>
      <c r="DU201" s="231">
        <v>3400</v>
      </c>
      <c r="DV201" s="231">
        <v>3500</v>
      </c>
      <c r="DW201" s="228">
        <v>0.61</v>
      </c>
      <c r="DX201" s="228">
        <v>0.77</v>
      </c>
      <c r="DY201" s="228">
        <v>-0.16</v>
      </c>
      <c r="DZ201" s="229">
        <v>-0.20780000000000001</v>
      </c>
      <c r="EA201" s="229">
        <v>1.8200000000000001E-2</v>
      </c>
      <c r="EB201" s="230">
        <v>184100</v>
      </c>
      <c r="EC201" s="229">
        <v>5.4999999999999997E-3</v>
      </c>
      <c r="ED201" s="229">
        <v>1.8200000000000001E-2</v>
      </c>
      <c r="EE201" s="228">
        <v>21.75</v>
      </c>
      <c r="EF201" s="229">
        <v>6.1000000000000004E-3</v>
      </c>
      <c r="EG201" s="230">
        <v>532329</v>
      </c>
      <c r="EH201" s="230">
        <v>317035</v>
      </c>
      <c r="EI201" s="229">
        <v>0.67910000000000004</v>
      </c>
      <c r="EJ201" s="229">
        <v>0.63449999999999995</v>
      </c>
      <c r="EK201" s="231">
        <v>2040.62</v>
      </c>
      <c r="EL201" s="231">
        <v>1197.0899999999999</v>
      </c>
      <c r="EM201" s="228">
        <v>462.98</v>
      </c>
      <c r="EN201" s="228">
        <v>133.16999999999999</v>
      </c>
      <c r="EO201" s="231">
        <v>3700.69</v>
      </c>
      <c r="EP201" s="231">
        <v>3618.81</v>
      </c>
      <c r="EQ201" s="228">
        <v>81.87</v>
      </c>
      <c r="ER201" s="229">
        <v>2.2599999999999999E-2</v>
      </c>
      <c r="ES201" s="231">
        <v>1696.07</v>
      </c>
      <c r="ET201" s="231">
        <v>1003.08</v>
      </c>
      <c r="EU201" s="231">
        <v>3950.92</v>
      </c>
      <c r="EV201" s="231">
        <v>41744334</v>
      </c>
      <c r="EW201" s="231">
        <v>6650.07</v>
      </c>
      <c r="EX201" s="231">
        <v>6803.42</v>
      </c>
      <c r="EY201" s="228">
        <v>-153.35</v>
      </c>
      <c r="EZ201" s="229">
        <v>-2.2499999999999999E-2</v>
      </c>
      <c r="FA201" s="229">
        <v>0.44919999999999999</v>
      </c>
      <c r="FB201" s="227" t="s">
        <v>568</v>
      </c>
      <c r="FC201">
        <f t="shared" si="4"/>
        <v>0</v>
      </c>
    </row>
    <row r="202" spans="1:159" ht="17.25" thickBot="1" x14ac:dyDescent="0.3">
      <c r="A202" s="226">
        <v>45940</v>
      </c>
      <c r="B202" s="227" t="s">
        <v>170</v>
      </c>
      <c r="C202" s="227" t="s">
        <v>298</v>
      </c>
      <c r="D202" s="228">
        <v>250</v>
      </c>
      <c r="E202" s="228">
        <v>18</v>
      </c>
      <c r="F202" s="231">
        <v>3551.4</v>
      </c>
      <c r="G202" s="231">
        <v>3567.5</v>
      </c>
      <c r="H202" s="228">
        <v>-16.100000000000001</v>
      </c>
      <c r="I202" s="229">
        <v>-4.4999999999999997E-3</v>
      </c>
      <c r="J202" s="231">
        <v>3532.8</v>
      </c>
      <c r="K202" s="231">
        <v>3550.5</v>
      </c>
      <c r="L202" s="228">
        <v>-17.7</v>
      </c>
      <c r="M202" s="229">
        <v>-5.0000000000000001E-3</v>
      </c>
      <c r="N202" s="231">
        <v>3551.4</v>
      </c>
      <c r="O202" s="231">
        <v>3567.5</v>
      </c>
      <c r="P202" s="228">
        <v>-16.100000000000001</v>
      </c>
      <c r="Q202" s="229">
        <v>-4.4999999999999997E-3</v>
      </c>
      <c r="R202" s="231">
        <v>3570.6</v>
      </c>
      <c r="S202" s="231">
        <v>3583.1</v>
      </c>
      <c r="T202" s="228">
        <v>-12.5</v>
      </c>
      <c r="U202" s="229">
        <v>-3.5000000000000001E-3</v>
      </c>
      <c r="V202" s="231">
        <v>3585</v>
      </c>
      <c r="W202" s="231">
        <v>3585</v>
      </c>
      <c r="X202" s="228">
        <v>0</v>
      </c>
      <c r="Y202" s="229">
        <v>0</v>
      </c>
      <c r="Z202" s="228">
        <v>18.600000000000001</v>
      </c>
      <c r="AA202" s="228">
        <v>17</v>
      </c>
      <c r="AB202" s="228">
        <v>1.6</v>
      </c>
      <c r="AC202" s="229">
        <v>5.3E-3</v>
      </c>
      <c r="AD202" s="228">
        <v>18.600000000000001</v>
      </c>
      <c r="AE202" s="228">
        <v>17</v>
      </c>
      <c r="AF202" s="228">
        <v>1.6</v>
      </c>
      <c r="AG202" s="229">
        <v>5.3E-3</v>
      </c>
      <c r="AH202" s="228">
        <v>37.799999999999997</v>
      </c>
      <c r="AI202" s="228">
        <v>32.6</v>
      </c>
      <c r="AJ202" s="228">
        <v>5.2</v>
      </c>
      <c r="AK202" s="229">
        <v>1.0699999999999999E-2</v>
      </c>
      <c r="AL202" s="228">
        <v>52.2</v>
      </c>
      <c r="AM202" s="228">
        <v>34.5</v>
      </c>
      <c r="AN202" s="228">
        <v>17.7</v>
      </c>
      <c r="AO202" s="229">
        <v>1.4800000000000001E-2</v>
      </c>
      <c r="AP202" s="231">
        <v>3564</v>
      </c>
      <c r="AQ202" s="231">
        <v>3586.72</v>
      </c>
      <c r="AR202" s="228">
        <v>0</v>
      </c>
      <c r="AS202" s="228">
        <v>123</v>
      </c>
      <c r="AT202" s="228">
        <v>113</v>
      </c>
      <c r="AU202" s="228">
        <v>10</v>
      </c>
      <c r="AV202" s="229">
        <v>9.2200000000000004E-2</v>
      </c>
      <c r="AW202" s="228">
        <v>121</v>
      </c>
      <c r="AX202" s="228">
        <v>110</v>
      </c>
      <c r="AY202" s="228">
        <v>10</v>
      </c>
      <c r="AZ202" s="229">
        <v>9.5000000000000001E-2</v>
      </c>
      <c r="BA202" s="228">
        <v>2</v>
      </c>
      <c r="BB202" s="228">
        <v>2</v>
      </c>
      <c r="BC202" s="228">
        <v>0</v>
      </c>
      <c r="BD202" s="229">
        <v>-7.4099999999999999E-2</v>
      </c>
      <c r="BE202" s="228">
        <v>0</v>
      </c>
      <c r="BF202" s="228">
        <v>0</v>
      </c>
      <c r="BG202" s="228">
        <v>0</v>
      </c>
      <c r="BH202" s="229">
        <v>0</v>
      </c>
      <c r="BI202" s="228">
        <v>294</v>
      </c>
      <c r="BJ202" s="228">
        <v>431</v>
      </c>
      <c r="BK202" s="228">
        <v>-137</v>
      </c>
      <c r="BL202" s="229">
        <v>-0.31769999999999998</v>
      </c>
      <c r="BM202" s="228">
        <v>67</v>
      </c>
      <c r="BN202" s="228">
        <v>220</v>
      </c>
      <c r="BO202" s="228">
        <v>-153</v>
      </c>
      <c r="BP202" s="229">
        <v>-0.69479999999999997</v>
      </c>
      <c r="BQ202" s="228">
        <v>484</v>
      </c>
      <c r="BR202" s="228">
        <v>763</v>
      </c>
      <c r="BS202" s="228">
        <v>-279</v>
      </c>
      <c r="BT202" s="229">
        <v>-0.36599999999999999</v>
      </c>
      <c r="BU202" s="230">
        <v>182075</v>
      </c>
      <c r="BV202" s="230">
        <v>205673</v>
      </c>
      <c r="BW202" s="230">
        <v>-23598</v>
      </c>
      <c r="BX202" s="229">
        <v>-0.1147</v>
      </c>
      <c r="BY202" s="228">
        <v>816</v>
      </c>
      <c r="BZ202" s="228">
        <v>840</v>
      </c>
      <c r="CA202" s="228">
        <v>-23</v>
      </c>
      <c r="CB202" s="229">
        <v>-2.7900000000000001E-2</v>
      </c>
      <c r="CC202" s="228">
        <v>812</v>
      </c>
      <c r="CD202" s="228">
        <v>835</v>
      </c>
      <c r="CE202" s="228">
        <v>-24</v>
      </c>
      <c r="CF202" s="229">
        <v>-2.8400000000000002E-2</v>
      </c>
      <c r="CG202" s="228">
        <v>4</v>
      </c>
      <c r="CH202" s="228">
        <v>4</v>
      </c>
      <c r="CI202" s="228">
        <v>0</v>
      </c>
      <c r="CJ202" s="229">
        <v>4.1700000000000001E-2</v>
      </c>
      <c r="CK202" s="228">
        <v>0</v>
      </c>
      <c r="CL202" s="228">
        <v>0</v>
      </c>
      <c r="CM202" s="228">
        <v>0</v>
      </c>
      <c r="CN202" s="229">
        <v>1</v>
      </c>
      <c r="CO202" s="228">
        <v>236</v>
      </c>
      <c r="CP202" s="228">
        <v>238</v>
      </c>
      <c r="CQ202" s="228">
        <v>-2</v>
      </c>
      <c r="CR202" s="229">
        <v>-8.9999999999999993E-3</v>
      </c>
      <c r="CS202" s="228">
        <v>118</v>
      </c>
      <c r="CT202" s="228">
        <v>123</v>
      </c>
      <c r="CU202" s="228">
        <v>-4</v>
      </c>
      <c r="CV202" s="229">
        <v>-3.5499999999999997E-2</v>
      </c>
      <c r="CW202" s="230">
        <v>1170</v>
      </c>
      <c r="CX202" s="230">
        <v>1200</v>
      </c>
      <c r="CY202" s="228">
        <v>-30</v>
      </c>
      <c r="CZ202" s="229">
        <v>-2.4899999999999999E-2</v>
      </c>
      <c r="DA202" s="228">
        <v>20.7</v>
      </c>
      <c r="DB202" s="228">
        <v>19.93</v>
      </c>
      <c r="DC202" s="228">
        <v>0.77</v>
      </c>
      <c r="DD202" s="228">
        <v>0.77</v>
      </c>
      <c r="DE202" s="228">
        <v>25.98</v>
      </c>
      <c r="DF202" s="228">
        <v>26.04</v>
      </c>
      <c r="DG202" s="228">
        <v>-5.28</v>
      </c>
      <c r="DH202" s="228">
        <v>-0.06</v>
      </c>
      <c r="DI202" s="228">
        <v>21.07</v>
      </c>
      <c r="DJ202" s="228">
        <v>19.97</v>
      </c>
      <c r="DK202" s="228">
        <v>1.1000000000000001</v>
      </c>
      <c r="DL202" s="228">
        <v>1.1000000000000001</v>
      </c>
      <c r="DM202" s="228">
        <v>19.09</v>
      </c>
      <c r="DN202" s="228">
        <v>19.84</v>
      </c>
      <c r="DO202" s="228">
        <v>-0.75</v>
      </c>
      <c r="DP202" s="228">
        <v>-0.75</v>
      </c>
      <c r="DQ202" s="228">
        <v>0.5</v>
      </c>
      <c r="DR202" s="228">
        <v>0.52</v>
      </c>
      <c r="DS202" s="228">
        <v>-0.02</v>
      </c>
      <c r="DT202" s="229">
        <v>-3.85E-2</v>
      </c>
      <c r="DU202" s="231">
        <v>3600</v>
      </c>
      <c r="DV202" s="231">
        <v>3500</v>
      </c>
      <c r="DW202" s="228">
        <v>0.23</v>
      </c>
      <c r="DX202" s="228">
        <v>0.51</v>
      </c>
      <c r="DY202" s="228">
        <v>-0.28000000000000003</v>
      </c>
      <c r="DZ202" s="229">
        <v>-0.54900000000000004</v>
      </c>
      <c r="EA202" s="229">
        <v>5.7000000000000002E-3</v>
      </c>
      <c r="EB202" s="230">
        <v>12250</v>
      </c>
      <c r="EC202" s="229">
        <v>5.4000000000000003E-3</v>
      </c>
      <c r="ED202" s="229">
        <v>5.7000000000000002E-3</v>
      </c>
      <c r="EE202" s="228">
        <v>22.72</v>
      </c>
      <c r="EF202" s="229">
        <v>6.4000000000000003E-3</v>
      </c>
      <c r="EG202" s="230">
        <v>119843</v>
      </c>
      <c r="EH202" s="230">
        <v>134417</v>
      </c>
      <c r="EI202" s="229">
        <v>-0.1084</v>
      </c>
      <c r="EJ202" s="229">
        <v>0.65820000000000001</v>
      </c>
      <c r="EK202" s="228">
        <v>310.01</v>
      </c>
      <c r="EL202" s="228">
        <v>65.680000000000007</v>
      </c>
      <c r="EM202" s="228">
        <v>123.51</v>
      </c>
      <c r="EN202" s="228">
        <v>13.78</v>
      </c>
      <c r="EO202" s="228">
        <v>499.2</v>
      </c>
      <c r="EP202" s="228">
        <v>779.89</v>
      </c>
      <c r="EQ202" s="228">
        <v>-280.7</v>
      </c>
      <c r="ER202" s="229">
        <v>-0.3599</v>
      </c>
      <c r="ES202" s="228">
        <v>243.73</v>
      </c>
      <c r="ET202" s="228">
        <v>117.73</v>
      </c>
      <c r="EU202" s="228">
        <v>816.31</v>
      </c>
      <c r="EV202" s="231">
        <v>16072672</v>
      </c>
      <c r="EW202" s="231">
        <v>1177.78</v>
      </c>
      <c r="EX202" s="231">
        <v>1211.52</v>
      </c>
      <c r="EY202" s="228">
        <v>-33.74</v>
      </c>
      <c r="EZ202" s="229">
        <v>-2.7799999999999998E-2</v>
      </c>
      <c r="FA202" s="229">
        <v>0.20499999999999999</v>
      </c>
      <c r="FB202" s="227" t="s">
        <v>568</v>
      </c>
      <c r="FC202">
        <f t="shared" si="4"/>
        <v>0</v>
      </c>
    </row>
    <row r="203" spans="1:159" ht="17.25" thickBot="1" x14ac:dyDescent="0.3">
      <c r="A203" s="226">
        <v>45940</v>
      </c>
      <c r="B203" s="227" t="s">
        <v>161</v>
      </c>
      <c r="C203" s="227" t="s">
        <v>299</v>
      </c>
      <c r="D203" s="228">
        <v>375</v>
      </c>
      <c r="E203" s="228">
        <v>18</v>
      </c>
      <c r="F203" s="231">
        <v>1244.3</v>
      </c>
      <c r="G203" s="231">
        <v>1247</v>
      </c>
      <c r="H203" s="228">
        <v>-2.7</v>
      </c>
      <c r="I203" s="229">
        <v>-2.2000000000000001E-3</v>
      </c>
      <c r="J203" s="231">
        <v>1239.3</v>
      </c>
      <c r="K203" s="231">
        <v>1240.5</v>
      </c>
      <c r="L203" s="228">
        <v>-1.2</v>
      </c>
      <c r="M203" s="229">
        <v>-1E-3</v>
      </c>
      <c r="N203" s="231">
        <v>1244.3</v>
      </c>
      <c r="O203" s="231">
        <v>1247</v>
      </c>
      <c r="P203" s="228">
        <v>-2.7</v>
      </c>
      <c r="Q203" s="229">
        <v>-2.2000000000000001E-3</v>
      </c>
      <c r="R203" s="231">
        <v>1251.2</v>
      </c>
      <c r="S203" s="231">
        <v>1253.0999999999999</v>
      </c>
      <c r="T203" s="228">
        <v>-1.9</v>
      </c>
      <c r="U203" s="229">
        <v>-1.5E-3</v>
      </c>
      <c r="V203" s="231">
        <v>1260.5</v>
      </c>
      <c r="W203" s="231">
        <v>1265</v>
      </c>
      <c r="X203" s="228">
        <v>-4.5</v>
      </c>
      <c r="Y203" s="229">
        <v>-3.5999999999999999E-3</v>
      </c>
      <c r="Z203" s="228">
        <v>5</v>
      </c>
      <c r="AA203" s="228">
        <v>6.5</v>
      </c>
      <c r="AB203" s="228">
        <v>-1.5</v>
      </c>
      <c r="AC203" s="229">
        <v>4.0000000000000001E-3</v>
      </c>
      <c r="AD203" s="228">
        <v>5</v>
      </c>
      <c r="AE203" s="228">
        <v>6.5</v>
      </c>
      <c r="AF203" s="228">
        <v>-1.5</v>
      </c>
      <c r="AG203" s="229">
        <v>4.0000000000000001E-3</v>
      </c>
      <c r="AH203" s="228">
        <v>11.9</v>
      </c>
      <c r="AI203" s="228">
        <v>12.6</v>
      </c>
      <c r="AJ203" s="228">
        <v>-0.7</v>
      </c>
      <c r="AK203" s="229">
        <v>9.5999999999999992E-3</v>
      </c>
      <c r="AL203" s="228">
        <v>21.2</v>
      </c>
      <c r="AM203" s="228">
        <v>24.5</v>
      </c>
      <c r="AN203" s="228">
        <v>-3.3</v>
      </c>
      <c r="AO203" s="229">
        <v>1.7100000000000001E-2</v>
      </c>
      <c r="AP203" s="231">
        <v>1246.5</v>
      </c>
      <c r="AQ203" s="231">
        <v>1253.6400000000001</v>
      </c>
      <c r="AR203" s="228">
        <v>0</v>
      </c>
      <c r="AS203" s="228">
        <v>44</v>
      </c>
      <c r="AT203" s="228">
        <v>66</v>
      </c>
      <c r="AU203" s="228">
        <v>-22</v>
      </c>
      <c r="AV203" s="229">
        <v>-0.33289999999999997</v>
      </c>
      <c r="AW203" s="228">
        <v>41</v>
      </c>
      <c r="AX203" s="228">
        <v>61</v>
      </c>
      <c r="AY203" s="228">
        <v>-20</v>
      </c>
      <c r="AZ203" s="229">
        <v>-0.32669999999999999</v>
      </c>
      <c r="BA203" s="228">
        <v>2</v>
      </c>
      <c r="BB203" s="228">
        <v>4</v>
      </c>
      <c r="BC203" s="228">
        <v>-2</v>
      </c>
      <c r="BD203" s="229">
        <v>-0.43480000000000002</v>
      </c>
      <c r="BE203" s="228">
        <v>0</v>
      </c>
      <c r="BF203" s="228">
        <v>0</v>
      </c>
      <c r="BG203" s="228">
        <v>0</v>
      </c>
      <c r="BH203" s="229">
        <v>-0.1429</v>
      </c>
      <c r="BI203" s="228">
        <v>69</v>
      </c>
      <c r="BJ203" s="228">
        <v>103</v>
      </c>
      <c r="BK203" s="228">
        <v>-34</v>
      </c>
      <c r="BL203" s="229">
        <v>-0.3327</v>
      </c>
      <c r="BM203" s="228">
        <v>27</v>
      </c>
      <c r="BN203" s="228">
        <v>35</v>
      </c>
      <c r="BO203" s="228">
        <v>-8</v>
      </c>
      <c r="BP203" s="229">
        <v>-0.24099999999999999</v>
      </c>
      <c r="BQ203" s="228">
        <v>139</v>
      </c>
      <c r="BR203" s="228">
        <v>204</v>
      </c>
      <c r="BS203" s="228">
        <v>-65</v>
      </c>
      <c r="BT203" s="229">
        <v>-0.317</v>
      </c>
      <c r="BU203" s="230">
        <v>171438</v>
      </c>
      <c r="BV203" s="230">
        <v>244957</v>
      </c>
      <c r="BW203" s="230">
        <v>-73519</v>
      </c>
      <c r="BX203" s="229">
        <v>-0.30009999999999998</v>
      </c>
      <c r="BY203" s="228">
        <v>552</v>
      </c>
      <c r="BZ203" s="228">
        <v>553</v>
      </c>
      <c r="CA203" s="228">
        <v>-2</v>
      </c>
      <c r="CB203" s="229">
        <v>-3.0999999999999999E-3</v>
      </c>
      <c r="CC203" s="228">
        <v>536</v>
      </c>
      <c r="CD203" s="228">
        <v>539</v>
      </c>
      <c r="CE203" s="228">
        <v>-3</v>
      </c>
      <c r="CF203" s="229">
        <v>-4.7000000000000002E-3</v>
      </c>
      <c r="CG203" s="228">
        <v>14</v>
      </c>
      <c r="CH203" s="228">
        <v>13</v>
      </c>
      <c r="CI203" s="228">
        <v>1</v>
      </c>
      <c r="CJ203" s="229">
        <v>4.5900000000000003E-2</v>
      </c>
      <c r="CK203" s="228">
        <v>2</v>
      </c>
      <c r="CL203" s="228">
        <v>1</v>
      </c>
      <c r="CM203" s="228">
        <v>0</v>
      </c>
      <c r="CN203" s="229">
        <v>0.1333</v>
      </c>
      <c r="CO203" s="228">
        <v>170</v>
      </c>
      <c r="CP203" s="228">
        <v>166</v>
      </c>
      <c r="CQ203" s="228">
        <v>4</v>
      </c>
      <c r="CR203" s="229">
        <v>2.58E-2</v>
      </c>
      <c r="CS203" s="228">
        <v>96</v>
      </c>
      <c r="CT203" s="228">
        <v>93</v>
      </c>
      <c r="CU203" s="228">
        <v>3</v>
      </c>
      <c r="CV203" s="229">
        <v>2.81E-2</v>
      </c>
      <c r="CW203" s="228">
        <v>818</v>
      </c>
      <c r="CX203" s="228">
        <v>812</v>
      </c>
      <c r="CY203" s="228">
        <v>5</v>
      </c>
      <c r="CZ203" s="229">
        <v>6.4000000000000003E-3</v>
      </c>
      <c r="DA203" s="228">
        <v>29.96</v>
      </c>
      <c r="DB203" s="228">
        <v>29.91</v>
      </c>
      <c r="DC203" s="228">
        <v>0.05</v>
      </c>
      <c r="DD203" s="228">
        <v>0.05</v>
      </c>
      <c r="DE203" s="228">
        <v>42.18</v>
      </c>
      <c r="DF203" s="228">
        <v>42.28</v>
      </c>
      <c r="DG203" s="228">
        <v>-12.22</v>
      </c>
      <c r="DH203" s="228">
        <v>-0.1</v>
      </c>
      <c r="DI203" s="228">
        <v>30.23</v>
      </c>
      <c r="DJ203" s="228">
        <v>29.8</v>
      </c>
      <c r="DK203" s="228">
        <v>0.43</v>
      </c>
      <c r="DL203" s="228">
        <v>0.43</v>
      </c>
      <c r="DM203" s="228">
        <v>29.25</v>
      </c>
      <c r="DN203" s="228">
        <v>30.22</v>
      </c>
      <c r="DO203" s="228">
        <v>-0.97</v>
      </c>
      <c r="DP203" s="228">
        <v>-0.97</v>
      </c>
      <c r="DQ203" s="228">
        <v>0.56000000000000005</v>
      </c>
      <c r="DR203" s="228">
        <v>0.56000000000000005</v>
      </c>
      <c r="DS203" s="228">
        <v>0</v>
      </c>
      <c r="DT203" s="229">
        <v>0</v>
      </c>
      <c r="DU203" s="231">
        <v>1300</v>
      </c>
      <c r="DV203" s="231">
        <v>1200</v>
      </c>
      <c r="DW203" s="228">
        <v>0.39</v>
      </c>
      <c r="DX203" s="228">
        <v>0.34</v>
      </c>
      <c r="DY203" s="228">
        <v>0.05</v>
      </c>
      <c r="DZ203" s="229">
        <v>0.14710000000000001</v>
      </c>
      <c r="EA203" s="229">
        <v>2.7900000000000001E-2</v>
      </c>
      <c r="EB203" s="230">
        <v>117375</v>
      </c>
      <c r="EC203" s="229">
        <v>5.4999999999999997E-3</v>
      </c>
      <c r="ED203" s="229">
        <v>2.7900000000000001E-2</v>
      </c>
      <c r="EE203" s="228">
        <v>7.14</v>
      </c>
      <c r="EF203" s="229">
        <v>5.7000000000000002E-3</v>
      </c>
      <c r="EG203" s="230">
        <v>79698</v>
      </c>
      <c r="EH203" s="230">
        <v>95370</v>
      </c>
      <c r="EI203" s="229">
        <v>-0.1643</v>
      </c>
      <c r="EJ203" s="229">
        <v>0.46489999999999998</v>
      </c>
      <c r="EK203" s="228">
        <v>72.19</v>
      </c>
      <c r="EL203" s="228">
        <v>26.23</v>
      </c>
      <c r="EM203" s="228">
        <v>43.96</v>
      </c>
      <c r="EN203" s="228">
        <v>20.98</v>
      </c>
      <c r="EO203" s="228">
        <v>142.38</v>
      </c>
      <c r="EP203" s="228">
        <v>207.28</v>
      </c>
      <c r="EQ203" s="228">
        <v>-64.900000000000006</v>
      </c>
      <c r="ER203" s="229">
        <v>-0.31309999999999999</v>
      </c>
      <c r="ES203" s="228">
        <v>178.18</v>
      </c>
      <c r="ET203" s="228">
        <v>93.2</v>
      </c>
      <c r="EU203" s="228">
        <v>551.63</v>
      </c>
      <c r="EV203" s="231">
        <v>24646022</v>
      </c>
      <c r="EW203" s="228">
        <v>823.01</v>
      </c>
      <c r="EX203" s="228">
        <v>818.91</v>
      </c>
      <c r="EY203" s="228">
        <v>4.0999999999999996</v>
      </c>
      <c r="EZ203" s="229">
        <v>5.0000000000000001E-3</v>
      </c>
      <c r="FA203" s="229">
        <v>0.2666</v>
      </c>
      <c r="FB203" s="227" t="s">
        <v>568</v>
      </c>
      <c r="FC203">
        <f t="shared" si="4"/>
        <v>0</v>
      </c>
    </row>
    <row r="204" spans="1:159" ht="17.25" thickBot="1" x14ac:dyDescent="0.3">
      <c r="A204" s="226">
        <v>45940</v>
      </c>
      <c r="B204" s="227" t="s">
        <v>197</v>
      </c>
      <c r="C204" s="227" t="s">
        <v>482</v>
      </c>
      <c r="D204" s="228">
        <v>100</v>
      </c>
      <c r="E204" s="228">
        <v>18</v>
      </c>
      <c r="F204" s="231">
        <v>4702.3</v>
      </c>
      <c r="G204" s="231">
        <v>4684.8</v>
      </c>
      <c r="H204" s="228">
        <v>17.5</v>
      </c>
      <c r="I204" s="229">
        <v>3.7000000000000002E-3</v>
      </c>
      <c r="J204" s="231">
        <v>4691.1000000000004</v>
      </c>
      <c r="K204" s="231">
        <v>4660.8999999999996</v>
      </c>
      <c r="L204" s="228">
        <v>30.2</v>
      </c>
      <c r="M204" s="229">
        <v>6.4999999999999997E-3</v>
      </c>
      <c r="N204" s="231">
        <v>4702.3</v>
      </c>
      <c r="O204" s="231">
        <v>4684.8</v>
      </c>
      <c r="P204" s="228">
        <v>17.5</v>
      </c>
      <c r="Q204" s="229">
        <v>3.7000000000000002E-3</v>
      </c>
      <c r="R204" s="231">
        <v>4729.1000000000004</v>
      </c>
      <c r="S204" s="231">
        <v>4710.5</v>
      </c>
      <c r="T204" s="228">
        <v>18.600000000000001</v>
      </c>
      <c r="U204" s="229">
        <v>3.8999999999999998E-3</v>
      </c>
      <c r="V204" s="231">
        <v>4756.2</v>
      </c>
      <c r="W204" s="231">
        <v>4734.5</v>
      </c>
      <c r="X204" s="228">
        <v>21.7</v>
      </c>
      <c r="Y204" s="229">
        <v>4.5999999999999999E-3</v>
      </c>
      <c r="Z204" s="228">
        <v>11.2</v>
      </c>
      <c r="AA204" s="228">
        <v>23.9</v>
      </c>
      <c r="AB204" s="228">
        <v>-12.7</v>
      </c>
      <c r="AC204" s="229">
        <v>2.3999999999999998E-3</v>
      </c>
      <c r="AD204" s="228">
        <v>11.2</v>
      </c>
      <c r="AE204" s="228">
        <v>23.9</v>
      </c>
      <c r="AF204" s="228">
        <v>-12.7</v>
      </c>
      <c r="AG204" s="229">
        <v>2.3999999999999998E-3</v>
      </c>
      <c r="AH204" s="228">
        <v>38</v>
      </c>
      <c r="AI204" s="228">
        <v>49.6</v>
      </c>
      <c r="AJ204" s="228">
        <v>-11.6</v>
      </c>
      <c r="AK204" s="229">
        <v>8.0999999999999996E-3</v>
      </c>
      <c r="AL204" s="228">
        <v>65.099999999999994</v>
      </c>
      <c r="AM204" s="228">
        <v>73.599999999999994</v>
      </c>
      <c r="AN204" s="228">
        <v>-8.5</v>
      </c>
      <c r="AO204" s="229">
        <v>1.3899999999999999E-2</v>
      </c>
      <c r="AP204" s="231">
        <v>4719.09</v>
      </c>
      <c r="AQ204" s="231">
        <v>4741.58</v>
      </c>
      <c r="AR204" s="228">
        <v>0</v>
      </c>
      <c r="AS204" s="228">
        <v>529</v>
      </c>
      <c r="AT204" s="228">
        <v>450</v>
      </c>
      <c r="AU204" s="228">
        <v>78</v>
      </c>
      <c r="AV204" s="229">
        <v>0.17399999999999999</v>
      </c>
      <c r="AW204" s="228">
        <v>480</v>
      </c>
      <c r="AX204" s="228">
        <v>393</v>
      </c>
      <c r="AY204" s="228">
        <v>86</v>
      </c>
      <c r="AZ204" s="229">
        <v>0.21920000000000001</v>
      </c>
      <c r="BA204" s="228">
        <v>38</v>
      </c>
      <c r="BB204" s="228">
        <v>48</v>
      </c>
      <c r="BC204" s="228">
        <v>-10</v>
      </c>
      <c r="BD204" s="229">
        <v>-0.2059</v>
      </c>
      <c r="BE204" s="228">
        <v>11</v>
      </c>
      <c r="BF204" s="228">
        <v>9</v>
      </c>
      <c r="BG204" s="228">
        <v>2</v>
      </c>
      <c r="BH204" s="229">
        <v>0.20810000000000001</v>
      </c>
      <c r="BI204" s="230">
        <v>3144</v>
      </c>
      <c r="BJ204" s="230">
        <v>2856</v>
      </c>
      <c r="BK204" s="228">
        <v>287</v>
      </c>
      <c r="BL204" s="229">
        <v>0.10059999999999999</v>
      </c>
      <c r="BM204" s="228">
        <v>960</v>
      </c>
      <c r="BN204" s="228">
        <v>893</v>
      </c>
      <c r="BO204" s="228">
        <v>68</v>
      </c>
      <c r="BP204" s="229">
        <v>7.5800000000000006E-2</v>
      </c>
      <c r="BQ204" s="230">
        <v>4633</v>
      </c>
      <c r="BR204" s="230">
        <v>4199</v>
      </c>
      <c r="BS204" s="228">
        <v>433</v>
      </c>
      <c r="BT204" s="229">
        <v>0.1032</v>
      </c>
      <c r="BU204" s="230">
        <v>804138</v>
      </c>
      <c r="BV204" s="230">
        <v>780149</v>
      </c>
      <c r="BW204" s="230">
        <v>23989</v>
      </c>
      <c r="BX204" s="229">
        <v>3.0700000000000002E-2</v>
      </c>
      <c r="BY204" s="230">
        <v>4305</v>
      </c>
      <c r="BZ204" s="230">
        <v>4298</v>
      </c>
      <c r="CA204" s="228">
        <v>7</v>
      </c>
      <c r="CB204" s="229">
        <v>1.6000000000000001E-3</v>
      </c>
      <c r="CC204" s="230">
        <v>4049</v>
      </c>
      <c r="CD204" s="230">
        <v>4051</v>
      </c>
      <c r="CE204" s="228">
        <v>-2</v>
      </c>
      <c r="CF204" s="229">
        <v>-5.0000000000000001E-4</v>
      </c>
      <c r="CG204" s="228">
        <v>228</v>
      </c>
      <c r="CH204" s="228">
        <v>222</v>
      </c>
      <c r="CI204" s="228">
        <v>6</v>
      </c>
      <c r="CJ204" s="229">
        <v>2.8400000000000002E-2</v>
      </c>
      <c r="CK204" s="228">
        <v>27</v>
      </c>
      <c r="CL204" s="228">
        <v>24</v>
      </c>
      <c r="CM204" s="228">
        <v>2</v>
      </c>
      <c r="CN204" s="229">
        <v>9.4E-2</v>
      </c>
      <c r="CO204" s="230">
        <v>3239</v>
      </c>
      <c r="CP204" s="230">
        <v>3316</v>
      </c>
      <c r="CQ204" s="228">
        <v>-77</v>
      </c>
      <c r="CR204" s="229">
        <v>-2.3099999999999999E-2</v>
      </c>
      <c r="CS204" s="230">
        <v>1440</v>
      </c>
      <c r="CT204" s="230">
        <v>1485</v>
      </c>
      <c r="CU204" s="228">
        <v>-45</v>
      </c>
      <c r="CV204" s="229">
        <v>-0.03</v>
      </c>
      <c r="CW204" s="230">
        <v>8984</v>
      </c>
      <c r="CX204" s="230">
        <v>9098</v>
      </c>
      <c r="CY204" s="228">
        <v>-114</v>
      </c>
      <c r="CZ204" s="229">
        <v>-1.26E-2</v>
      </c>
      <c r="DA204" s="228">
        <v>31.09</v>
      </c>
      <c r="DB204" s="228">
        <v>31.88</v>
      </c>
      <c r="DC204" s="228">
        <v>-0.79</v>
      </c>
      <c r="DD204" s="228">
        <v>-0.79</v>
      </c>
      <c r="DE204" s="228">
        <v>45.34</v>
      </c>
      <c r="DF204" s="228">
        <v>45.45</v>
      </c>
      <c r="DG204" s="228">
        <v>-14.25</v>
      </c>
      <c r="DH204" s="228">
        <v>-0.11</v>
      </c>
      <c r="DI204" s="228">
        <v>31.58</v>
      </c>
      <c r="DJ204" s="228">
        <v>32.229999999999997</v>
      </c>
      <c r="DK204" s="228">
        <v>-0.65</v>
      </c>
      <c r="DL204" s="228">
        <v>-0.65</v>
      </c>
      <c r="DM204" s="228">
        <v>29.46</v>
      </c>
      <c r="DN204" s="228">
        <v>30.75</v>
      </c>
      <c r="DO204" s="228">
        <v>-1.29</v>
      </c>
      <c r="DP204" s="228">
        <v>-1.29</v>
      </c>
      <c r="DQ204" s="228">
        <v>0.44</v>
      </c>
      <c r="DR204" s="228">
        <v>0.45</v>
      </c>
      <c r="DS204" s="228">
        <v>-0.01</v>
      </c>
      <c r="DT204" s="229">
        <v>-2.2200000000000001E-2</v>
      </c>
      <c r="DU204" s="231">
        <v>5500</v>
      </c>
      <c r="DV204" s="231">
        <v>4700</v>
      </c>
      <c r="DW204" s="228">
        <v>0.31</v>
      </c>
      <c r="DX204" s="228">
        <v>0.31</v>
      </c>
      <c r="DY204" s="228">
        <v>0</v>
      </c>
      <c r="DZ204" s="229">
        <v>0</v>
      </c>
      <c r="EA204" s="229">
        <v>5.9299999999999999E-2</v>
      </c>
      <c r="EB204" s="230">
        <v>524200</v>
      </c>
      <c r="EC204" s="229">
        <v>5.7000000000000002E-3</v>
      </c>
      <c r="ED204" s="229">
        <v>5.9299999999999999E-2</v>
      </c>
      <c r="EE204" s="228">
        <v>22.49</v>
      </c>
      <c r="EF204" s="229">
        <v>4.7999999999999996E-3</v>
      </c>
      <c r="EG204" s="230">
        <v>424716</v>
      </c>
      <c r="EH204" s="230">
        <v>415454</v>
      </c>
      <c r="EI204" s="229">
        <v>2.23E-2</v>
      </c>
      <c r="EJ204" s="229">
        <v>0.5282</v>
      </c>
      <c r="EK204" s="231">
        <v>3377.27</v>
      </c>
      <c r="EL204" s="228">
        <v>942.95</v>
      </c>
      <c r="EM204" s="228">
        <v>530.88</v>
      </c>
      <c r="EN204" s="228">
        <v>188.02</v>
      </c>
      <c r="EO204" s="231">
        <v>4851.09</v>
      </c>
      <c r="EP204" s="231">
        <v>4387.6899999999996</v>
      </c>
      <c r="EQ204" s="228">
        <v>463.4</v>
      </c>
      <c r="ER204" s="229">
        <v>0.1056</v>
      </c>
      <c r="ES204" s="231">
        <v>3539.75</v>
      </c>
      <c r="ET204" s="231">
        <v>1439.32</v>
      </c>
      <c r="EU204" s="231">
        <v>4306.1400000000003</v>
      </c>
      <c r="EV204" s="231">
        <v>33590487</v>
      </c>
      <c r="EW204" s="231">
        <v>9285.2099999999991</v>
      </c>
      <c r="EX204" s="231">
        <v>9378.09</v>
      </c>
      <c r="EY204" s="228">
        <v>-92.88</v>
      </c>
      <c r="EZ204" s="229">
        <v>-9.9000000000000008E-3</v>
      </c>
      <c r="FA204" s="229">
        <v>0.56879999999999997</v>
      </c>
      <c r="FB204" s="227" t="s">
        <v>555</v>
      </c>
      <c r="FC204">
        <f t="shared" si="4"/>
        <v>0</v>
      </c>
    </row>
    <row r="205" spans="1:159" ht="17.25" thickBot="1" x14ac:dyDescent="0.3">
      <c r="A205" s="226">
        <v>45940</v>
      </c>
      <c r="B205" s="227" t="s">
        <v>162</v>
      </c>
      <c r="C205" s="227" t="s">
        <v>300</v>
      </c>
      <c r="D205" s="228">
        <v>350</v>
      </c>
      <c r="E205" s="228">
        <v>18</v>
      </c>
      <c r="F205" s="231">
        <v>3505.3</v>
      </c>
      <c r="G205" s="231">
        <v>3496.6</v>
      </c>
      <c r="H205" s="228">
        <v>8.6999999999999993</v>
      </c>
      <c r="I205" s="229">
        <v>2.5000000000000001E-3</v>
      </c>
      <c r="J205" s="231">
        <v>3490.3</v>
      </c>
      <c r="K205" s="231">
        <v>3486.6</v>
      </c>
      <c r="L205" s="228">
        <v>3.7</v>
      </c>
      <c r="M205" s="229">
        <v>1.1000000000000001E-3</v>
      </c>
      <c r="N205" s="231">
        <v>3505.3</v>
      </c>
      <c r="O205" s="231">
        <v>3496.6</v>
      </c>
      <c r="P205" s="228">
        <v>8.6999999999999993</v>
      </c>
      <c r="Q205" s="229">
        <v>2.5000000000000001E-3</v>
      </c>
      <c r="R205" s="231">
        <v>3525</v>
      </c>
      <c r="S205" s="231">
        <v>3515.4</v>
      </c>
      <c r="T205" s="228">
        <v>9.6</v>
      </c>
      <c r="U205" s="229">
        <v>2.7000000000000001E-3</v>
      </c>
      <c r="V205" s="231">
        <v>3539.9</v>
      </c>
      <c r="W205" s="231">
        <v>3522.9</v>
      </c>
      <c r="X205" s="228">
        <v>17</v>
      </c>
      <c r="Y205" s="229">
        <v>4.7999999999999996E-3</v>
      </c>
      <c r="Z205" s="228">
        <v>15</v>
      </c>
      <c r="AA205" s="228">
        <v>10</v>
      </c>
      <c r="AB205" s="228">
        <v>5</v>
      </c>
      <c r="AC205" s="229">
        <v>4.3E-3</v>
      </c>
      <c r="AD205" s="228">
        <v>15</v>
      </c>
      <c r="AE205" s="228">
        <v>10</v>
      </c>
      <c r="AF205" s="228">
        <v>5</v>
      </c>
      <c r="AG205" s="229">
        <v>4.3E-3</v>
      </c>
      <c r="AH205" s="228">
        <v>34.700000000000003</v>
      </c>
      <c r="AI205" s="228">
        <v>28.8</v>
      </c>
      <c r="AJ205" s="228">
        <v>5.9</v>
      </c>
      <c r="AK205" s="229">
        <v>9.9000000000000008E-3</v>
      </c>
      <c r="AL205" s="228">
        <v>49.6</v>
      </c>
      <c r="AM205" s="228">
        <v>36.299999999999997</v>
      </c>
      <c r="AN205" s="228">
        <v>13.3</v>
      </c>
      <c r="AO205" s="229">
        <v>1.4200000000000001E-2</v>
      </c>
      <c r="AP205" s="231">
        <v>3511.55</v>
      </c>
      <c r="AQ205" s="231">
        <v>3529.25</v>
      </c>
      <c r="AR205" s="228">
        <v>0</v>
      </c>
      <c r="AS205" s="228">
        <v>230</v>
      </c>
      <c r="AT205" s="228">
        <v>250</v>
      </c>
      <c r="AU205" s="228">
        <v>-20</v>
      </c>
      <c r="AV205" s="229">
        <v>-8.0500000000000002E-2</v>
      </c>
      <c r="AW205" s="228">
        <v>216</v>
      </c>
      <c r="AX205" s="228">
        <v>232</v>
      </c>
      <c r="AY205" s="228">
        <v>-16</v>
      </c>
      <c r="AZ205" s="229">
        <v>-6.8400000000000002E-2</v>
      </c>
      <c r="BA205" s="228">
        <v>13</v>
      </c>
      <c r="BB205" s="228">
        <v>15</v>
      </c>
      <c r="BC205" s="228">
        <v>-2</v>
      </c>
      <c r="BD205" s="229">
        <v>-0.1057</v>
      </c>
      <c r="BE205" s="228">
        <v>1</v>
      </c>
      <c r="BF205" s="228">
        <v>3</v>
      </c>
      <c r="BG205" s="228">
        <v>-3</v>
      </c>
      <c r="BH205" s="229">
        <v>-0.78569999999999995</v>
      </c>
      <c r="BI205" s="230">
        <v>1085</v>
      </c>
      <c r="BJ205" s="228">
        <v>533</v>
      </c>
      <c r="BK205" s="228">
        <v>552</v>
      </c>
      <c r="BL205" s="229">
        <v>1.0349999999999999</v>
      </c>
      <c r="BM205" s="228">
        <v>331</v>
      </c>
      <c r="BN205" s="228">
        <v>327</v>
      </c>
      <c r="BO205" s="228">
        <v>4</v>
      </c>
      <c r="BP205" s="229">
        <v>1.3100000000000001E-2</v>
      </c>
      <c r="BQ205" s="230">
        <v>1646</v>
      </c>
      <c r="BR205" s="230">
        <v>1110</v>
      </c>
      <c r="BS205" s="228">
        <v>536</v>
      </c>
      <c r="BT205" s="229">
        <v>0.48280000000000001</v>
      </c>
      <c r="BU205" s="230">
        <v>325865</v>
      </c>
      <c r="BV205" s="230">
        <v>465226</v>
      </c>
      <c r="BW205" s="230">
        <v>-139361</v>
      </c>
      <c r="BX205" s="229">
        <v>-0.29959999999999998</v>
      </c>
      <c r="BY205" s="230">
        <v>3345</v>
      </c>
      <c r="BZ205" s="230">
        <v>3361</v>
      </c>
      <c r="CA205" s="228">
        <v>-16</v>
      </c>
      <c r="CB205" s="229">
        <v>-4.7000000000000002E-3</v>
      </c>
      <c r="CC205" s="230">
        <v>3304</v>
      </c>
      <c r="CD205" s="230">
        <v>3323</v>
      </c>
      <c r="CE205" s="228">
        <v>-19</v>
      </c>
      <c r="CF205" s="229">
        <v>-5.7000000000000002E-3</v>
      </c>
      <c r="CG205" s="228">
        <v>37</v>
      </c>
      <c r="CH205" s="228">
        <v>34</v>
      </c>
      <c r="CI205" s="228">
        <v>3</v>
      </c>
      <c r="CJ205" s="229">
        <v>7.9399999999999998E-2</v>
      </c>
      <c r="CK205" s="228">
        <v>5</v>
      </c>
      <c r="CL205" s="228">
        <v>4</v>
      </c>
      <c r="CM205" s="228">
        <v>0</v>
      </c>
      <c r="CN205" s="229">
        <v>5.7099999999999998E-2</v>
      </c>
      <c r="CO205" s="228">
        <v>751</v>
      </c>
      <c r="CP205" s="228">
        <v>659</v>
      </c>
      <c r="CQ205" s="228">
        <v>92</v>
      </c>
      <c r="CR205" s="229">
        <v>0.13969999999999999</v>
      </c>
      <c r="CS205" s="228">
        <v>501</v>
      </c>
      <c r="CT205" s="228">
        <v>499</v>
      </c>
      <c r="CU205" s="228">
        <v>2</v>
      </c>
      <c r="CV205" s="229">
        <v>4.8999999999999998E-3</v>
      </c>
      <c r="CW205" s="230">
        <v>4597</v>
      </c>
      <c r="CX205" s="230">
        <v>4518</v>
      </c>
      <c r="CY205" s="228">
        <v>79</v>
      </c>
      <c r="CZ205" s="229">
        <v>1.7399999999999999E-2</v>
      </c>
      <c r="DA205" s="228">
        <v>25.89</v>
      </c>
      <c r="DB205" s="228">
        <v>25.42</v>
      </c>
      <c r="DC205" s="228">
        <v>0.47</v>
      </c>
      <c r="DD205" s="228">
        <v>0.47</v>
      </c>
      <c r="DE205" s="228">
        <v>31.34</v>
      </c>
      <c r="DF205" s="228">
        <v>31.42</v>
      </c>
      <c r="DG205" s="228">
        <v>-5.45</v>
      </c>
      <c r="DH205" s="228">
        <v>-0.08</v>
      </c>
      <c r="DI205" s="228">
        <v>25.92</v>
      </c>
      <c r="DJ205" s="228">
        <v>25.43</v>
      </c>
      <c r="DK205" s="228">
        <v>0.49</v>
      </c>
      <c r="DL205" s="228">
        <v>0.49</v>
      </c>
      <c r="DM205" s="228">
        <v>25.81</v>
      </c>
      <c r="DN205" s="228">
        <v>25.4</v>
      </c>
      <c r="DO205" s="228">
        <v>0.41</v>
      </c>
      <c r="DP205" s="228">
        <v>0.41</v>
      </c>
      <c r="DQ205" s="228">
        <v>0.67</v>
      </c>
      <c r="DR205" s="228">
        <v>0.76</v>
      </c>
      <c r="DS205" s="228">
        <v>-0.09</v>
      </c>
      <c r="DT205" s="229">
        <v>-0.11840000000000001</v>
      </c>
      <c r="DU205" s="231">
        <v>3600</v>
      </c>
      <c r="DV205" s="231">
        <v>3400</v>
      </c>
      <c r="DW205" s="228">
        <v>0.31</v>
      </c>
      <c r="DX205" s="228">
        <v>0.61</v>
      </c>
      <c r="DY205" s="228">
        <v>-0.3</v>
      </c>
      <c r="DZ205" s="229">
        <v>-0.49180000000000001</v>
      </c>
      <c r="EA205" s="229">
        <v>1.23E-2</v>
      </c>
      <c r="EB205" s="230">
        <v>109200</v>
      </c>
      <c r="EC205" s="229">
        <v>5.5999999999999999E-3</v>
      </c>
      <c r="ED205" s="229">
        <v>1.23E-2</v>
      </c>
      <c r="EE205" s="228">
        <v>17.7</v>
      </c>
      <c r="EF205" s="229">
        <v>5.0000000000000001E-3</v>
      </c>
      <c r="EG205" s="230">
        <v>175571</v>
      </c>
      <c r="EH205" s="230">
        <v>263417</v>
      </c>
      <c r="EI205" s="229">
        <v>-0.33350000000000002</v>
      </c>
      <c r="EJ205" s="229">
        <v>0.53879999999999995</v>
      </c>
      <c r="EK205" s="231">
        <v>1131.53</v>
      </c>
      <c r="EL205" s="228">
        <v>325.23</v>
      </c>
      <c r="EM205" s="228">
        <v>230.4</v>
      </c>
      <c r="EN205" s="228">
        <v>23.98</v>
      </c>
      <c r="EO205" s="231">
        <v>1687.16</v>
      </c>
      <c r="EP205" s="231">
        <v>1126.75</v>
      </c>
      <c r="EQ205" s="228">
        <v>560.41</v>
      </c>
      <c r="ER205" s="229">
        <v>0.49740000000000001</v>
      </c>
      <c r="ES205" s="228">
        <v>770.87</v>
      </c>
      <c r="ET205" s="228">
        <v>475.11</v>
      </c>
      <c r="EU205" s="231">
        <v>3345.15</v>
      </c>
      <c r="EV205" s="231">
        <v>35369445</v>
      </c>
      <c r="EW205" s="231">
        <v>4591.13</v>
      </c>
      <c r="EX205" s="231">
        <v>4501.6400000000003</v>
      </c>
      <c r="EY205" s="228">
        <v>89.49</v>
      </c>
      <c r="EZ205" s="229">
        <v>1.9900000000000001E-2</v>
      </c>
      <c r="FA205" s="229">
        <v>0.37080000000000002</v>
      </c>
      <c r="FB205" s="227" t="s">
        <v>556</v>
      </c>
      <c r="FC205">
        <f t="shared" si="4"/>
        <v>0</v>
      </c>
    </row>
    <row r="206" spans="1:159" ht="17.25" thickBot="1" x14ac:dyDescent="0.3">
      <c r="A206" s="226">
        <v>45940</v>
      </c>
      <c r="B206" s="227" t="s">
        <v>157</v>
      </c>
      <c r="C206" s="227" t="s">
        <v>302</v>
      </c>
      <c r="D206" s="228">
        <v>50</v>
      </c>
      <c r="E206" s="228">
        <v>18</v>
      </c>
      <c r="F206" s="231">
        <v>12315</v>
      </c>
      <c r="G206" s="231">
        <v>12225</v>
      </c>
      <c r="H206" s="228">
        <v>90</v>
      </c>
      <c r="I206" s="229">
        <v>7.4000000000000003E-3</v>
      </c>
      <c r="J206" s="231">
        <v>12281</v>
      </c>
      <c r="K206" s="231">
        <v>12192</v>
      </c>
      <c r="L206" s="228">
        <v>89</v>
      </c>
      <c r="M206" s="229">
        <v>7.3000000000000001E-3</v>
      </c>
      <c r="N206" s="231">
        <v>12315</v>
      </c>
      <c r="O206" s="231">
        <v>12225</v>
      </c>
      <c r="P206" s="228">
        <v>90</v>
      </c>
      <c r="Q206" s="229">
        <v>7.4000000000000003E-3</v>
      </c>
      <c r="R206" s="231">
        <v>12383</v>
      </c>
      <c r="S206" s="231">
        <v>12293</v>
      </c>
      <c r="T206" s="228">
        <v>90</v>
      </c>
      <c r="U206" s="229">
        <v>7.3000000000000001E-3</v>
      </c>
      <c r="V206" s="231">
        <v>12458</v>
      </c>
      <c r="W206" s="231">
        <v>12356</v>
      </c>
      <c r="X206" s="228">
        <v>102</v>
      </c>
      <c r="Y206" s="229">
        <v>8.3000000000000001E-3</v>
      </c>
      <c r="Z206" s="228">
        <v>34</v>
      </c>
      <c r="AA206" s="228">
        <v>33</v>
      </c>
      <c r="AB206" s="228">
        <v>1</v>
      </c>
      <c r="AC206" s="229">
        <v>2.8E-3</v>
      </c>
      <c r="AD206" s="228">
        <v>34</v>
      </c>
      <c r="AE206" s="228">
        <v>33</v>
      </c>
      <c r="AF206" s="228">
        <v>1</v>
      </c>
      <c r="AG206" s="229">
        <v>2.8E-3</v>
      </c>
      <c r="AH206" s="228">
        <v>102</v>
      </c>
      <c r="AI206" s="228">
        <v>101</v>
      </c>
      <c r="AJ206" s="228">
        <v>1</v>
      </c>
      <c r="AK206" s="229">
        <v>8.3000000000000001E-3</v>
      </c>
      <c r="AL206" s="228">
        <v>177</v>
      </c>
      <c r="AM206" s="228">
        <v>164</v>
      </c>
      <c r="AN206" s="228">
        <v>13</v>
      </c>
      <c r="AO206" s="229">
        <v>1.44E-2</v>
      </c>
      <c r="AP206" s="231">
        <v>12311.82</v>
      </c>
      <c r="AQ206" s="231">
        <v>12374.8</v>
      </c>
      <c r="AR206" s="228">
        <v>0</v>
      </c>
      <c r="AS206" s="228">
        <v>238</v>
      </c>
      <c r="AT206" s="228">
        <v>252</v>
      </c>
      <c r="AU206" s="228">
        <v>-13</v>
      </c>
      <c r="AV206" s="229">
        <v>-5.3499999999999999E-2</v>
      </c>
      <c r="AW206" s="228">
        <v>216</v>
      </c>
      <c r="AX206" s="228">
        <v>238</v>
      </c>
      <c r="AY206" s="228">
        <v>-22</v>
      </c>
      <c r="AZ206" s="229">
        <v>-9.1700000000000004E-2</v>
      </c>
      <c r="BA206" s="228">
        <v>17</v>
      </c>
      <c r="BB206" s="228">
        <v>12</v>
      </c>
      <c r="BC206" s="228">
        <v>5</v>
      </c>
      <c r="BD206" s="229">
        <v>0.45029999999999998</v>
      </c>
      <c r="BE206" s="228">
        <v>5</v>
      </c>
      <c r="BF206" s="228">
        <v>2</v>
      </c>
      <c r="BG206" s="228">
        <v>3</v>
      </c>
      <c r="BH206" s="229">
        <v>1.7857000000000001</v>
      </c>
      <c r="BI206" s="230">
        <v>1052</v>
      </c>
      <c r="BJ206" s="228">
        <v>862</v>
      </c>
      <c r="BK206" s="228">
        <v>190</v>
      </c>
      <c r="BL206" s="229">
        <v>0.2198</v>
      </c>
      <c r="BM206" s="228">
        <v>520</v>
      </c>
      <c r="BN206" s="228">
        <v>444</v>
      </c>
      <c r="BO206" s="228">
        <v>76</v>
      </c>
      <c r="BP206" s="229">
        <v>0.17100000000000001</v>
      </c>
      <c r="BQ206" s="230">
        <v>1810</v>
      </c>
      <c r="BR206" s="230">
        <v>1558</v>
      </c>
      <c r="BS206" s="228">
        <v>252</v>
      </c>
      <c r="BT206" s="229">
        <v>0.16170000000000001</v>
      </c>
      <c r="BU206" s="230">
        <v>201512</v>
      </c>
      <c r="BV206" s="230">
        <v>175072</v>
      </c>
      <c r="BW206" s="230">
        <v>26440</v>
      </c>
      <c r="BX206" s="229">
        <v>0.151</v>
      </c>
      <c r="BY206" s="230">
        <v>2871</v>
      </c>
      <c r="BZ206" s="230">
        <v>2896</v>
      </c>
      <c r="CA206" s="228">
        <v>-25</v>
      </c>
      <c r="CB206" s="229">
        <v>-8.6E-3</v>
      </c>
      <c r="CC206" s="230">
        <v>2827</v>
      </c>
      <c r="CD206" s="230">
        <v>2860</v>
      </c>
      <c r="CE206" s="228">
        <v>-33</v>
      </c>
      <c r="CF206" s="229">
        <v>-1.1599999999999999E-2</v>
      </c>
      <c r="CG206" s="228">
        <v>37</v>
      </c>
      <c r="CH206" s="228">
        <v>32</v>
      </c>
      <c r="CI206" s="228">
        <v>4</v>
      </c>
      <c r="CJ206" s="229">
        <v>0.13600000000000001</v>
      </c>
      <c r="CK206" s="228">
        <v>7</v>
      </c>
      <c r="CL206" s="228">
        <v>3</v>
      </c>
      <c r="CM206" s="228">
        <v>4</v>
      </c>
      <c r="CN206" s="229">
        <v>1.1922999999999999</v>
      </c>
      <c r="CO206" s="228">
        <v>774</v>
      </c>
      <c r="CP206" s="228">
        <v>810</v>
      </c>
      <c r="CQ206" s="228">
        <v>-36</v>
      </c>
      <c r="CR206" s="229">
        <v>-4.4999999999999998E-2</v>
      </c>
      <c r="CS206" s="228">
        <v>507</v>
      </c>
      <c r="CT206" s="228">
        <v>516</v>
      </c>
      <c r="CU206" s="228">
        <v>-9</v>
      </c>
      <c r="CV206" s="229">
        <v>-1.7299999999999999E-2</v>
      </c>
      <c r="CW206" s="230">
        <v>4152</v>
      </c>
      <c r="CX206" s="230">
        <v>4222</v>
      </c>
      <c r="CY206" s="228">
        <v>-70</v>
      </c>
      <c r="CZ206" s="229">
        <v>-1.67E-2</v>
      </c>
      <c r="DA206" s="228">
        <v>20.45</v>
      </c>
      <c r="DB206" s="228">
        <v>20.76</v>
      </c>
      <c r="DC206" s="228">
        <v>-0.31</v>
      </c>
      <c r="DD206" s="228">
        <v>-0.31</v>
      </c>
      <c r="DE206" s="228">
        <v>25.49</v>
      </c>
      <c r="DF206" s="228">
        <v>25.54</v>
      </c>
      <c r="DG206" s="228">
        <v>-5.04</v>
      </c>
      <c r="DH206" s="228">
        <v>-0.05</v>
      </c>
      <c r="DI206" s="228">
        <v>20.2</v>
      </c>
      <c r="DJ206" s="228">
        <v>20.440000000000001</v>
      </c>
      <c r="DK206" s="228">
        <v>-0.24</v>
      </c>
      <c r="DL206" s="228">
        <v>-0.24</v>
      </c>
      <c r="DM206" s="228">
        <v>20.96</v>
      </c>
      <c r="DN206" s="228">
        <v>21.39</v>
      </c>
      <c r="DO206" s="228">
        <v>-0.43</v>
      </c>
      <c r="DP206" s="228">
        <v>-0.43</v>
      </c>
      <c r="DQ206" s="228">
        <v>0.66</v>
      </c>
      <c r="DR206" s="228">
        <v>0.64</v>
      </c>
      <c r="DS206" s="228">
        <v>0.02</v>
      </c>
      <c r="DT206" s="229">
        <v>3.1300000000000001E-2</v>
      </c>
      <c r="DU206" s="231">
        <v>13000</v>
      </c>
      <c r="DV206" s="231">
        <v>12000</v>
      </c>
      <c r="DW206" s="228">
        <v>0.49</v>
      </c>
      <c r="DX206" s="228">
        <v>0.51</v>
      </c>
      <c r="DY206" s="228">
        <v>-0.02</v>
      </c>
      <c r="DZ206" s="229">
        <v>-3.9199999999999999E-2</v>
      </c>
      <c r="EA206" s="229">
        <v>1.52E-2</v>
      </c>
      <c r="EB206" s="230">
        <v>28700</v>
      </c>
      <c r="EC206" s="229">
        <v>5.4999999999999997E-3</v>
      </c>
      <c r="ED206" s="229">
        <v>1.52E-2</v>
      </c>
      <c r="EE206" s="228">
        <v>62.98</v>
      </c>
      <c r="EF206" s="229">
        <v>5.1000000000000004E-3</v>
      </c>
      <c r="EG206" s="230">
        <v>138635</v>
      </c>
      <c r="EH206" s="230">
        <v>106261</v>
      </c>
      <c r="EI206" s="229">
        <v>0.30470000000000003</v>
      </c>
      <c r="EJ206" s="229">
        <v>0.68799999999999994</v>
      </c>
      <c r="EK206" s="231">
        <v>1085.56</v>
      </c>
      <c r="EL206" s="228">
        <v>501.94</v>
      </c>
      <c r="EM206" s="228">
        <v>238.44</v>
      </c>
      <c r="EN206" s="228">
        <v>44.58</v>
      </c>
      <c r="EO206" s="231">
        <v>1825.94</v>
      </c>
      <c r="EP206" s="231">
        <v>1549.02</v>
      </c>
      <c r="EQ206" s="228">
        <v>276.92</v>
      </c>
      <c r="ER206" s="229">
        <v>0.17879999999999999</v>
      </c>
      <c r="ES206" s="228">
        <v>803.45</v>
      </c>
      <c r="ET206" s="228">
        <v>483.21</v>
      </c>
      <c r="EU206" s="231">
        <v>2871.09</v>
      </c>
      <c r="EV206" s="231">
        <v>11962066</v>
      </c>
      <c r="EW206" s="231">
        <v>4157.75</v>
      </c>
      <c r="EX206" s="231">
        <v>4206.28</v>
      </c>
      <c r="EY206" s="228">
        <v>-48.53</v>
      </c>
      <c r="EZ206" s="229">
        <v>-1.15E-2</v>
      </c>
      <c r="FA206" s="229">
        <v>0.28179999999999999</v>
      </c>
      <c r="FB206" s="227" t="s">
        <v>556</v>
      </c>
      <c r="FC206">
        <f t="shared" si="4"/>
        <v>0</v>
      </c>
    </row>
    <row r="207" spans="1:159" ht="17.25" thickBot="1" x14ac:dyDescent="0.3">
      <c r="A207" s="226">
        <v>45940</v>
      </c>
      <c r="B207" s="227" t="s">
        <v>172</v>
      </c>
      <c r="C207" s="227" t="s">
        <v>594</v>
      </c>
      <c r="D207" s="228">
        <v>4425</v>
      </c>
      <c r="E207" s="228">
        <v>18</v>
      </c>
      <c r="F207" s="228">
        <v>139.91999999999999</v>
      </c>
      <c r="G207" s="228">
        <v>138.47999999999999</v>
      </c>
      <c r="H207" s="228">
        <v>1.44</v>
      </c>
      <c r="I207" s="229">
        <v>1.04E-2</v>
      </c>
      <c r="J207" s="228">
        <v>139.27000000000001</v>
      </c>
      <c r="K207" s="228">
        <v>137.83000000000001</v>
      </c>
      <c r="L207" s="228">
        <v>1.44</v>
      </c>
      <c r="M207" s="229">
        <v>1.04E-2</v>
      </c>
      <c r="N207" s="228">
        <v>139.91999999999999</v>
      </c>
      <c r="O207" s="228">
        <v>138.47999999999999</v>
      </c>
      <c r="P207" s="228">
        <v>1.44</v>
      </c>
      <c r="Q207" s="229">
        <v>1.04E-2</v>
      </c>
      <c r="R207" s="228">
        <v>140.68</v>
      </c>
      <c r="S207" s="228">
        <v>139.26</v>
      </c>
      <c r="T207" s="228">
        <v>1.42</v>
      </c>
      <c r="U207" s="229">
        <v>1.0200000000000001E-2</v>
      </c>
      <c r="V207" s="228">
        <v>141.49</v>
      </c>
      <c r="W207" s="228">
        <v>139.86000000000001</v>
      </c>
      <c r="X207" s="228">
        <v>1.63</v>
      </c>
      <c r="Y207" s="229">
        <v>1.17E-2</v>
      </c>
      <c r="Z207" s="228">
        <v>0.65</v>
      </c>
      <c r="AA207" s="228">
        <v>0.65</v>
      </c>
      <c r="AB207" s="228">
        <v>0</v>
      </c>
      <c r="AC207" s="229">
        <v>4.7000000000000002E-3</v>
      </c>
      <c r="AD207" s="228">
        <v>0.65</v>
      </c>
      <c r="AE207" s="228">
        <v>0.65</v>
      </c>
      <c r="AF207" s="228">
        <v>0</v>
      </c>
      <c r="AG207" s="229">
        <v>4.7000000000000002E-3</v>
      </c>
      <c r="AH207" s="228">
        <v>1.41</v>
      </c>
      <c r="AI207" s="228">
        <v>1.43</v>
      </c>
      <c r="AJ207" s="228">
        <v>-0.02</v>
      </c>
      <c r="AK207" s="229">
        <v>1.01E-2</v>
      </c>
      <c r="AL207" s="228">
        <v>2.2200000000000002</v>
      </c>
      <c r="AM207" s="228">
        <v>2.0299999999999998</v>
      </c>
      <c r="AN207" s="228">
        <v>0.19</v>
      </c>
      <c r="AO207" s="229">
        <v>1.5900000000000001E-2</v>
      </c>
      <c r="AP207" s="228">
        <v>139.91</v>
      </c>
      <c r="AQ207" s="228">
        <v>140.65</v>
      </c>
      <c r="AR207" s="228">
        <v>0</v>
      </c>
      <c r="AS207" s="228">
        <v>258</v>
      </c>
      <c r="AT207" s="228">
        <v>205</v>
      </c>
      <c r="AU207" s="228">
        <v>53</v>
      </c>
      <c r="AV207" s="229">
        <v>0.25679999999999997</v>
      </c>
      <c r="AW207" s="228">
        <v>235</v>
      </c>
      <c r="AX207" s="228">
        <v>188</v>
      </c>
      <c r="AY207" s="228">
        <v>47</v>
      </c>
      <c r="AZ207" s="229">
        <v>0.251</v>
      </c>
      <c r="BA207" s="228">
        <v>20</v>
      </c>
      <c r="BB207" s="228">
        <v>14</v>
      </c>
      <c r="BC207" s="228">
        <v>6</v>
      </c>
      <c r="BD207" s="229">
        <v>0.41920000000000002</v>
      </c>
      <c r="BE207" s="228">
        <v>2</v>
      </c>
      <c r="BF207" s="228">
        <v>3</v>
      </c>
      <c r="BG207" s="228">
        <v>0</v>
      </c>
      <c r="BH207" s="229">
        <v>-0.17780000000000001</v>
      </c>
      <c r="BI207" s="228">
        <v>649</v>
      </c>
      <c r="BJ207" s="228">
        <v>304</v>
      </c>
      <c r="BK207" s="228">
        <v>345</v>
      </c>
      <c r="BL207" s="229">
        <v>1.1319999999999999</v>
      </c>
      <c r="BM207" s="228">
        <v>185</v>
      </c>
      <c r="BN207" s="228">
        <v>121</v>
      </c>
      <c r="BO207" s="228">
        <v>65</v>
      </c>
      <c r="BP207" s="229">
        <v>0.53539999999999999</v>
      </c>
      <c r="BQ207" s="230">
        <v>1092</v>
      </c>
      <c r="BR207" s="228">
        <v>630</v>
      </c>
      <c r="BS207" s="228">
        <v>462</v>
      </c>
      <c r="BT207" s="229">
        <v>0.73299999999999998</v>
      </c>
      <c r="BU207" s="230">
        <v>8243298</v>
      </c>
      <c r="BV207" s="230">
        <v>7655186</v>
      </c>
      <c r="BW207" s="230">
        <v>588112</v>
      </c>
      <c r="BX207" s="229">
        <v>7.6799999999999993E-2</v>
      </c>
      <c r="BY207" s="230">
        <v>1213</v>
      </c>
      <c r="BZ207" s="230">
        <v>1243</v>
      </c>
      <c r="CA207" s="228">
        <v>-29</v>
      </c>
      <c r="CB207" s="229">
        <v>-2.3599999999999999E-2</v>
      </c>
      <c r="CC207" s="230">
        <v>1165</v>
      </c>
      <c r="CD207" s="230">
        <v>1199</v>
      </c>
      <c r="CE207" s="228">
        <v>-34</v>
      </c>
      <c r="CF207" s="229">
        <v>-2.8000000000000001E-2</v>
      </c>
      <c r="CG207" s="228">
        <v>44</v>
      </c>
      <c r="CH207" s="228">
        <v>39</v>
      </c>
      <c r="CI207" s="228">
        <v>4</v>
      </c>
      <c r="CJ207" s="229">
        <v>0.1116</v>
      </c>
      <c r="CK207" s="228">
        <v>4</v>
      </c>
      <c r="CL207" s="228">
        <v>5</v>
      </c>
      <c r="CM207" s="228">
        <v>0</v>
      </c>
      <c r="CN207" s="229">
        <v>-4.0500000000000001E-2</v>
      </c>
      <c r="CO207" s="228">
        <v>438</v>
      </c>
      <c r="CP207" s="228">
        <v>366</v>
      </c>
      <c r="CQ207" s="228">
        <v>72</v>
      </c>
      <c r="CR207" s="229">
        <v>0.19739999999999999</v>
      </c>
      <c r="CS207" s="228">
        <v>258</v>
      </c>
      <c r="CT207" s="228">
        <v>240</v>
      </c>
      <c r="CU207" s="228">
        <v>18</v>
      </c>
      <c r="CV207" s="229">
        <v>7.5300000000000006E-2</v>
      </c>
      <c r="CW207" s="230">
        <v>1910</v>
      </c>
      <c r="CX207" s="230">
        <v>1849</v>
      </c>
      <c r="CY207" s="228">
        <v>61</v>
      </c>
      <c r="CZ207" s="229">
        <v>3.3000000000000002E-2</v>
      </c>
      <c r="DA207" s="228">
        <v>31.54</v>
      </c>
      <c r="DB207" s="228">
        <v>31.68</v>
      </c>
      <c r="DC207" s="228">
        <v>-0.14000000000000001</v>
      </c>
      <c r="DD207" s="228">
        <v>-0.14000000000000001</v>
      </c>
      <c r="DE207" s="228">
        <v>42.78</v>
      </c>
      <c r="DF207" s="228">
        <v>42.87</v>
      </c>
      <c r="DG207" s="228">
        <v>-11.24</v>
      </c>
      <c r="DH207" s="228">
        <v>-0.09</v>
      </c>
      <c r="DI207" s="228">
        <v>31.65</v>
      </c>
      <c r="DJ207" s="228">
        <v>31.93</v>
      </c>
      <c r="DK207" s="228">
        <v>-0.28000000000000003</v>
      </c>
      <c r="DL207" s="228">
        <v>-0.28000000000000003</v>
      </c>
      <c r="DM207" s="228">
        <v>31.18</v>
      </c>
      <c r="DN207" s="228">
        <v>31.05</v>
      </c>
      <c r="DO207" s="228">
        <v>0.13</v>
      </c>
      <c r="DP207" s="228">
        <v>0.13</v>
      </c>
      <c r="DQ207" s="228">
        <v>0.59</v>
      </c>
      <c r="DR207" s="228">
        <v>0.66</v>
      </c>
      <c r="DS207" s="228">
        <v>-7.0000000000000007E-2</v>
      </c>
      <c r="DT207" s="229">
        <v>-0.1061</v>
      </c>
      <c r="DU207" s="228">
        <v>140</v>
      </c>
      <c r="DV207" s="228">
        <v>140</v>
      </c>
      <c r="DW207" s="228">
        <v>0.28999999999999998</v>
      </c>
      <c r="DX207" s="228">
        <v>0.4</v>
      </c>
      <c r="DY207" s="228">
        <v>-0.11</v>
      </c>
      <c r="DZ207" s="229">
        <v>-0.27500000000000002</v>
      </c>
      <c r="EA207" s="229">
        <v>3.9699999999999999E-2</v>
      </c>
      <c r="EB207" s="230">
        <v>3141750</v>
      </c>
      <c r="EC207" s="229">
        <v>5.4000000000000003E-3</v>
      </c>
      <c r="ED207" s="229">
        <v>3.9699999999999999E-2</v>
      </c>
      <c r="EE207" s="228">
        <v>0.74</v>
      </c>
      <c r="EF207" s="229">
        <v>5.3E-3</v>
      </c>
      <c r="EG207" s="230">
        <v>2817652</v>
      </c>
      <c r="EH207" s="230">
        <v>3611463</v>
      </c>
      <c r="EI207" s="229">
        <v>-0.2198</v>
      </c>
      <c r="EJ207" s="229">
        <v>0.34179999999999999</v>
      </c>
      <c r="EK207" s="228">
        <v>676.57</v>
      </c>
      <c r="EL207" s="228">
        <v>184.73</v>
      </c>
      <c r="EM207" s="228">
        <v>257.69</v>
      </c>
      <c r="EN207" s="228">
        <v>43.32</v>
      </c>
      <c r="EO207" s="231">
        <v>1119</v>
      </c>
      <c r="EP207" s="228">
        <v>636.80999999999995</v>
      </c>
      <c r="EQ207" s="228">
        <v>482.19</v>
      </c>
      <c r="ER207" s="229">
        <v>0.75719999999999998</v>
      </c>
      <c r="ES207" s="228">
        <v>450.81</v>
      </c>
      <c r="ET207" s="228">
        <v>249.84</v>
      </c>
      <c r="EU207" s="231">
        <v>1213.75</v>
      </c>
      <c r="EV207" s="231">
        <v>289041713</v>
      </c>
      <c r="EW207" s="231">
        <v>1914.4</v>
      </c>
      <c r="EX207" s="231">
        <v>1838.85</v>
      </c>
      <c r="EY207" s="228">
        <v>75.55</v>
      </c>
      <c r="EZ207" s="229">
        <v>4.1099999999999998E-2</v>
      </c>
      <c r="FA207" s="229">
        <v>0.4723</v>
      </c>
      <c r="FB207" s="227" t="s">
        <v>556</v>
      </c>
      <c r="FC207">
        <f t="shared" si="4"/>
        <v>0</v>
      </c>
    </row>
    <row r="208" spans="1:159" ht="17.25" thickBot="1" x14ac:dyDescent="0.3">
      <c r="A208" s="226">
        <v>45940</v>
      </c>
      <c r="B208" s="227" t="s">
        <v>168</v>
      </c>
      <c r="C208" s="227" t="s">
        <v>569</v>
      </c>
      <c r="D208" s="228">
        <v>400</v>
      </c>
      <c r="E208" s="228">
        <v>18</v>
      </c>
      <c r="F208" s="231">
        <v>1343.8</v>
      </c>
      <c r="G208" s="231">
        <v>1345.4</v>
      </c>
      <c r="H208" s="228">
        <v>-1.6</v>
      </c>
      <c r="I208" s="229">
        <v>-1.1999999999999999E-3</v>
      </c>
      <c r="J208" s="231">
        <v>1337</v>
      </c>
      <c r="K208" s="231">
        <v>1337.6</v>
      </c>
      <c r="L208" s="228">
        <v>-0.6</v>
      </c>
      <c r="M208" s="229">
        <v>-4.0000000000000002E-4</v>
      </c>
      <c r="N208" s="231">
        <v>1343.8</v>
      </c>
      <c r="O208" s="231">
        <v>1345.4</v>
      </c>
      <c r="P208" s="228">
        <v>-1.6</v>
      </c>
      <c r="Q208" s="229">
        <v>-1.1999999999999999E-3</v>
      </c>
      <c r="R208" s="231">
        <v>1351</v>
      </c>
      <c r="S208" s="231">
        <v>1351.2</v>
      </c>
      <c r="T208" s="228">
        <v>-0.2</v>
      </c>
      <c r="U208" s="229">
        <v>-1E-4</v>
      </c>
      <c r="V208" s="231">
        <v>1358.6</v>
      </c>
      <c r="W208" s="231">
        <v>1358.5</v>
      </c>
      <c r="X208" s="228">
        <v>0.1</v>
      </c>
      <c r="Y208" s="229">
        <v>1E-4</v>
      </c>
      <c r="Z208" s="228">
        <v>6.8</v>
      </c>
      <c r="AA208" s="228">
        <v>7.8</v>
      </c>
      <c r="AB208" s="228">
        <v>-1</v>
      </c>
      <c r="AC208" s="229">
        <v>5.1000000000000004E-3</v>
      </c>
      <c r="AD208" s="228">
        <v>6.8</v>
      </c>
      <c r="AE208" s="228">
        <v>7.8</v>
      </c>
      <c r="AF208" s="228">
        <v>-1</v>
      </c>
      <c r="AG208" s="229">
        <v>5.1000000000000004E-3</v>
      </c>
      <c r="AH208" s="228">
        <v>14</v>
      </c>
      <c r="AI208" s="228">
        <v>13.6</v>
      </c>
      <c r="AJ208" s="228">
        <v>0.4</v>
      </c>
      <c r="AK208" s="229">
        <v>1.0500000000000001E-2</v>
      </c>
      <c r="AL208" s="228">
        <v>21.6</v>
      </c>
      <c r="AM208" s="228">
        <v>20.9</v>
      </c>
      <c r="AN208" s="228">
        <v>0.7</v>
      </c>
      <c r="AO208" s="229">
        <v>1.6199999999999999E-2</v>
      </c>
      <c r="AP208" s="231">
        <v>1345.95</v>
      </c>
      <c r="AQ208" s="231">
        <v>1353.95</v>
      </c>
      <c r="AR208" s="228">
        <v>0</v>
      </c>
      <c r="AS208" s="228">
        <v>148</v>
      </c>
      <c r="AT208" s="228">
        <v>185</v>
      </c>
      <c r="AU208" s="228">
        <v>-37</v>
      </c>
      <c r="AV208" s="229">
        <v>-0.19850000000000001</v>
      </c>
      <c r="AW208" s="228">
        <v>133</v>
      </c>
      <c r="AX208" s="228">
        <v>167</v>
      </c>
      <c r="AY208" s="228">
        <v>-34</v>
      </c>
      <c r="AZ208" s="229">
        <v>-0.2041</v>
      </c>
      <c r="BA208" s="228">
        <v>14</v>
      </c>
      <c r="BB208" s="228">
        <v>16</v>
      </c>
      <c r="BC208" s="228">
        <v>-2</v>
      </c>
      <c r="BD208" s="229">
        <v>-0.12620000000000001</v>
      </c>
      <c r="BE208" s="228">
        <v>1</v>
      </c>
      <c r="BF208" s="228">
        <v>2</v>
      </c>
      <c r="BG208" s="228">
        <v>-1</v>
      </c>
      <c r="BH208" s="229">
        <v>-0.31580000000000003</v>
      </c>
      <c r="BI208" s="228">
        <v>412</v>
      </c>
      <c r="BJ208" s="228">
        <v>320</v>
      </c>
      <c r="BK208" s="228">
        <v>93</v>
      </c>
      <c r="BL208" s="229">
        <v>0.28960000000000002</v>
      </c>
      <c r="BM208" s="228">
        <v>118</v>
      </c>
      <c r="BN208" s="228">
        <v>88</v>
      </c>
      <c r="BO208" s="228">
        <v>30</v>
      </c>
      <c r="BP208" s="229">
        <v>0.33779999999999999</v>
      </c>
      <c r="BQ208" s="228">
        <v>678</v>
      </c>
      <c r="BR208" s="228">
        <v>593</v>
      </c>
      <c r="BS208" s="228">
        <v>86</v>
      </c>
      <c r="BT208" s="229">
        <v>0.14419999999999999</v>
      </c>
      <c r="BU208" s="230">
        <v>948889</v>
      </c>
      <c r="BV208" s="230">
        <v>897184</v>
      </c>
      <c r="BW208" s="230">
        <v>51705</v>
      </c>
      <c r="BX208" s="229">
        <v>5.7599999999999998E-2</v>
      </c>
      <c r="BY208" s="230">
        <v>1843</v>
      </c>
      <c r="BZ208" s="230">
        <v>1865</v>
      </c>
      <c r="CA208" s="228">
        <v>-22</v>
      </c>
      <c r="CB208" s="229">
        <v>-1.17E-2</v>
      </c>
      <c r="CC208" s="230">
        <v>1786</v>
      </c>
      <c r="CD208" s="230">
        <v>1812</v>
      </c>
      <c r="CE208" s="228">
        <v>-26</v>
      </c>
      <c r="CF208" s="229">
        <v>-1.4200000000000001E-2</v>
      </c>
      <c r="CG208" s="228">
        <v>52</v>
      </c>
      <c r="CH208" s="228">
        <v>49</v>
      </c>
      <c r="CI208" s="228">
        <v>3</v>
      </c>
      <c r="CJ208" s="229">
        <v>6.5699999999999995E-2</v>
      </c>
      <c r="CK208" s="228">
        <v>4</v>
      </c>
      <c r="CL208" s="228">
        <v>4</v>
      </c>
      <c r="CM208" s="228">
        <v>1</v>
      </c>
      <c r="CN208" s="229">
        <v>0.15279999999999999</v>
      </c>
      <c r="CO208" s="228">
        <v>525</v>
      </c>
      <c r="CP208" s="228">
        <v>531</v>
      </c>
      <c r="CQ208" s="228">
        <v>-7</v>
      </c>
      <c r="CR208" s="229">
        <v>-1.2200000000000001E-2</v>
      </c>
      <c r="CS208" s="228">
        <v>348</v>
      </c>
      <c r="CT208" s="228">
        <v>327</v>
      </c>
      <c r="CU208" s="228">
        <v>21</v>
      </c>
      <c r="CV208" s="229">
        <v>6.4000000000000001E-2</v>
      </c>
      <c r="CW208" s="230">
        <v>2715</v>
      </c>
      <c r="CX208" s="230">
        <v>2723</v>
      </c>
      <c r="CY208" s="228">
        <v>-7</v>
      </c>
      <c r="CZ208" s="229">
        <v>-2.7000000000000001E-3</v>
      </c>
      <c r="DA208" s="228">
        <v>22.63</v>
      </c>
      <c r="DB208" s="228">
        <v>23.6</v>
      </c>
      <c r="DC208" s="228">
        <v>-0.97</v>
      </c>
      <c r="DD208" s="228">
        <v>-0.97</v>
      </c>
      <c r="DE208" s="228">
        <v>28.18</v>
      </c>
      <c r="DF208" s="228">
        <v>28.25</v>
      </c>
      <c r="DG208" s="228">
        <v>-5.55</v>
      </c>
      <c r="DH208" s="228">
        <v>-7.0000000000000007E-2</v>
      </c>
      <c r="DI208" s="228">
        <v>22.8</v>
      </c>
      <c r="DJ208" s="228">
        <v>23.79</v>
      </c>
      <c r="DK208" s="228">
        <v>-0.99</v>
      </c>
      <c r="DL208" s="228">
        <v>-0.99</v>
      </c>
      <c r="DM208" s="228">
        <v>22.01</v>
      </c>
      <c r="DN208" s="228">
        <v>22.91</v>
      </c>
      <c r="DO208" s="228">
        <v>-0.9</v>
      </c>
      <c r="DP208" s="228">
        <v>-0.9</v>
      </c>
      <c r="DQ208" s="228">
        <v>0.66</v>
      </c>
      <c r="DR208" s="228">
        <v>0.61</v>
      </c>
      <c r="DS208" s="228">
        <v>0.05</v>
      </c>
      <c r="DT208" s="229">
        <v>8.2000000000000003E-2</v>
      </c>
      <c r="DU208" s="231">
        <v>1400</v>
      </c>
      <c r="DV208" s="231">
        <v>1340</v>
      </c>
      <c r="DW208" s="228">
        <v>0.28999999999999998</v>
      </c>
      <c r="DX208" s="228">
        <v>0.28000000000000003</v>
      </c>
      <c r="DY208" s="228">
        <v>0.01</v>
      </c>
      <c r="DZ208" s="229">
        <v>3.5700000000000003E-2</v>
      </c>
      <c r="EA208" s="229">
        <v>3.0800000000000001E-2</v>
      </c>
      <c r="EB208" s="230">
        <v>394000</v>
      </c>
      <c r="EC208" s="229">
        <v>5.4000000000000003E-3</v>
      </c>
      <c r="ED208" s="229">
        <v>3.0800000000000001E-2</v>
      </c>
      <c r="EE208" s="228">
        <v>8</v>
      </c>
      <c r="EF208" s="229">
        <v>5.8999999999999999E-3</v>
      </c>
      <c r="EG208" s="230">
        <v>729034</v>
      </c>
      <c r="EH208" s="230">
        <v>635000</v>
      </c>
      <c r="EI208" s="229">
        <v>0.14810000000000001</v>
      </c>
      <c r="EJ208" s="229">
        <v>0.76829999999999998</v>
      </c>
      <c r="EK208" s="228">
        <v>428.45</v>
      </c>
      <c r="EL208" s="228">
        <v>117.31</v>
      </c>
      <c r="EM208" s="228">
        <v>148.80000000000001</v>
      </c>
      <c r="EN208" s="228">
        <v>28.44</v>
      </c>
      <c r="EO208" s="228">
        <v>694.55</v>
      </c>
      <c r="EP208" s="228">
        <v>607.02</v>
      </c>
      <c r="EQ208" s="228">
        <v>87.53</v>
      </c>
      <c r="ER208" s="229">
        <v>0.14419999999999999</v>
      </c>
      <c r="ES208" s="228">
        <v>548.09</v>
      </c>
      <c r="ET208" s="228">
        <v>349.76</v>
      </c>
      <c r="EU208" s="231">
        <v>1843.16</v>
      </c>
      <c r="EV208" s="231">
        <v>47269416</v>
      </c>
      <c r="EW208" s="231">
        <v>2741.02</v>
      </c>
      <c r="EX208" s="231">
        <v>2751.08</v>
      </c>
      <c r="EY208" s="228">
        <v>-10.06</v>
      </c>
      <c r="EZ208" s="229">
        <v>-3.7000000000000002E-3</v>
      </c>
      <c r="FA208" s="229">
        <v>0.42749999999999999</v>
      </c>
      <c r="FB208" s="227" t="s">
        <v>568</v>
      </c>
      <c r="FC208">
        <f t="shared" si="4"/>
        <v>0</v>
      </c>
    </row>
    <row r="209" spans="1:159" ht="17.25" thickBot="1" x14ac:dyDescent="0.3">
      <c r="A209" s="226">
        <v>45940</v>
      </c>
      <c r="B209" s="227" t="s">
        <v>162</v>
      </c>
      <c r="C209" s="227" t="s">
        <v>676</v>
      </c>
      <c r="D209" s="228">
        <v>550</v>
      </c>
      <c r="E209" s="228">
        <v>18</v>
      </c>
      <c r="F209" s="231">
        <v>1226.2</v>
      </c>
      <c r="G209" s="231">
        <v>1257.5</v>
      </c>
      <c r="H209" s="228">
        <v>-31.3</v>
      </c>
      <c r="I209" s="229">
        <v>-2.4899999999999999E-2</v>
      </c>
      <c r="J209" s="231">
        <v>1219.8</v>
      </c>
      <c r="K209" s="231">
        <v>1260</v>
      </c>
      <c r="L209" s="228">
        <v>-40.200000000000003</v>
      </c>
      <c r="M209" s="229">
        <v>-3.1899999999999998E-2</v>
      </c>
      <c r="N209" s="231">
        <v>1226.2</v>
      </c>
      <c r="O209" s="231">
        <v>1257.5</v>
      </c>
      <c r="P209" s="228">
        <v>-31.3</v>
      </c>
      <c r="Q209" s="229">
        <v>-2.4899999999999999E-2</v>
      </c>
      <c r="R209" s="231">
        <v>1224.2</v>
      </c>
      <c r="S209" s="231">
        <v>1255</v>
      </c>
      <c r="T209" s="228">
        <v>-30.8</v>
      </c>
      <c r="U209" s="229">
        <v>-2.4500000000000001E-2</v>
      </c>
      <c r="V209" s="231">
        <v>1224.8</v>
      </c>
      <c r="W209" s="231">
        <v>1254.7</v>
      </c>
      <c r="X209" s="228">
        <v>-29.9</v>
      </c>
      <c r="Y209" s="229">
        <v>-2.3800000000000002E-2</v>
      </c>
      <c r="Z209" s="228">
        <v>6.4</v>
      </c>
      <c r="AA209" s="228">
        <v>-2.5</v>
      </c>
      <c r="AB209" s="228">
        <v>8.9</v>
      </c>
      <c r="AC209" s="229">
        <v>5.1999999999999998E-3</v>
      </c>
      <c r="AD209" s="228">
        <v>6.4</v>
      </c>
      <c r="AE209" s="228">
        <v>-2.5</v>
      </c>
      <c r="AF209" s="228">
        <v>8.9</v>
      </c>
      <c r="AG209" s="229">
        <v>5.1999999999999998E-3</v>
      </c>
      <c r="AH209" s="228">
        <v>4.4000000000000004</v>
      </c>
      <c r="AI209" s="228">
        <v>-5</v>
      </c>
      <c r="AJ209" s="228">
        <v>9.4</v>
      </c>
      <c r="AK209" s="229">
        <v>3.5999999999999999E-3</v>
      </c>
      <c r="AL209" s="228">
        <v>5</v>
      </c>
      <c r="AM209" s="228">
        <v>-5.3</v>
      </c>
      <c r="AN209" s="228">
        <v>10.3</v>
      </c>
      <c r="AO209" s="229">
        <v>4.1000000000000003E-3</v>
      </c>
      <c r="AP209" s="231">
        <v>1240.02</v>
      </c>
      <c r="AQ209" s="231">
        <v>1236.79</v>
      </c>
      <c r="AR209" s="228">
        <v>0</v>
      </c>
      <c r="AS209" s="228">
        <v>213</v>
      </c>
      <c r="AT209" s="228">
        <v>279</v>
      </c>
      <c r="AU209" s="228">
        <v>-67</v>
      </c>
      <c r="AV209" s="229">
        <v>-0.23849999999999999</v>
      </c>
      <c r="AW209" s="228">
        <v>192</v>
      </c>
      <c r="AX209" s="228">
        <v>253</v>
      </c>
      <c r="AY209" s="228">
        <v>-61</v>
      </c>
      <c r="AZ209" s="229">
        <v>-0.2419</v>
      </c>
      <c r="BA209" s="228">
        <v>20</v>
      </c>
      <c r="BB209" s="228">
        <v>24</v>
      </c>
      <c r="BC209" s="228">
        <v>-5</v>
      </c>
      <c r="BD209" s="229">
        <v>-0.1956</v>
      </c>
      <c r="BE209" s="228">
        <v>1</v>
      </c>
      <c r="BF209" s="228">
        <v>2</v>
      </c>
      <c r="BG209" s="228">
        <v>-1</v>
      </c>
      <c r="BH209" s="229">
        <v>-0.36</v>
      </c>
      <c r="BI209" s="228">
        <v>838</v>
      </c>
      <c r="BJ209" s="228">
        <v>697</v>
      </c>
      <c r="BK209" s="228">
        <v>141</v>
      </c>
      <c r="BL209" s="229">
        <v>0.2026</v>
      </c>
      <c r="BM209" s="228">
        <v>349</v>
      </c>
      <c r="BN209" s="228">
        <v>428</v>
      </c>
      <c r="BO209" s="228">
        <v>-79</v>
      </c>
      <c r="BP209" s="229">
        <v>-0.1842</v>
      </c>
      <c r="BQ209" s="230">
        <v>1400</v>
      </c>
      <c r="BR209" s="230">
        <v>1404</v>
      </c>
      <c r="BS209" s="228">
        <v>-4</v>
      </c>
      <c r="BT209" s="229">
        <v>-3.0000000000000001E-3</v>
      </c>
      <c r="BU209" s="230">
        <v>1485723</v>
      </c>
      <c r="BV209" s="230">
        <v>1559674</v>
      </c>
      <c r="BW209" s="230">
        <v>-73951</v>
      </c>
      <c r="BX209" s="229">
        <v>-4.7399999999999998E-2</v>
      </c>
      <c r="BY209" s="228">
        <v>501</v>
      </c>
      <c r="BZ209" s="228">
        <v>489</v>
      </c>
      <c r="CA209" s="228">
        <v>13</v>
      </c>
      <c r="CB209" s="229">
        <v>2.5700000000000001E-2</v>
      </c>
      <c r="CC209" s="228">
        <v>466</v>
      </c>
      <c r="CD209" s="228">
        <v>459</v>
      </c>
      <c r="CE209" s="228">
        <v>6</v>
      </c>
      <c r="CF209" s="229">
        <v>1.35E-2</v>
      </c>
      <c r="CG209" s="228">
        <v>31</v>
      </c>
      <c r="CH209" s="228">
        <v>25</v>
      </c>
      <c r="CI209" s="228">
        <v>6</v>
      </c>
      <c r="CJ209" s="229">
        <v>0.23780000000000001</v>
      </c>
      <c r="CK209" s="228">
        <v>5</v>
      </c>
      <c r="CL209" s="228">
        <v>4</v>
      </c>
      <c r="CM209" s="228">
        <v>0</v>
      </c>
      <c r="CN209" s="229">
        <v>9.5200000000000007E-2</v>
      </c>
      <c r="CO209" s="228">
        <v>446</v>
      </c>
      <c r="CP209" s="228">
        <v>318</v>
      </c>
      <c r="CQ209" s="228">
        <v>128</v>
      </c>
      <c r="CR209" s="229">
        <v>0.40450000000000003</v>
      </c>
      <c r="CS209" s="228">
        <v>202</v>
      </c>
      <c r="CT209" s="228">
        <v>179</v>
      </c>
      <c r="CU209" s="228">
        <v>23</v>
      </c>
      <c r="CV209" s="229">
        <v>0.1263</v>
      </c>
      <c r="CW209" s="230">
        <v>1149</v>
      </c>
      <c r="CX209" s="228">
        <v>986</v>
      </c>
      <c r="CY209" s="228">
        <v>164</v>
      </c>
      <c r="CZ209" s="229">
        <v>0.1661</v>
      </c>
      <c r="DA209" s="228">
        <v>35.659999999999997</v>
      </c>
      <c r="DB209" s="228">
        <v>34.58</v>
      </c>
      <c r="DC209" s="228">
        <v>1.08</v>
      </c>
      <c r="DD209" s="228">
        <v>1.08</v>
      </c>
      <c r="DE209" s="228">
        <v>42.42</v>
      </c>
      <c r="DF209" s="228">
        <v>42.39</v>
      </c>
      <c r="DG209" s="228">
        <v>-6.76</v>
      </c>
      <c r="DH209" s="228">
        <v>0.03</v>
      </c>
      <c r="DI209" s="228">
        <v>35.83</v>
      </c>
      <c r="DJ209" s="228">
        <v>34.69</v>
      </c>
      <c r="DK209" s="228">
        <v>1.1399999999999999</v>
      </c>
      <c r="DL209" s="228">
        <v>1.1399999999999999</v>
      </c>
      <c r="DM209" s="228">
        <v>35.270000000000003</v>
      </c>
      <c r="DN209" s="228">
        <v>34.4</v>
      </c>
      <c r="DO209" s="228">
        <v>0.87</v>
      </c>
      <c r="DP209" s="228">
        <v>0.87</v>
      </c>
      <c r="DQ209" s="228">
        <v>0.45</v>
      </c>
      <c r="DR209" s="228">
        <v>0.56000000000000005</v>
      </c>
      <c r="DS209" s="228">
        <v>-0.11</v>
      </c>
      <c r="DT209" s="229">
        <v>-0.19639999999999999</v>
      </c>
      <c r="DU209" s="231">
        <v>1300</v>
      </c>
      <c r="DV209" s="231">
        <v>1200</v>
      </c>
      <c r="DW209" s="228">
        <v>0.42</v>
      </c>
      <c r="DX209" s="228">
        <v>0.61</v>
      </c>
      <c r="DY209" s="228">
        <v>-0.19</v>
      </c>
      <c r="DZ209" s="229">
        <v>-0.3115</v>
      </c>
      <c r="EA209" s="229">
        <v>7.0900000000000005E-2</v>
      </c>
      <c r="EB209" s="230">
        <v>238150</v>
      </c>
      <c r="EC209" s="229">
        <v>-1.6000000000000001E-3</v>
      </c>
      <c r="ED209" s="229">
        <v>7.0900000000000005E-2</v>
      </c>
      <c r="EE209" s="228">
        <v>-3.23</v>
      </c>
      <c r="EF209" s="229">
        <v>-2.5999999999999999E-3</v>
      </c>
      <c r="EG209" s="230">
        <v>865012</v>
      </c>
      <c r="EH209" s="230">
        <v>720344</v>
      </c>
      <c r="EI209" s="229">
        <v>0.20080000000000001</v>
      </c>
      <c r="EJ209" s="229">
        <v>0.58220000000000005</v>
      </c>
      <c r="EK209" s="228">
        <v>909.07</v>
      </c>
      <c r="EL209" s="228">
        <v>347.1</v>
      </c>
      <c r="EM209" s="228">
        <v>214.84</v>
      </c>
      <c r="EN209" s="228">
        <v>27.85</v>
      </c>
      <c r="EO209" s="231">
        <v>1471.02</v>
      </c>
      <c r="EP209" s="231">
        <v>1502.29</v>
      </c>
      <c r="EQ209" s="228">
        <v>-31.27</v>
      </c>
      <c r="ER209" s="229">
        <v>-2.0799999999999999E-2</v>
      </c>
      <c r="ES209" s="228">
        <v>484.66</v>
      </c>
      <c r="ET209" s="228">
        <v>203.75</v>
      </c>
      <c r="EU209" s="228">
        <v>501.17</v>
      </c>
      <c r="EV209" s="231">
        <v>22813802</v>
      </c>
      <c r="EW209" s="231">
        <v>1189.57</v>
      </c>
      <c r="EX209" s="231">
        <v>1034.0999999999999</v>
      </c>
      <c r="EY209" s="228">
        <v>155.47</v>
      </c>
      <c r="EZ209" s="229">
        <v>0.15029999999999999</v>
      </c>
      <c r="FA209" s="229">
        <v>0.41089999999999999</v>
      </c>
      <c r="FB209" s="227" t="s">
        <v>567</v>
      </c>
      <c r="FC209">
        <f t="shared" si="4"/>
        <v>0</v>
      </c>
    </row>
    <row r="210" spans="1:159" ht="17.25" thickBot="1" x14ac:dyDescent="0.3">
      <c r="A210" s="226">
        <v>45940</v>
      </c>
      <c r="B210" s="227" t="s">
        <v>498</v>
      </c>
      <c r="C210" s="227" t="s">
        <v>303</v>
      </c>
      <c r="D210" s="228">
        <v>1355</v>
      </c>
      <c r="E210" s="228">
        <v>18</v>
      </c>
      <c r="F210" s="228">
        <v>683.85</v>
      </c>
      <c r="G210" s="228">
        <v>678.9</v>
      </c>
      <c r="H210" s="228">
        <v>4.95</v>
      </c>
      <c r="I210" s="229">
        <v>7.3000000000000001E-3</v>
      </c>
      <c r="J210" s="228">
        <v>681.3</v>
      </c>
      <c r="K210" s="228">
        <v>675.05</v>
      </c>
      <c r="L210" s="228">
        <v>6.25</v>
      </c>
      <c r="M210" s="229">
        <v>9.2999999999999992E-3</v>
      </c>
      <c r="N210" s="228">
        <v>683.85</v>
      </c>
      <c r="O210" s="228">
        <v>678.9</v>
      </c>
      <c r="P210" s="228">
        <v>4.95</v>
      </c>
      <c r="Q210" s="229">
        <v>7.3000000000000001E-3</v>
      </c>
      <c r="R210" s="228">
        <v>686.9</v>
      </c>
      <c r="S210" s="228">
        <v>682.65</v>
      </c>
      <c r="T210" s="228">
        <v>4.25</v>
      </c>
      <c r="U210" s="229">
        <v>6.1999999999999998E-3</v>
      </c>
      <c r="V210" s="228">
        <v>683</v>
      </c>
      <c r="W210" s="228">
        <v>685.1</v>
      </c>
      <c r="X210" s="228">
        <v>-2.1</v>
      </c>
      <c r="Y210" s="229">
        <v>-3.0999999999999999E-3</v>
      </c>
      <c r="Z210" s="228">
        <v>2.5499999999999998</v>
      </c>
      <c r="AA210" s="228">
        <v>3.85</v>
      </c>
      <c r="AB210" s="228">
        <v>-1.3</v>
      </c>
      <c r="AC210" s="229">
        <v>3.7000000000000002E-3</v>
      </c>
      <c r="AD210" s="228">
        <v>2.5499999999999998</v>
      </c>
      <c r="AE210" s="228">
        <v>3.85</v>
      </c>
      <c r="AF210" s="228">
        <v>-1.3</v>
      </c>
      <c r="AG210" s="229">
        <v>3.7000000000000002E-3</v>
      </c>
      <c r="AH210" s="228">
        <v>5.6</v>
      </c>
      <c r="AI210" s="228">
        <v>7.6</v>
      </c>
      <c r="AJ210" s="228">
        <v>-2</v>
      </c>
      <c r="AK210" s="229">
        <v>8.2000000000000007E-3</v>
      </c>
      <c r="AL210" s="228">
        <v>1.7</v>
      </c>
      <c r="AM210" s="228">
        <v>10.050000000000001</v>
      </c>
      <c r="AN210" s="228">
        <v>-8.35</v>
      </c>
      <c r="AO210" s="229">
        <v>2.5000000000000001E-3</v>
      </c>
      <c r="AP210" s="228">
        <v>682.7</v>
      </c>
      <c r="AQ210" s="228">
        <v>685.76</v>
      </c>
      <c r="AR210" s="228">
        <v>0</v>
      </c>
      <c r="AS210" s="228">
        <v>216</v>
      </c>
      <c r="AT210" s="228">
        <v>151</v>
      </c>
      <c r="AU210" s="228">
        <v>65</v>
      </c>
      <c r="AV210" s="229">
        <v>0.43240000000000001</v>
      </c>
      <c r="AW210" s="228">
        <v>206</v>
      </c>
      <c r="AX210" s="228">
        <v>142</v>
      </c>
      <c r="AY210" s="228">
        <v>64</v>
      </c>
      <c r="AZ210" s="229">
        <v>0.4476</v>
      </c>
      <c r="BA210" s="228">
        <v>10</v>
      </c>
      <c r="BB210" s="228">
        <v>8</v>
      </c>
      <c r="BC210" s="228">
        <v>2</v>
      </c>
      <c r="BD210" s="229">
        <v>0.2069</v>
      </c>
      <c r="BE210" s="228">
        <v>0</v>
      </c>
      <c r="BF210" s="228">
        <v>0</v>
      </c>
      <c r="BG210" s="228">
        <v>0</v>
      </c>
      <c r="BH210" s="229">
        <v>-0.5</v>
      </c>
      <c r="BI210" s="228">
        <v>460</v>
      </c>
      <c r="BJ210" s="228">
        <v>343</v>
      </c>
      <c r="BK210" s="228">
        <v>117</v>
      </c>
      <c r="BL210" s="229">
        <v>0.34150000000000003</v>
      </c>
      <c r="BM210" s="228">
        <v>218</v>
      </c>
      <c r="BN210" s="228">
        <v>182</v>
      </c>
      <c r="BO210" s="228">
        <v>36</v>
      </c>
      <c r="BP210" s="229">
        <v>0.19750000000000001</v>
      </c>
      <c r="BQ210" s="228">
        <v>894</v>
      </c>
      <c r="BR210" s="228">
        <v>676</v>
      </c>
      <c r="BS210" s="228">
        <v>218</v>
      </c>
      <c r="BT210" s="229">
        <v>0.32300000000000001</v>
      </c>
      <c r="BU210" s="230">
        <v>981032</v>
      </c>
      <c r="BV210" s="230">
        <v>1026993</v>
      </c>
      <c r="BW210" s="230">
        <v>-45961</v>
      </c>
      <c r="BX210" s="229">
        <v>-4.48E-2</v>
      </c>
      <c r="BY210" s="230">
        <v>2303</v>
      </c>
      <c r="BZ210" s="230">
        <v>2296</v>
      </c>
      <c r="CA210" s="228">
        <v>7</v>
      </c>
      <c r="CB210" s="229">
        <v>3.0000000000000001E-3</v>
      </c>
      <c r="CC210" s="230">
        <v>2250</v>
      </c>
      <c r="CD210" s="230">
        <v>2243</v>
      </c>
      <c r="CE210" s="228">
        <v>8</v>
      </c>
      <c r="CF210" s="229">
        <v>3.3E-3</v>
      </c>
      <c r="CG210" s="228">
        <v>48</v>
      </c>
      <c r="CH210" s="228">
        <v>49</v>
      </c>
      <c r="CI210" s="228">
        <v>-1</v>
      </c>
      <c r="CJ210" s="229">
        <v>-1.34E-2</v>
      </c>
      <c r="CK210" s="228">
        <v>4</v>
      </c>
      <c r="CL210" s="228">
        <v>4</v>
      </c>
      <c r="CM210" s="228">
        <v>0</v>
      </c>
      <c r="CN210" s="229">
        <v>0</v>
      </c>
      <c r="CO210" s="228">
        <v>529</v>
      </c>
      <c r="CP210" s="228">
        <v>523</v>
      </c>
      <c r="CQ210" s="228">
        <v>5</v>
      </c>
      <c r="CR210" s="229">
        <v>9.9000000000000008E-3</v>
      </c>
      <c r="CS210" s="228">
        <v>319</v>
      </c>
      <c r="CT210" s="228">
        <v>322</v>
      </c>
      <c r="CU210" s="228">
        <v>-3</v>
      </c>
      <c r="CV210" s="229">
        <v>-9.7999999999999997E-3</v>
      </c>
      <c r="CW210" s="230">
        <v>3150</v>
      </c>
      <c r="CX210" s="230">
        <v>3141</v>
      </c>
      <c r="CY210" s="228">
        <v>9</v>
      </c>
      <c r="CZ210" s="229">
        <v>2.8E-3</v>
      </c>
      <c r="DA210" s="228">
        <v>23.35</v>
      </c>
      <c r="DB210" s="228">
        <v>24.31</v>
      </c>
      <c r="DC210" s="228">
        <v>-0.96</v>
      </c>
      <c r="DD210" s="228">
        <v>-0.96</v>
      </c>
      <c r="DE210" s="228">
        <v>34.11</v>
      </c>
      <c r="DF210" s="228">
        <v>34.18</v>
      </c>
      <c r="DG210" s="228">
        <v>-10.76</v>
      </c>
      <c r="DH210" s="228">
        <v>-7.0000000000000007E-2</v>
      </c>
      <c r="DI210" s="228">
        <v>23.24</v>
      </c>
      <c r="DJ210" s="228">
        <v>24.06</v>
      </c>
      <c r="DK210" s="228">
        <v>-0.82</v>
      </c>
      <c r="DL210" s="228">
        <v>-0.82</v>
      </c>
      <c r="DM210" s="228">
        <v>23.58</v>
      </c>
      <c r="DN210" s="228">
        <v>24.78</v>
      </c>
      <c r="DO210" s="228">
        <v>-1.2</v>
      </c>
      <c r="DP210" s="228">
        <v>-1.2</v>
      </c>
      <c r="DQ210" s="228">
        <v>0.6</v>
      </c>
      <c r="DR210" s="228">
        <v>0.61</v>
      </c>
      <c r="DS210" s="228">
        <v>-0.01</v>
      </c>
      <c r="DT210" s="229">
        <v>-1.6400000000000001E-2</v>
      </c>
      <c r="DU210" s="228">
        <v>700</v>
      </c>
      <c r="DV210" s="228">
        <v>680</v>
      </c>
      <c r="DW210" s="228">
        <v>0.47</v>
      </c>
      <c r="DX210" s="228">
        <v>0.53</v>
      </c>
      <c r="DY210" s="228">
        <v>-0.06</v>
      </c>
      <c r="DZ210" s="229">
        <v>-0.1132</v>
      </c>
      <c r="EA210" s="229">
        <v>2.2700000000000001E-2</v>
      </c>
      <c r="EB210" s="230">
        <v>772350</v>
      </c>
      <c r="EC210" s="229">
        <v>4.4999999999999997E-3</v>
      </c>
      <c r="ED210" s="229">
        <v>2.2700000000000001E-2</v>
      </c>
      <c r="EE210" s="228">
        <v>3.06</v>
      </c>
      <c r="EF210" s="229">
        <v>4.4999999999999997E-3</v>
      </c>
      <c r="EG210" s="230">
        <v>546038</v>
      </c>
      <c r="EH210" s="230">
        <v>549010</v>
      </c>
      <c r="EI210" s="229">
        <v>-5.4000000000000003E-3</v>
      </c>
      <c r="EJ210" s="229">
        <v>0.55659999999999998</v>
      </c>
      <c r="EK210" s="228">
        <v>474.98</v>
      </c>
      <c r="EL210" s="228">
        <v>216.29</v>
      </c>
      <c r="EM210" s="228">
        <v>215.77</v>
      </c>
      <c r="EN210" s="228">
        <v>26.01</v>
      </c>
      <c r="EO210" s="228">
        <v>907.03</v>
      </c>
      <c r="EP210" s="228">
        <v>680.55</v>
      </c>
      <c r="EQ210" s="228">
        <v>226.48</v>
      </c>
      <c r="ER210" s="229">
        <v>0.33279999999999998</v>
      </c>
      <c r="ES210" s="228">
        <v>545.01</v>
      </c>
      <c r="ET210" s="228">
        <v>306.14</v>
      </c>
      <c r="EU210" s="231">
        <v>2302.85</v>
      </c>
      <c r="EV210" s="231">
        <v>82588393</v>
      </c>
      <c r="EW210" s="231">
        <v>3153.99</v>
      </c>
      <c r="EX210" s="231">
        <v>3127.21</v>
      </c>
      <c r="EY210" s="228">
        <v>26.78</v>
      </c>
      <c r="EZ210" s="229">
        <v>8.6E-3</v>
      </c>
      <c r="FA210" s="229">
        <v>0.55769999999999997</v>
      </c>
      <c r="FB210" s="227" t="s">
        <v>555</v>
      </c>
      <c r="FC210">
        <f t="shared" si="4"/>
        <v>0</v>
      </c>
    </row>
    <row r="211" spans="1:159" ht="17.25" thickBot="1" x14ac:dyDescent="0.3">
      <c r="A211" s="226">
        <v>45940</v>
      </c>
      <c r="B211" s="227" t="s">
        <v>168</v>
      </c>
      <c r="C211" s="227" t="s">
        <v>587</v>
      </c>
      <c r="D211" s="228">
        <v>1025</v>
      </c>
      <c r="E211" s="228">
        <v>18</v>
      </c>
      <c r="F211" s="228">
        <v>445.9</v>
      </c>
      <c r="G211" s="228">
        <v>447.05</v>
      </c>
      <c r="H211" s="228">
        <v>-1.1499999999999999</v>
      </c>
      <c r="I211" s="229">
        <v>-2.5999999999999999E-3</v>
      </c>
      <c r="J211" s="228">
        <v>443.65</v>
      </c>
      <c r="K211" s="228">
        <v>445.9</v>
      </c>
      <c r="L211" s="228">
        <v>-2.25</v>
      </c>
      <c r="M211" s="229">
        <v>-5.0000000000000001E-3</v>
      </c>
      <c r="N211" s="228">
        <v>445.9</v>
      </c>
      <c r="O211" s="228">
        <v>447.05</v>
      </c>
      <c r="P211" s="228">
        <v>-1.1499999999999999</v>
      </c>
      <c r="Q211" s="229">
        <v>-2.5999999999999999E-3</v>
      </c>
      <c r="R211" s="228">
        <v>448.6</v>
      </c>
      <c r="S211" s="228">
        <v>449.35</v>
      </c>
      <c r="T211" s="228">
        <v>-0.75</v>
      </c>
      <c r="U211" s="229">
        <v>-1.6999999999999999E-3</v>
      </c>
      <c r="V211" s="228">
        <v>451.15</v>
      </c>
      <c r="W211" s="228">
        <v>451.95</v>
      </c>
      <c r="X211" s="228">
        <v>-0.8</v>
      </c>
      <c r="Y211" s="229">
        <v>-1.8E-3</v>
      </c>
      <c r="Z211" s="228">
        <v>2.25</v>
      </c>
      <c r="AA211" s="228">
        <v>1.1499999999999999</v>
      </c>
      <c r="AB211" s="228">
        <v>1.1000000000000001</v>
      </c>
      <c r="AC211" s="229">
        <v>5.1000000000000004E-3</v>
      </c>
      <c r="AD211" s="228">
        <v>2.25</v>
      </c>
      <c r="AE211" s="228">
        <v>1.1499999999999999</v>
      </c>
      <c r="AF211" s="228">
        <v>1.1000000000000001</v>
      </c>
      <c r="AG211" s="229">
        <v>5.1000000000000004E-3</v>
      </c>
      <c r="AH211" s="228">
        <v>4.95</v>
      </c>
      <c r="AI211" s="228">
        <v>3.45</v>
      </c>
      <c r="AJ211" s="228">
        <v>1.5</v>
      </c>
      <c r="AK211" s="229">
        <v>1.12E-2</v>
      </c>
      <c r="AL211" s="228">
        <v>7.5</v>
      </c>
      <c r="AM211" s="228">
        <v>6.05</v>
      </c>
      <c r="AN211" s="228">
        <v>1.45</v>
      </c>
      <c r="AO211" s="229">
        <v>1.6899999999999998E-2</v>
      </c>
      <c r="AP211" s="228">
        <v>449.45</v>
      </c>
      <c r="AQ211" s="228">
        <v>451.17</v>
      </c>
      <c r="AR211" s="228">
        <v>0</v>
      </c>
      <c r="AS211" s="228">
        <v>253</v>
      </c>
      <c r="AT211" s="228">
        <v>229</v>
      </c>
      <c r="AU211" s="228">
        <v>24</v>
      </c>
      <c r="AV211" s="229">
        <v>0.1027</v>
      </c>
      <c r="AW211" s="228">
        <v>230</v>
      </c>
      <c r="AX211" s="228">
        <v>205</v>
      </c>
      <c r="AY211" s="228">
        <v>26</v>
      </c>
      <c r="AZ211" s="229">
        <v>0.12570000000000001</v>
      </c>
      <c r="BA211" s="228">
        <v>19</v>
      </c>
      <c r="BB211" s="228">
        <v>20</v>
      </c>
      <c r="BC211" s="228">
        <v>-1</v>
      </c>
      <c r="BD211" s="229">
        <v>-4.58E-2</v>
      </c>
      <c r="BE211" s="228">
        <v>3</v>
      </c>
      <c r="BF211" s="228">
        <v>5</v>
      </c>
      <c r="BG211" s="228">
        <v>-1</v>
      </c>
      <c r="BH211" s="229">
        <v>-0.28000000000000003</v>
      </c>
      <c r="BI211" s="228">
        <v>592</v>
      </c>
      <c r="BJ211" s="228">
        <v>621</v>
      </c>
      <c r="BK211" s="228">
        <v>-30</v>
      </c>
      <c r="BL211" s="229">
        <v>-4.7800000000000002E-2</v>
      </c>
      <c r="BM211" s="228">
        <v>270</v>
      </c>
      <c r="BN211" s="228">
        <v>246</v>
      </c>
      <c r="BO211" s="228">
        <v>25</v>
      </c>
      <c r="BP211" s="229">
        <v>0.10050000000000001</v>
      </c>
      <c r="BQ211" s="230">
        <v>1115</v>
      </c>
      <c r="BR211" s="230">
        <v>1096</v>
      </c>
      <c r="BS211" s="228">
        <v>19</v>
      </c>
      <c r="BT211" s="229">
        <v>1.6899999999999998E-2</v>
      </c>
      <c r="BU211" s="230">
        <v>2629525</v>
      </c>
      <c r="BV211" s="230">
        <v>4074887</v>
      </c>
      <c r="BW211" s="230">
        <v>-1445362</v>
      </c>
      <c r="BX211" s="229">
        <v>-0.35470000000000002</v>
      </c>
      <c r="BY211" s="230">
        <v>1890</v>
      </c>
      <c r="BZ211" s="230">
        <v>1889</v>
      </c>
      <c r="CA211" s="228">
        <v>1</v>
      </c>
      <c r="CB211" s="229">
        <v>5.9999999999999995E-4</v>
      </c>
      <c r="CC211" s="230">
        <v>1828</v>
      </c>
      <c r="CD211" s="230">
        <v>1830</v>
      </c>
      <c r="CE211" s="228">
        <v>-2</v>
      </c>
      <c r="CF211" s="229">
        <v>-8.9999999999999998E-4</v>
      </c>
      <c r="CG211" s="228">
        <v>55</v>
      </c>
      <c r="CH211" s="228">
        <v>53</v>
      </c>
      <c r="CI211" s="228">
        <v>2</v>
      </c>
      <c r="CJ211" s="229">
        <v>3.9E-2</v>
      </c>
      <c r="CK211" s="228">
        <v>8</v>
      </c>
      <c r="CL211" s="228">
        <v>7</v>
      </c>
      <c r="CM211" s="228">
        <v>1</v>
      </c>
      <c r="CN211" s="229">
        <v>9.74E-2</v>
      </c>
      <c r="CO211" s="228">
        <v>509</v>
      </c>
      <c r="CP211" s="228">
        <v>496</v>
      </c>
      <c r="CQ211" s="228">
        <v>13</v>
      </c>
      <c r="CR211" s="229">
        <v>2.5999999999999999E-2</v>
      </c>
      <c r="CS211" s="228">
        <v>295</v>
      </c>
      <c r="CT211" s="228">
        <v>302</v>
      </c>
      <c r="CU211" s="228">
        <v>-7</v>
      </c>
      <c r="CV211" s="229">
        <v>-2.4199999999999999E-2</v>
      </c>
      <c r="CW211" s="230">
        <v>2694</v>
      </c>
      <c r="CX211" s="230">
        <v>2687</v>
      </c>
      <c r="CY211" s="228">
        <v>7</v>
      </c>
      <c r="CZ211" s="229">
        <v>2.5000000000000001E-3</v>
      </c>
      <c r="DA211" s="228">
        <v>28.52</v>
      </c>
      <c r="DB211" s="228">
        <v>29.56</v>
      </c>
      <c r="DC211" s="228">
        <v>-1.04</v>
      </c>
      <c r="DD211" s="228">
        <v>-1.04</v>
      </c>
      <c r="DE211" s="228">
        <v>38.49</v>
      </c>
      <c r="DF211" s="228">
        <v>38.58</v>
      </c>
      <c r="DG211" s="228">
        <v>-9.9700000000000006</v>
      </c>
      <c r="DH211" s="228">
        <v>-0.09</v>
      </c>
      <c r="DI211" s="228">
        <v>28.77</v>
      </c>
      <c r="DJ211" s="228">
        <v>29.61</v>
      </c>
      <c r="DK211" s="228">
        <v>-0.84</v>
      </c>
      <c r="DL211" s="228">
        <v>-0.84</v>
      </c>
      <c r="DM211" s="228">
        <v>27.98</v>
      </c>
      <c r="DN211" s="228">
        <v>29.42</v>
      </c>
      <c r="DO211" s="228">
        <v>-1.44</v>
      </c>
      <c r="DP211" s="228">
        <v>-1.44</v>
      </c>
      <c r="DQ211" s="228">
        <v>0.57999999999999996</v>
      </c>
      <c r="DR211" s="228">
        <v>0.61</v>
      </c>
      <c r="DS211" s="228">
        <v>-0.03</v>
      </c>
      <c r="DT211" s="229">
        <v>-4.9200000000000001E-2</v>
      </c>
      <c r="DU211" s="228">
        <v>500</v>
      </c>
      <c r="DV211" s="228">
        <v>450</v>
      </c>
      <c r="DW211" s="228">
        <v>0.46</v>
      </c>
      <c r="DX211" s="228">
        <v>0.4</v>
      </c>
      <c r="DY211" s="228">
        <v>0.06</v>
      </c>
      <c r="DZ211" s="229">
        <v>0.15</v>
      </c>
      <c r="EA211" s="229">
        <v>3.3099999999999997E-2</v>
      </c>
      <c r="EB211" s="230">
        <v>1341725</v>
      </c>
      <c r="EC211" s="229">
        <v>6.1000000000000004E-3</v>
      </c>
      <c r="ED211" s="229">
        <v>3.3099999999999997E-2</v>
      </c>
      <c r="EE211" s="228">
        <v>1.72</v>
      </c>
      <c r="EF211" s="229">
        <v>3.8E-3</v>
      </c>
      <c r="EG211" s="230">
        <v>1055771</v>
      </c>
      <c r="EH211" s="230">
        <v>1975856</v>
      </c>
      <c r="EI211" s="229">
        <v>-0.4657</v>
      </c>
      <c r="EJ211" s="229">
        <v>0.40150000000000002</v>
      </c>
      <c r="EK211" s="228">
        <v>624.42999999999995</v>
      </c>
      <c r="EL211" s="228">
        <v>271.66000000000003</v>
      </c>
      <c r="EM211" s="228">
        <v>254.87</v>
      </c>
      <c r="EN211" s="228">
        <v>36.86</v>
      </c>
      <c r="EO211" s="231">
        <v>1150.96</v>
      </c>
      <c r="EP211" s="231">
        <v>1116.76</v>
      </c>
      <c r="EQ211" s="228">
        <v>34.200000000000003</v>
      </c>
      <c r="ER211" s="229">
        <v>3.0599999999999999E-2</v>
      </c>
      <c r="ES211" s="228">
        <v>542.59</v>
      </c>
      <c r="ET211" s="228">
        <v>290.45999999999998</v>
      </c>
      <c r="EU211" s="231">
        <v>1890.86</v>
      </c>
      <c r="EV211" s="231">
        <v>203804339</v>
      </c>
      <c r="EW211" s="231">
        <v>2723.92</v>
      </c>
      <c r="EX211" s="231">
        <v>2719.03</v>
      </c>
      <c r="EY211" s="228">
        <v>4.8899999999999997</v>
      </c>
      <c r="EZ211" s="229">
        <v>1.8E-3</v>
      </c>
      <c r="FA211" s="229">
        <v>0.29649999999999999</v>
      </c>
      <c r="FB211" s="227" t="s">
        <v>567</v>
      </c>
      <c r="FC211">
        <f t="shared" si="4"/>
        <v>0</v>
      </c>
    </row>
    <row r="212" spans="1:159" ht="17.25" thickBot="1" x14ac:dyDescent="0.3">
      <c r="A212" s="226">
        <v>45940</v>
      </c>
      <c r="B212" s="227" t="s">
        <v>227</v>
      </c>
      <c r="C212" s="227" t="s">
        <v>304</v>
      </c>
      <c r="D212" s="228">
        <v>1150</v>
      </c>
      <c r="E212" s="228">
        <v>18</v>
      </c>
      <c r="F212" s="228">
        <v>483.75</v>
      </c>
      <c r="G212" s="228">
        <v>487</v>
      </c>
      <c r="H212" s="228">
        <v>-3.25</v>
      </c>
      <c r="I212" s="229">
        <v>-6.7000000000000002E-3</v>
      </c>
      <c r="J212" s="228">
        <v>482.2</v>
      </c>
      <c r="K212" s="228">
        <v>484.2</v>
      </c>
      <c r="L212" s="228">
        <v>-2</v>
      </c>
      <c r="M212" s="229">
        <v>-4.1000000000000003E-3</v>
      </c>
      <c r="N212" s="228">
        <v>483.75</v>
      </c>
      <c r="O212" s="228">
        <v>487</v>
      </c>
      <c r="P212" s="228">
        <v>-3.25</v>
      </c>
      <c r="Q212" s="229">
        <v>-6.7000000000000002E-3</v>
      </c>
      <c r="R212" s="228">
        <v>486.45</v>
      </c>
      <c r="S212" s="228">
        <v>489.5</v>
      </c>
      <c r="T212" s="228">
        <v>-3.05</v>
      </c>
      <c r="U212" s="229">
        <v>-6.1999999999999998E-3</v>
      </c>
      <c r="V212" s="228">
        <v>488.15</v>
      </c>
      <c r="W212" s="228">
        <v>491.3</v>
      </c>
      <c r="X212" s="228">
        <v>-3.15</v>
      </c>
      <c r="Y212" s="229">
        <v>-6.4000000000000003E-3</v>
      </c>
      <c r="Z212" s="228">
        <v>1.55</v>
      </c>
      <c r="AA212" s="228">
        <v>2.8</v>
      </c>
      <c r="AB212" s="228">
        <v>-1.25</v>
      </c>
      <c r="AC212" s="229">
        <v>3.2000000000000002E-3</v>
      </c>
      <c r="AD212" s="228">
        <v>1.55</v>
      </c>
      <c r="AE212" s="228">
        <v>2.8</v>
      </c>
      <c r="AF212" s="228">
        <v>-1.25</v>
      </c>
      <c r="AG212" s="229">
        <v>3.2000000000000002E-3</v>
      </c>
      <c r="AH212" s="228">
        <v>4.25</v>
      </c>
      <c r="AI212" s="228">
        <v>5.3</v>
      </c>
      <c r="AJ212" s="228">
        <v>-1.05</v>
      </c>
      <c r="AK212" s="229">
        <v>8.8000000000000005E-3</v>
      </c>
      <c r="AL212" s="228">
        <v>5.95</v>
      </c>
      <c r="AM212" s="228">
        <v>7.1</v>
      </c>
      <c r="AN212" s="228">
        <v>-1.1499999999999999</v>
      </c>
      <c r="AO212" s="229">
        <v>1.23E-2</v>
      </c>
      <c r="AP212" s="228">
        <v>482.1</v>
      </c>
      <c r="AQ212" s="228">
        <v>484.37</v>
      </c>
      <c r="AR212" s="228">
        <v>0</v>
      </c>
      <c r="AS212" s="228">
        <v>910</v>
      </c>
      <c r="AT212" s="230">
        <v>1106</v>
      </c>
      <c r="AU212" s="228">
        <v>-196</v>
      </c>
      <c r="AV212" s="229">
        <v>-0.17699999999999999</v>
      </c>
      <c r="AW212" s="228">
        <v>819</v>
      </c>
      <c r="AX212" s="230">
        <v>1026</v>
      </c>
      <c r="AY212" s="228">
        <v>-206</v>
      </c>
      <c r="AZ212" s="229">
        <v>-0.2011</v>
      </c>
      <c r="BA212" s="228">
        <v>75</v>
      </c>
      <c r="BB212" s="228">
        <v>57</v>
      </c>
      <c r="BC212" s="228">
        <v>18</v>
      </c>
      <c r="BD212" s="229">
        <v>0.32029999999999997</v>
      </c>
      <c r="BE212" s="228">
        <v>16</v>
      </c>
      <c r="BF212" s="228">
        <v>23</v>
      </c>
      <c r="BG212" s="228">
        <v>-8</v>
      </c>
      <c r="BH212" s="229">
        <v>-0.33410000000000001</v>
      </c>
      <c r="BI212" s="230">
        <v>2811</v>
      </c>
      <c r="BJ212" s="230">
        <v>3955</v>
      </c>
      <c r="BK212" s="230">
        <v>-1144</v>
      </c>
      <c r="BL212" s="229">
        <v>-0.2893</v>
      </c>
      <c r="BM212" s="230">
        <v>1269</v>
      </c>
      <c r="BN212" s="230">
        <v>1955</v>
      </c>
      <c r="BO212" s="228">
        <v>-686</v>
      </c>
      <c r="BP212" s="229">
        <v>-0.35070000000000001</v>
      </c>
      <c r="BQ212" s="230">
        <v>4990</v>
      </c>
      <c r="BR212" s="230">
        <v>7016</v>
      </c>
      <c r="BS212" s="230">
        <v>-2026</v>
      </c>
      <c r="BT212" s="229">
        <v>-0.28870000000000001</v>
      </c>
      <c r="BU212" s="230">
        <v>13768416</v>
      </c>
      <c r="BV212" s="230">
        <v>17475175</v>
      </c>
      <c r="BW212" s="230">
        <v>-3706759</v>
      </c>
      <c r="BX212" s="229">
        <v>-0.21210000000000001</v>
      </c>
      <c r="BY212" s="230">
        <v>4910</v>
      </c>
      <c r="BZ212" s="230">
        <v>4907</v>
      </c>
      <c r="CA212" s="228">
        <v>2</v>
      </c>
      <c r="CB212" s="229">
        <v>5.0000000000000001E-4</v>
      </c>
      <c r="CC212" s="230">
        <v>4783</v>
      </c>
      <c r="CD212" s="230">
        <v>4806</v>
      </c>
      <c r="CE212" s="228">
        <v>-23</v>
      </c>
      <c r="CF212" s="229">
        <v>-4.7999999999999996E-3</v>
      </c>
      <c r="CG212" s="228">
        <v>107</v>
      </c>
      <c r="CH212" s="228">
        <v>85</v>
      </c>
      <c r="CI212" s="228">
        <v>22</v>
      </c>
      <c r="CJ212" s="229">
        <v>0.25490000000000002</v>
      </c>
      <c r="CK212" s="228">
        <v>20</v>
      </c>
      <c r="CL212" s="228">
        <v>16</v>
      </c>
      <c r="CM212" s="228">
        <v>4</v>
      </c>
      <c r="CN212" s="229">
        <v>0.2465</v>
      </c>
      <c r="CO212" s="230">
        <v>1288</v>
      </c>
      <c r="CP212" s="230">
        <v>1248</v>
      </c>
      <c r="CQ212" s="228">
        <v>40</v>
      </c>
      <c r="CR212" s="229">
        <v>3.1899999999999998E-2</v>
      </c>
      <c r="CS212" s="230">
        <v>1130</v>
      </c>
      <c r="CT212" s="230">
        <v>1118</v>
      </c>
      <c r="CU212" s="228">
        <v>12</v>
      </c>
      <c r="CV212" s="229">
        <v>1.11E-2</v>
      </c>
      <c r="CW212" s="230">
        <v>7328</v>
      </c>
      <c r="CX212" s="230">
        <v>7273</v>
      </c>
      <c r="CY212" s="228">
        <v>55</v>
      </c>
      <c r="CZ212" s="229">
        <v>7.4999999999999997E-3</v>
      </c>
      <c r="DA212" s="228">
        <v>28.65</v>
      </c>
      <c r="DB212" s="228">
        <v>29.79</v>
      </c>
      <c r="DC212" s="228">
        <v>-1.1399999999999999</v>
      </c>
      <c r="DD212" s="228">
        <v>-1.1399999999999999</v>
      </c>
      <c r="DE212" s="228">
        <v>38.61</v>
      </c>
      <c r="DF212" s="228">
        <v>38.69</v>
      </c>
      <c r="DG212" s="228">
        <v>-9.9600000000000009</v>
      </c>
      <c r="DH212" s="228">
        <v>-0.08</v>
      </c>
      <c r="DI212" s="228">
        <v>28.51</v>
      </c>
      <c r="DJ212" s="228">
        <v>29.33</v>
      </c>
      <c r="DK212" s="228">
        <v>-0.82</v>
      </c>
      <c r="DL212" s="228">
        <v>-0.82</v>
      </c>
      <c r="DM212" s="228">
        <v>28.94</v>
      </c>
      <c r="DN212" s="228">
        <v>30.72</v>
      </c>
      <c r="DO212" s="228">
        <v>-1.78</v>
      </c>
      <c r="DP212" s="228">
        <v>-1.78</v>
      </c>
      <c r="DQ212" s="228">
        <v>0.88</v>
      </c>
      <c r="DR212" s="228">
        <v>0.9</v>
      </c>
      <c r="DS212" s="228">
        <v>-0.02</v>
      </c>
      <c r="DT212" s="229">
        <v>-2.2200000000000001E-2</v>
      </c>
      <c r="DU212" s="228">
        <v>500</v>
      </c>
      <c r="DV212" s="228">
        <v>480</v>
      </c>
      <c r="DW212" s="228">
        <v>0.45</v>
      </c>
      <c r="DX212" s="228">
        <v>0.49</v>
      </c>
      <c r="DY212" s="228">
        <v>-0.04</v>
      </c>
      <c r="DZ212" s="229">
        <v>-8.1600000000000006E-2</v>
      </c>
      <c r="EA212" s="229">
        <v>2.58E-2</v>
      </c>
      <c r="EB212" s="230">
        <v>2090700</v>
      </c>
      <c r="EC212" s="229">
        <v>5.5999999999999999E-3</v>
      </c>
      <c r="ED212" s="229">
        <v>2.58E-2</v>
      </c>
      <c r="EE212" s="228">
        <v>2.27</v>
      </c>
      <c r="EF212" s="229">
        <v>4.7000000000000002E-3</v>
      </c>
      <c r="EG212" s="230">
        <v>4851247</v>
      </c>
      <c r="EH212" s="230">
        <v>7029924</v>
      </c>
      <c r="EI212" s="229">
        <v>-0.30990000000000001</v>
      </c>
      <c r="EJ212" s="229">
        <v>0.3523</v>
      </c>
      <c r="EK212" s="231">
        <v>2922.37</v>
      </c>
      <c r="EL212" s="231">
        <v>1250</v>
      </c>
      <c r="EM212" s="228">
        <v>907.46</v>
      </c>
      <c r="EN212" s="228">
        <v>145.38</v>
      </c>
      <c r="EO212" s="231">
        <v>5079.83</v>
      </c>
      <c r="EP212" s="231">
        <v>7122.37</v>
      </c>
      <c r="EQ212" s="231">
        <v>-2042.54</v>
      </c>
      <c r="ER212" s="229">
        <v>-0.2868</v>
      </c>
      <c r="ES212" s="231">
        <v>1301.25</v>
      </c>
      <c r="ET212" s="231">
        <v>1053.54</v>
      </c>
      <c r="EU212" s="231">
        <v>4910.68</v>
      </c>
      <c r="EV212" s="231">
        <v>255091106</v>
      </c>
      <c r="EW212" s="231">
        <v>7265.47</v>
      </c>
      <c r="EX212" s="231">
        <v>7239.74</v>
      </c>
      <c r="EY212" s="228">
        <v>25.73</v>
      </c>
      <c r="EZ212" s="229">
        <v>3.5999999999999999E-3</v>
      </c>
      <c r="FA212" s="229">
        <v>0.59379999999999999</v>
      </c>
      <c r="FB212" s="227" t="s">
        <v>567</v>
      </c>
      <c r="FC212">
        <f t="shared" si="4"/>
        <v>0</v>
      </c>
    </row>
    <row r="213" spans="1:159" ht="17.25" thickBot="1" x14ac:dyDescent="0.3">
      <c r="A213" s="226">
        <v>45940</v>
      </c>
      <c r="B213" s="227" t="s">
        <v>184</v>
      </c>
      <c r="C213" s="227" t="s">
        <v>305</v>
      </c>
      <c r="D213" s="228">
        <v>375</v>
      </c>
      <c r="E213" s="228">
        <v>18</v>
      </c>
      <c r="F213" s="231">
        <v>1420.6</v>
      </c>
      <c r="G213" s="231">
        <v>1380.4</v>
      </c>
      <c r="H213" s="228">
        <v>40.200000000000003</v>
      </c>
      <c r="I213" s="229">
        <v>2.9100000000000001E-2</v>
      </c>
      <c r="J213" s="231">
        <v>1417.3</v>
      </c>
      <c r="K213" s="231">
        <v>1382</v>
      </c>
      <c r="L213" s="228">
        <v>35.299999999999997</v>
      </c>
      <c r="M213" s="229">
        <v>2.5499999999999998E-2</v>
      </c>
      <c r="N213" s="231">
        <v>1420.6</v>
      </c>
      <c r="O213" s="231">
        <v>1380.4</v>
      </c>
      <c r="P213" s="228">
        <v>40.200000000000003</v>
      </c>
      <c r="Q213" s="229">
        <v>2.9100000000000001E-2</v>
      </c>
      <c r="R213" s="231">
        <v>1408.9</v>
      </c>
      <c r="S213" s="231">
        <v>1366.5</v>
      </c>
      <c r="T213" s="228">
        <v>42.4</v>
      </c>
      <c r="U213" s="229">
        <v>3.1E-2</v>
      </c>
      <c r="V213" s="231">
        <v>1397.4</v>
      </c>
      <c r="W213" s="231">
        <v>1358</v>
      </c>
      <c r="X213" s="228">
        <v>39.4</v>
      </c>
      <c r="Y213" s="229">
        <v>2.9000000000000001E-2</v>
      </c>
      <c r="Z213" s="228">
        <v>3.3</v>
      </c>
      <c r="AA213" s="228">
        <v>-1.6</v>
      </c>
      <c r="AB213" s="228">
        <v>4.9000000000000004</v>
      </c>
      <c r="AC213" s="229">
        <v>2.3E-3</v>
      </c>
      <c r="AD213" s="228">
        <v>3.3</v>
      </c>
      <c r="AE213" s="228">
        <v>-1.6</v>
      </c>
      <c r="AF213" s="228">
        <v>4.9000000000000004</v>
      </c>
      <c r="AG213" s="229">
        <v>2.3E-3</v>
      </c>
      <c r="AH213" s="228">
        <v>-8.4</v>
      </c>
      <c r="AI213" s="228">
        <v>-15.5</v>
      </c>
      <c r="AJ213" s="228">
        <v>7.1</v>
      </c>
      <c r="AK213" s="229">
        <v>-5.8999999999999999E-3</v>
      </c>
      <c r="AL213" s="228">
        <v>-19.899999999999999</v>
      </c>
      <c r="AM213" s="228">
        <v>-24</v>
      </c>
      <c r="AN213" s="228">
        <v>4.0999999999999996</v>
      </c>
      <c r="AO213" s="229">
        <v>-1.4E-2</v>
      </c>
      <c r="AP213" s="231">
        <v>1419.88</v>
      </c>
      <c r="AQ213" s="231">
        <v>1408.02</v>
      </c>
      <c r="AR213" s="228">
        <v>0</v>
      </c>
      <c r="AS213" s="228">
        <v>639</v>
      </c>
      <c r="AT213" s="228">
        <v>307</v>
      </c>
      <c r="AU213" s="228">
        <v>332</v>
      </c>
      <c r="AV213" s="229">
        <v>1.0822000000000001</v>
      </c>
      <c r="AW213" s="228">
        <v>578</v>
      </c>
      <c r="AX213" s="228">
        <v>273</v>
      </c>
      <c r="AY213" s="228">
        <v>305</v>
      </c>
      <c r="AZ213" s="229">
        <v>1.1194</v>
      </c>
      <c r="BA213" s="228">
        <v>57</v>
      </c>
      <c r="BB213" s="228">
        <v>33</v>
      </c>
      <c r="BC213" s="228">
        <v>24</v>
      </c>
      <c r="BD213" s="229">
        <v>0.71179999999999999</v>
      </c>
      <c r="BE213" s="228">
        <v>3</v>
      </c>
      <c r="BF213" s="228">
        <v>1</v>
      </c>
      <c r="BG213" s="228">
        <v>3</v>
      </c>
      <c r="BH213" s="229">
        <v>4.9090999999999996</v>
      </c>
      <c r="BI213" s="230">
        <v>2430</v>
      </c>
      <c r="BJ213" s="228">
        <v>914</v>
      </c>
      <c r="BK213" s="230">
        <v>1517</v>
      </c>
      <c r="BL213" s="229">
        <v>1.6597999999999999</v>
      </c>
      <c r="BM213" s="230">
        <v>1152</v>
      </c>
      <c r="BN213" s="228">
        <v>366</v>
      </c>
      <c r="BO213" s="228">
        <v>786</v>
      </c>
      <c r="BP213" s="229">
        <v>2.1495000000000002</v>
      </c>
      <c r="BQ213" s="230">
        <v>4221</v>
      </c>
      <c r="BR213" s="230">
        <v>1586</v>
      </c>
      <c r="BS213" s="230">
        <v>2634</v>
      </c>
      <c r="BT213" s="229">
        <v>1.661</v>
      </c>
      <c r="BU213" s="230">
        <v>2672171</v>
      </c>
      <c r="BV213" s="230">
        <v>1085859</v>
      </c>
      <c r="BW213" s="230">
        <v>1586312</v>
      </c>
      <c r="BX213" s="229">
        <v>1.4609000000000001</v>
      </c>
      <c r="BY213" s="230">
        <v>1837</v>
      </c>
      <c r="BZ213" s="230">
        <v>1845</v>
      </c>
      <c r="CA213" s="228">
        <v>-8</v>
      </c>
      <c r="CB213" s="229">
        <v>-4.1999999999999997E-3</v>
      </c>
      <c r="CC213" s="230">
        <v>1715</v>
      </c>
      <c r="CD213" s="230">
        <v>1741</v>
      </c>
      <c r="CE213" s="228">
        <v>-26</v>
      </c>
      <c r="CF213" s="229">
        <v>-1.49E-2</v>
      </c>
      <c r="CG213" s="228">
        <v>118</v>
      </c>
      <c r="CH213" s="228">
        <v>101</v>
      </c>
      <c r="CI213" s="228">
        <v>17</v>
      </c>
      <c r="CJ213" s="229">
        <v>0.16900000000000001</v>
      </c>
      <c r="CK213" s="228">
        <v>4</v>
      </c>
      <c r="CL213" s="228">
        <v>3</v>
      </c>
      <c r="CM213" s="228">
        <v>1</v>
      </c>
      <c r="CN213" s="229">
        <v>0.36840000000000001</v>
      </c>
      <c r="CO213" s="228">
        <v>370</v>
      </c>
      <c r="CP213" s="228">
        <v>325</v>
      </c>
      <c r="CQ213" s="228">
        <v>45</v>
      </c>
      <c r="CR213" s="229">
        <v>0.1396</v>
      </c>
      <c r="CS213" s="228">
        <v>366</v>
      </c>
      <c r="CT213" s="228">
        <v>285</v>
      </c>
      <c r="CU213" s="228">
        <v>82</v>
      </c>
      <c r="CV213" s="229">
        <v>0.28710000000000002</v>
      </c>
      <c r="CW213" s="230">
        <v>2574</v>
      </c>
      <c r="CX213" s="230">
        <v>2455</v>
      </c>
      <c r="CY213" s="228">
        <v>119</v>
      </c>
      <c r="CZ213" s="229">
        <v>4.8599999999999997E-2</v>
      </c>
      <c r="DA213" s="228">
        <v>28.45</v>
      </c>
      <c r="DB213" s="228">
        <v>28.35</v>
      </c>
      <c r="DC213" s="228">
        <v>0.1</v>
      </c>
      <c r="DD213" s="228">
        <v>0.1</v>
      </c>
      <c r="DE213" s="228">
        <v>38.130000000000003</v>
      </c>
      <c r="DF213" s="228">
        <v>38.03</v>
      </c>
      <c r="DG213" s="228">
        <v>-9.68</v>
      </c>
      <c r="DH213" s="228">
        <v>0.1</v>
      </c>
      <c r="DI213" s="228">
        <v>28.25</v>
      </c>
      <c r="DJ213" s="228">
        <v>28.21</v>
      </c>
      <c r="DK213" s="228">
        <v>0.04</v>
      </c>
      <c r="DL213" s="228">
        <v>0.04</v>
      </c>
      <c r="DM213" s="228">
        <v>28.88</v>
      </c>
      <c r="DN213" s="228">
        <v>28.71</v>
      </c>
      <c r="DO213" s="228">
        <v>0.17</v>
      </c>
      <c r="DP213" s="228">
        <v>0.17</v>
      </c>
      <c r="DQ213" s="228">
        <v>0.99</v>
      </c>
      <c r="DR213" s="228">
        <v>0.88</v>
      </c>
      <c r="DS213" s="228">
        <v>0.11</v>
      </c>
      <c r="DT213" s="229">
        <v>0.125</v>
      </c>
      <c r="DU213" s="231">
        <v>1400</v>
      </c>
      <c r="DV213" s="231">
        <v>1300</v>
      </c>
      <c r="DW213" s="228">
        <v>0.47</v>
      </c>
      <c r="DX213" s="228">
        <v>0.4</v>
      </c>
      <c r="DY213" s="228">
        <v>7.0000000000000007E-2</v>
      </c>
      <c r="DZ213" s="229">
        <v>0.17499999999999999</v>
      </c>
      <c r="EA213" s="229">
        <v>6.6500000000000004E-2</v>
      </c>
      <c r="EB213" s="230">
        <v>731625</v>
      </c>
      <c r="EC213" s="229">
        <v>-8.2000000000000007E-3</v>
      </c>
      <c r="ED213" s="229">
        <v>6.6500000000000004E-2</v>
      </c>
      <c r="EE213" s="228">
        <v>-11.86</v>
      </c>
      <c r="EF213" s="229">
        <v>-8.3999999999999995E-3</v>
      </c>
      <c r="EG213" s="230">
        <v>1111150</v>
      </c>
      <c r="EH213" s="230">
        <v>534190</v>
      </c>
      <c r="EI213" s="229">
        <v>1.0801000000000001</v>
      </c>
      <c r="EJ213" s="229">
        <v>0.4158</v>
      </c>
      <c r="EK213" s="231">
        <v>2522.02</v>
      </c>
      <c r="EL213" s="231">
        <v>1140.67</v>
      </c>
      <c r="EM213" s="228">
        <v>637.72</v>
      </c>
      <c r="EN213" s="228">
        <v>42.25</v>
      </c>
      <c r="EO213" s="231">
        <v>4300.41</v>
      </c>
      <c r="EP213" s="231">
        <v>1572.13</v>
      </c>
      <c r="EQ213" s="231">
        <v>2728.28</v>
      </c>
      <c r="ER213" s="229">
        <v>1.7354000000000001</v>
      </c>
      <c r="ES213" s="228">
        <v>375.47</v>
      </c>
      <c r="ET213" s="228">
        <v>344.47</v>
      </c>
      <c r="EU213" s="231">
        <v>1836.33</v>
      </c>
      <c r="EV213" s="231">
        <v>34594689</v>
      </c>
      <c r="EW213" s="231">
        <v>2556.27</v>
      </c>
      <c r="EX213" s="231">
        <v>2379.92</v>
      </c>
      <c r="EY213" s="228">
        <v>176.35</v>
      </c>
      <c r="EZ213" s="229">
        <v>7.4099999999999999E-2</v>
      </c>
      <c r="FA213" s="229">
        <v>0.52370000000000005</v>
      </c>
      <c r="FB213" s="227" t="s">
        <v>556</v>
      </c>
      <c r="FC213">
        <f t="shared" si="4"/>
        <v>0</v>
      </c>
    </row>
    <row r="214" spans="1:159" ht="17.25" thickBot="1" x14ac:dyDescent="0.3">
      <c r="A214" s="226">
        <v>45940</v>
      </c>
      <c r="B214" s="227" t="s">
        <v>221</v>
      </c>
      <c r="C214" s="227" t="s">
        <v>306</v>
      </c>
      <c r="D214" s="228">
        <v>3000</v>
      </c>
      <c r="E214" s="228">
        <v>18</v>
      </c>
      <c r="F214" s="228">
        <v>249.13</v>
      </c>
      <c r="G214" s="228">
        <v>246.2</v>
      </c>
      <c r="H214" s="228">
        <v>2.93</v>
      </c>
      <c r="I214" s="229">
        <v>1.1900000000000001E-2</v>
      </c>
      <c r="J214" s="228">
        <v>248.7</v>
      </c>
      <c r="K214" s="228">
        <v>246.4</v>
      </c>
      <c r="L214" s="228">
        <v>2.2999999999999998</v>
      </c>
      <c r="M214" s="229">
        <v>9.2999999999999992E-3</v>
      </c>
      <c r="N214" s="228">
        <v>249.13</v>
      </c>
      <c r="O214" s="228">
        <v>246.2</v>
      </c>
      <c r="P214" s="228">
        <v>2.93</v>
      </c>
      <c r="Q214" s="229">
        <v>1.1900000000000001E-2</v>
      </c>
      <c r="R214" s="228">
        <v>248.13</v>
      </c>
      <c r="S214" s="228">
        <v>245.06</v>
      </c>
      <c r="T214" s="228">
        <v>3.07</v>
      </c>
      <c r="U214" s="229">
        <v>1.2500000000000001E-2</v>
      </c>
      <c r="V214" s="228">
        <v>247.62</v>
      </c>
      <c r="W214" s="228">
        <v>244.67</v>
      </c>
      <c r="X214" s="228">
        <v>2.95</v>
      </c>
      <c r="Y214" s="229">
        <v>1.21E-2</v>
      </c>
      <c r="Z214" s="228">
        <v>0.43</v>
      </c>
      <c r="AA214" s="228">
        <v>-0.2</v>
      </c>
      <c r="AB214" s="228">
        <v>0.63</v>
      </c>
      <c r="AC214" s="229">
        <v>1.6999999999999999E-3</v>
      </c>
      <c r="AD214" s="228">
        <v>0.43</v>
      </c>
      <c r="AE214" s="228">
        <v>-0.2</v>
      </c>
      <c r="AF214" s="228">
        <v>0.63</v>
      </c>
      <c r="AG214" s="229">
        <v>1.6999999999999999E-3</v>
      </c>
      <c r="AH214" s="228">
        <v>-0.56999999999999995</v>
      </c>
      <c r="AI214" s="228">
        <v>-1.34</v>
      </c>
      <c r="AJ214" s="228">
        <v>0.77</v>
      </c>
      <c r="AK214" s="229">
        <v>-2.3E-3</v>
      </c>
      <c r="AL214" s="228">
        <v>-1.08</v>
      </c>
      <c r="AM214" s="228">
        <v>-1.73</v>
      </c>
      <c r="AN214" s="228">
        <v>0.65</v>
      </c>
      <c r="AO214" s="229">
        <v>-4.3E-3</v>
      </c>
      <c r="AP214" s="228">
        <v>248.95</v>
      </c>
      <c r="AQ214" s="228">
        <v>248.24</v>
      </c>
      <c r="AR214" s="228">
        <v>0</v>
      </c>
      <c r="AS214" s="228">
        <v>545</v>
      </c>
      <c r="AT214" s="228">
        <v>639</v>
      </c>
      <c r="AU214" s="228">
        <v>-94</v>
      </c>
      <c r="AV214" s="229">
        <v>-0.1477</v>
      </c>
      <c r="AW214" s="228">
        <v>436</v>
      </c>
      <c r="AX214" s="228">
        <v>526</v>
      </c>
      <c r="AY214" s="228">
        <v>-90</v>
      </c>
      <c r="AZ214" s="229">
        <v>-0.1714</v>
      </c>
      <c r="BA214" s="228">
        <v>99</v>
      </c>
      <c r="BB214" s="228">
        <v>104</v>
      </c>
      <c r="BC214" s="228">
        <v>-6</v>
      </c>
      <c r="BD214" s="229">
        <v>-5.5800000000000002E-2</v>
      </c>
      <c r="BE214" s="228">
        <v>10</v>
      </c>
      <c r="BF214" s="228">
        <v>9</v>
      </c>
      <c r="BG214" s="228">
        <v>2</v>
      </c>
      <c r="BH214" s="229">
        <v>0.17799999999999999</v>
      </c>
      <c r="BI214" s="230">
        <v>1449</v>
      </c>
      <c r="BJ214" s="230">
        <v>1242</v>
      </c>
      <c r="BK214" s="228">
        <v>207</v>
      </c>
      <c r="BL214" s="229">
        <v>0.1666</v>
      </c>
      <c r="BM214" s="228">
        <v>902</v>
      </c>
      <c r="BN214" s="228">
        <v>621</v>
      </c>
      <c r="BO214" s="228">
        <v>281</v>
      </c>
      <c r="BP214" s="229">
        <v>0.45179999999999998</v>
      </c>
      <c r="BQ214" s="230">
        <v>2896</v>
      </c>
      <c r="BR214" s="230">
        <v>2503</v>
      </c>
      <c r="BS214" s="228">
        <v>393</v>
      </c>
      <c r="BT214" s="229">
        <v>0.15709999999999999</v>
      </c>
      <c r="BU214" s="230">
        <v>7323369</v>
      </c>
      <c r="BV214" s="230">
        <v>4861965</v>
      </c>
      <c r="BW214" s="230">
        <v>2461404</v>
      </c>
      <c r="BX214" s="229">
        <v>0.50629999999999997</v>
      </c>
      <c r="BY214" s="230">
        <v>3511</v>
      </c>
      <c r="BZ214" s="230">
        <v>3533</v>
      </c>
      <c r="CA214" s="228">
        <v>-22</v>
      </c>
      <c r="CB214" s="229">
        <v>-6.3E-3</v>
      </c>
      <c r="CC214" s="230">
        <v>3231</v>
      </c>
      <c r="CD214" s="230">
        <v>3300</v>
      </c>
      <c r="CE214" s="228">
        <v>-68</v>
      </c>
      <c r="CF214" s="229">
        <v>-2.07E-2</v>
      </c>
      <c r="CG214" s="228">
        <v>262</v>
      </c>
      <c r="CH214" s="228">
        <v>222</v>
      </c>
      <c r="CI214" s="228">
        <v>41</v>
      </c>
      <c r="CJ214" s="229">
        <v>0.18410000000000001</v>
      </c>
      <c r="CK214" s="228">
        <v>17</v>
      </c>
      <c r="CL214" s="228">
        <v>11</v>
      </c>
      <c r="CM214" s="228">
        <v>5</v>
      </c>
      <c r="CN214" s="229">
        <v>0.47370000000000001</v>
      </c>
      <c r="CO214" s="228">
        <v>862</v>
      </c>
      <c r="CP214" s="228">
        <v>935</v>
      </c>
      <c r="CQ214" s="228">
        <v>-73</v>
      </c>
      <c r="CR214" s="229">
        <v>-7.7600000000000002E-2</v>
      </c>
      <c r="CS214" s="228">
        <v>822</v>
      </c>
      <c r="CT214" s="228">
        <v>807</v>
      </c>
      <c r="CU214" s="228">
        <v>14</v>
      </c>
      <c r="CV214" s="229">
        <v>1.7899999999999999E-2</v>
      </c>
      <c r="CW214" s="230">
        <v>5195</v>
      </c>
      <c r="CX214" s="230">
        <v>5275</v>
      </c>
      <c r="CY214" s="228">
        <v>-80</v>
      </c>
      <c r="CZ214" s="229">
        <v>-1.52E-2</v>
      </c>
      <c r="DA214" s="228">
        <v>28.2</v>
      </c>
      <c r="DB214" s="228">
        <v>30.01</v>
      </c>
      <c r="DC214" s="228">
        <v>-1.81</v>
      </c>
      <c r="DD214" s="228">
        <v>-1.81</v>
      </c>
      <c r="DE214" s="228">
        <v>30.64</v>
      </c>
      <c r="DF214" s="228">
        <v>30.68</v>
      </c>
      <c r="DG214" s="228">
        <v>-2.44</v>
      </c>
      <c r="DH214" s="228">
        <v>-0.04</v>
      </c>
      <c r="DI214" s="228">
        <v>27.72</v>
      </c>
      <c r="DJ214" s="228">
        <v>29.87</v>
      </c>
      <c r="DK214" s="228">
        <v>-2.15</v>
      </c>
      <c r="DL214" s="228">
        <v>-2.15</v>
      </c>
      <c r="DM214" s="228">
        <v>28.98</v>
      </c>
      <c r="DN214" s="228">
        <v>30.29</v>
      </c>
      <c r="DO214" s="228">
        <v>-1.31</v>
      </c>
      <c r="DP214" s="228">
        <v>-1.31</v>
      </c>
      <c r="DQ214" s="228">
        <v>0.95</v>
      </c>
      <c r="DR214" s="228">
        <v>0.86</v>
      </c>
      <c r="DS214" s="228">
        <v>0.09</v>
      </c>
      <c r="DT214" s="229">
        <v>0.1047</v>
      </c>
      <c r="DU214" s="228">
        <v>250</v>
      </c>
      <c r="DV214" s="228">
        <v>240</v>
      </c>
      <c r="DW214" s="228">
        <v>0.62</v>
      </c>
      <c r="DX214" s="228">
        <v>0.5</v>
      </c>
      <c r="DY214" s="228">
        <v>0.12</v>
      </c>
      <c r="DZ214" s="229">
        <v>0.24</v>
      </c>
      <c r="EA214" s="229">
        <v>7.9500000000000001E-2</v>
      </c>
      <c r="EB214" s="230">
        <v>9354000</v>
      </c>
      <c r="EC214" s="229">
        <v>-4.0000000000000001E-3</v>
      </c>
      <c r="ED214" s="229">
        <v>7.9500000000000001E-2</v>
      </c>
      <c r="EE214" s="228">
        <v>-0.71</v>
      </c>
      <c r="EF214" s="229">
        <v>-2.8999999999999998E-3</v>
      </c>
      <c r="EG214" s="230">
        <v>2991680</v>
      </c>
      <c r="EH214" s="230">
        <v>2183184</v>
      </c>
      <c r="EI214" s="229">
        <v>0.37030000000000002</v>
      </c>
      <c r="EJ214" s="229">
        <v>0.40849999999999997</v>
      </c>
      <c r="EK214" s="231">
        <v>1508.31</v>
      </c>
      <c r="EL214" s="228">
        <v>884.54</v>
      </c>
      <c r="EM214" s="228">
        <v>544.28</v>
      </c>
      <c r="EN214" s="228">
        <v>71.14</v>
      </c>
      <c r="EO214" s="231">
        <v>2937.13</v>
      </c>
      <c r="EP214" s="231">
        <v>2522.1999999999998</v>
      </c>
      <c r="EQ214" s="228">
        <v>414.93</v>
      </c>
      <c r="ER214" s="229">
        <v>0.16450000000000001</v>
      </c>
      <c r="ES214" s="228">
        <v>889.11</v>
      </c>
      <c r="ET214" s="228">
        <v>776.82</v>
      </c>
      <c r="EU214" s="231">
        <v>3509.41</v>
      </c>
      <c r="EV214" s="231">
        <v>292948819</v>
      </c>
      <c r="EW214" s="231">
        <v>5175.34</v>
      </c>
      <c r="EX214" s="231">
        <v>5213.3900000000003</v>
      </c>
      <c r="EY214" s="228">
        <v>-38.049999999999997</v>
      </c>
      <c r="EZ214" s="229">
        <v>-7.3000000000000001E-3</v>
      </c>
      <c r="FA214" s="229">
        <v>0.7117</v>
      </c>
      <c r="FB214" s="227" t="s">
        <v>556</v>
      </c>
      <c r="FC214">
        <f t="shared" si="4"/>
        <v>0</v>
      </c>
    </row>
    <row r="215" spans="1:159" ht="17.25" thickBot="1" x14ac:dyDescent="0.3">
      <c r="A215" s="226">
        <v>45940</v>
      </c>
      <c r="B215" s="227" t="s">
        <v>172</v>
      </c>
      <c r="C215" s="227" t="s">
        <v>591</v>
      </c>
      <c r="D215" s="228">
        <v>31100</v>
      </c>
      <c r="E215" s="228">
        <v>18</v>
      </c>
      <c r="F215" s="228">
        <v>24.13</v>
      </c>
      <c r="G215" s="228">
        <v>22.55</v>
      </c>
      <c r="H215" s="228">
        <v>1.58</v>
      </c>
      <c r="I215" s="229">
        <v>7.0099999999999996E-2</v>
      </c>
      <c r="J215" s="228">
        <v>24</v>
      </c>
      <c r="K215" s="228">
        <v>22.42</v>
      </c>
      <c r="L215" s="228">
        <v>1.58</v>
      </c>
      <c r="M215" s="229">
        <v>7.0499999999999993E-2</v>
      </c>
      <c r="N215" s="228">
        <v>24.13</v>
      </c>
      <c r="O215" s="228">
        <v>22.55</v>
      </c>
      <c r="P215" s="228">
        <v>1.58</v>
      </c>
      <c r="Q215" s="229">
        <v>7.0099999999999996E-2</v>
      </c>
      <c r="R215" s="228">
        <v>24.28</v>
      </c>
      <c r="S215" s="228">
        <v>22.66</v>
      </c>
      <c r="T215" s="228">
        <v>1.62</v>
      </c>
      <c r="U215" s="229">
        <v>7.1499999999999994E-2</v>
      </c>
      <c r="V215" s="228">
        <v>24.39</v>
      </c>
      <c r="W215" s="228">
        <v>22.79</v>
      </c>
      <c r="X215" s="228">
        <v>1.6</v>
      </c>
      <c r="Y215" s="229">
        <v>7.0199999999999999E-2</v>
      </c>
      <c r="Z215" s="228">
        <v>0.13</v>
      </c>
      <c r="AA215" s="228">
        <v>0.13</v>
      </c>
      <c r="AB215" s="228">
        <v>0</v>
      </c>
      <c r="AC215" s="229">
        <v>5.4000000000000003E-3</v>
      </c>
      <c r="AD215" s="228">
        <v>0.13</v>
      </c>
      <c r="AE215" s="228">
        <v>0.13</v>
      </c>
      <c r="AF215" s="228">
        <v>0</v>
      </c>
      <c r="AG215" s="229">
        <v>5.4000000000000003E-3</v>
      </c>
      <c r="AH215" s="228">
        <v>0.28000000000000003</v>
      </c>
      <c r="AI215" s="228">
        <v>0.24</v>
      </c>
      <c r="AJ215" s="228">
        <v>0.04</v>
      </c>
      <c r="AK215" s="229">
        <v>1.17E-2</v>
      </c>
      <c r="AL215" s="228">
        <v>0.39</v>
      </c>
      <c r="AM215" s="228">
        <v>0.37</v>
      </c>
      <c r="AN215" s="228">
        <v>0.02</v>
      </c>
      <c r="AO215" s="229">
        <v>1.6299999999999999E-2</v>
      </c>
      <c r="AP215" s="228">
        <v>23.86</v>
      </c>
      <c r="AQ215" s="228">
        <v>24.01</v>
      </c>
      <c r="AR215" s="228">
        <v>0</v>
      </c>
      <c r="AS215" s="230">
        <v>1137</v>
      </c>
      <c r="AT215" s="228">
        <v>250</v>
      </c>
      <c r="AU215" s="228">
        <v>886</v>
      </c>
      <c r="AV215" s="229">
        <v>3.5388000000000002</v>
      </c>
      <c r="AW215" s="228">
        <v>932</v>
      </c>
      <c r="AX215" s="228">
        <v>209</v>
      </c>
      <c r="AY215" s="228">
        <v>723</v>
      </c>
      <c r="AZ215" s="229">
        <v>3.4567999999999999</v>
      </c>
      <c r="BA215" s="228">
        <v>166</v>
      </c>
      <c r="BB215" s="228">
        <v>33</v>
      </c>
      <c r="BC215" s="228">
        <v>132</v>
      </c>
      <c r="BD215" s="229">
        <v>3.9573999999999998</v>
      </c>
      <c r="BE215" s="228">
        <v>39</v>
      </c>
      <c r="BF215" s="228">
        <v>8</v>
      </c>
      <c r="BG215" s="228">
        <v>31</v>
      </c>
      <c r="BH215" s="229">
        <v>3.9422999999999999</v>
      </c>
      <c r="BI215" s="230">
        <v>4461</v>
      </c>
      <c r="BJ215" s="228">
        <v>551</v>
      </c>
      <c r="BK215" s="230">
        <v>3910</v>
      </c>
      <c r="BL215" s="229">
        <v>7.0933000000000002</v>
      </c>
      <c r="BM215" s="230">
        <v>1200</v>
      </c>
      <c r="BN215" s="228">
        <v>134</v>
      </c>
      <c r="BO215" s="230">
        <v>1066</v>
      </c>
      <c r="BP215" s="229">
        <v>7.9363000000000001</v>
      </c>
      <c r="BQ215" s="230">
        <v>6798</v>
      </c>
      <c r="BR215" s="228">
        <v>936</v>
      </c>
      <c r="BS215" s="230">
        <v>5862</v>
      </c>
      <c r="BT215" s="229">
        <v>6.2632000000000003</v>
      </c>
      <c r="BU215" s="230">
        <v>616833560</v>
      </c>
      <c r="BV215" s="230">
        <v>118722242</v>
      </c>
      <c r="BW215" s="230">
        <v>498111318</v>
      </c>
      <c r="BX215" s="229">
        <v>4.1955999999999998</v>
      </c>
      <c r="BY215" s="230">
        <v>2419</v>
      </c>
      <c r="BZ215" s="230">
        <v>2222</v>
      </c>
      <c r="CA215" s="228">
        <v>197</v>
      </c>
      <c r="CB215" s="229">
        <v>8.8599999999999998E-2</v>
      </c>
      <c r="CC215" s="230">
        <v>2213</v>
      </c>
      <c r="CD215" s="230">
        <v>2047</v>
      </c>
      <c r="CE215" s="228">
        <v>166</v>
      </c>
      <c r="CF215" s="229">
        <v>8.1199999999999994E-2</v>
      </c>
      <c r="CG215" s="228">
        <v>184</v>
      </c>
      <c r="CH215" s="228">
        <v>157</v>
      </c>
      <c r="CI215" s="228">
        <v>26</v>
      </c>
      <c r="CJ215" s="229">
        <v>0.16750000000000001</v>
      </c>
      <c r="CK215" s="228">
        <v>22</v>
      </c>
      <c r="CL215" s="228">
        <v>17</v>
      </c>
      <c r="CM215" s="228">
        <v>4</v>
      </c>
      <c r="CN215" s="229">
        <v>0.24460000000000001</v>
      </c>
      <c r="CO215" s="228">
        <v>641</v>
      </c>
      <c r="CP215" s="228">
        <v>614</v>
      </c>
      <c r="CQ215" s="228">
        <v>28</v>
      </c>
      <c r="CR215" s="229">
        <v>4.4900000000000002E-2</v>
      </c>
      <c r="CS215" s="228">
        <v>431</v>
      </c>
      <c r="CT215" s="228">
        <v>290</v>
      </c>
      <c r="CU215" s="228">
        <v>141</v>
      </c>
      <c r="CV215" s="229">
        <v>0.48480000000000001</v>
      </c>
      <c r="CW215" s="230">
        <v>3491</v>
      </c>
      <c r="CX215" s="230">
        <v>3126</v>
      </c>
      <c r="CY215" s="228">
        <v>365</v>
      </c>
      <c r="CZ215" s="229">
        <v>0.1168</v>
      </c>
      <c r="DA215" s="228">
        <v>37.08</v>
      </c>
      <c r="DB215" s="228">
        <v>32.659999999999997</v>
      </c>
      <c r="DC215" s="228">
        <v>4.42</v>
      </c>
      <c r="DD215" s="228">
        <v>4.42</v>
      </c>
      <c r="DE215" s="228">
        <v>42.08</v>
      </c>
      <c r="DF215" s="228">
        <v>41.18</v>
      </c>
      <c r="DG215" s="228">
        <v>-5</v>
      </c>
      <c r="DH215" s="228">
        <v>0.9</v>
      </c>
      <c r="DI215" s="228">
        <v>37.020000000000003</v>
      </c>
      <c r="DJ215" s="228">
        <v>32.869999999999997</v>
      </c>
      <c r="DK215" s="228">
        <v>4.1500000000000004</v>
      </c>
      <c r="DL215" s="228">
        <v>4.1500000000000004</v>
      </c>
      <c r="DM215" s="228">
        <v>37.33</v>
      </c>
      <c r="DN215" s="228">
        <v>31.83</v>
      </c>
      <c r="DO215" s="228">
        <v>5.5</v>
      </c>
      <c r="DP215" s="228">
        <v>5.5</v>
      </c>
      <c r="DQ215" s="228">
        <v>0.67</v>
      </c>
      <c r="DR215" s="228">
        <v>0.47</v>
      </c>
      <c r="DS215" s="228">
        <v>0.2</v>
      </c>
      <c r="DT215" s="229">
        <v>0.42549999999999999</v>
      </c>
      <c r="DU215" s="228">
        <v>24</v>
      </c>
      <c r="DV215" s="228">
        <v>21</v>
      </c>
      <c r="DW215" s="228">
        <v>0.27</v>
      </c>
      <c r="DX215" s="228">
        <v>0.24</v>
      </c>
      <c r="DY215" s="228">
        <v>0.03</v>
      </c>
      <c r="DZ215" s="229">
        <v>0.125</v>
      </c>
      <c r="EA215" s="229">
        <v>8.4900000000000003E-2</v>
      </c>
      <c r="EB215" s="230">
        <v>72400800</v>
      </c>
      <c r="EC215" s="229">
        <v>6.1999999999999998E-3</v>
      </c>
      <c r="ED215" s="229">
        <v>8.4900000000000003E-2</v>
      </c>
      <c r="EE215" s="228">
        <v>0.15</v>
      </c>
      <c r="EF215" s="229">
        <v>6.3E-3</v>
      </c>
      <c r="EG215" s="230">
        <v>229153223</v>
      </c>
      <c r="EH215" s="230">
        <v>62498198</v>
      </c>
      <c r="EI215" s="229">
        <v>2.6665999999999999</v>
      </c>
      <c r="EJ215" s="229">
        <v>0.3715</v>
      </c>
      <c r="EK215" s="231">
        <v>4637.0600000000004</v>
      </c>
      <c r="EL215" s="231">
        <v>1162.05</v>
      </c>
      <c r="EM215" s="231">
        <v>1125.1099999999999</v>
      </c>
      <c r="EN215" s="228">
        <v>40.35</v>
      </c>
      <c r="EO215" s="231">
        <v>6924.22</v>
      </c>
      <c r="EP215" s="228">
        <v>895.48</v>
      </c>
      <c r="EQ215" s="231">
        <v>6028.74</v>
      </c>
      <c r="ER215" s="229">
        <v>6.7324000000000002</v>
      </c>
      <c r="ES215" s="228">
        <v>637.99</v>
      </c>
      <c r="ET215" s="228">
        <v>390.25</v>
      </c>
      <c r="EU215" s="231">
        <v>2419.98</v>
      </c>
      <c r="EV215" s="231">
        <v>3136562346</v>
      </c>
      <c r="EW215" s="231">
        <v>3448.22</v>
      </c>
      <c r="EX215" s="231">
        <v>2916.33</v>
      </c>
      <c r="EY215" s="228">
        <v>531.89</v>
      </c>
      <c r="EZ215" s="229">
        <v>0.18240000000000001</v>
      </c>
      <c r="FA215" s="229">
        <v>0.46129999999999999</v>
      </c>
      <c r="FB215" s="227" t="s">
        <v>555</v>
      </c>
      <c r="FC215">
        <f t="shared" si="4"/>
        <v>0</v>
      </c>
    </row>
    <row r="216" spans="1:159" ht="17.25" thickBot="1" x14ac:dyDescent="0.3">
      <c r="A216" s="226">
        <v>45940</v>
      </c>
      <c r="B216" s="227" t="s">
        <v>170</v>
      </c>
      <c r="C216" s="227" t="s">
        <v>557</v>
      </c>
      <c r="D216" s="228">
        <v>900</v>
      </c>
      <c r="E216" s="228">
        <v>18</v>
      </c>
      <c r="F216" s="228">
        <v>999.2</v>
      </c>
      <c r="G216" s="231">
        <v>1000.1</v>
      </c>
      <c r="H216" s="228">
        <v>-0.9</v>
      </c>
      <c r="I216" s="229">
        <v>-8.9999999999999998E-4</v>
      </c>
      <c r="J216" s="228">
        <v>993.45</v>
      </c>
      <c r="K216" s="228">
        <v>994.45</v>
      </c>
      <c r="L216" s="228">
        <v>-1</v>
      </c>
      <c r="M216" s="229">
        <v>-1E-3</v>
      </c>
      <c r="N216" s="228">
        <v>999.2</v>
      </c>
      <c r="O216" s="231">
        <v>1000.1</v>
      </c>
      <c r="P216" s="228">
        <v>-0.9</v>
      </c>
      <c r="Q216" s="229">
        <v>-8.9999999999999998E-4</v>
      </c>
      <c r="R216" s="231">
        <v>1004.9</v>
      </c>
      <c r="S216" s="231">
        <v>1005.25</v>
      </c>
      <c r="T216" s="228">
        <v>-0.35</v>
      </c>
      <c r="U216" s="229">
        <v>-2.9999999999999997E-4</v>
      </c>
      <c r="V216" s="231">
        <v>1012</v>
      </c>
      <c r="W216" s="231">
        <v>1010.35</v>
      </c>
      <c r="X216" s="228">
        <v>1.65</v>
      </c>
      <c r="Y216" s="229">
        <v>1.6000000000000001E-3</v>
      </c>
      <c r="Z216" s="228">
        <v>5.75</v>
      </c>
      <c r="AA216" s="228">
        <v>5.65</v>
      </c>
      <c r="AB216" s="228">
        <v>0.1</v>
      </c>
      <c r="AC216" s="229">
        <v>5.7999999999999996E-3</v>
      </c>
      <c r="AD216" s="228">
        <v>5.75</v>
      </c>
      <c r="AE216" s="228">
        <v>5.65</v>
      </c>
      <c r="AF216" s="228">
        <v>0.1</v>
      </c>
      <c r="AG216" s="229">
        <v>5.7999999999999996E-3</v>
      </c>
      <c r="AH216" s="228">
        <v>11.45</v>
      </c>
      <c r="AI216" s="228">
        <v>10.8</v>
      </c>
      <c r="AJ216" s="228">
        <v>0.65</v>
      </c>
      <c r="AK216" s="229">
        <v>1.15E-2</v>
      </c>
      <c r="AL216" s="228">
        <v>18.55</v>
      </c>
      <c r="AM216" s="228">
        <v>15.9</v>
      </c>
      <c r="AN216" s="228">
        <v>2.65</v>
      </c>
      <c r="AO216" s="229">
        <v>1.8700000000000001E-2</v>
      </c>
      <c r="AP216" s="231">
        <v>1001.03</v>
      </c>
      <c r="AQ216" s="231">
        <v>1005.46</v>
      </c>
      <c r="AR216" s="228">
        <v>0</v>
      </c>
      <c r="AS216" s="228">
        <v>351</v>
      </c>
      <c r="AT216" s="228">
        <v>289</v>
      </c>
      <c r="AU216" s="228">
        <v>62</v>
      </c>
      <c r="AV216" s="229">
        <v>0.21310000000000001</v>
      </c>
      <c r="AW216" s="228">
        <v>277</v>
      </c>
      <c r="AX216" s="228">
        <v>274</v>
      </c>
      <c r="AY216" s="228">
        <v>3</v>
      </c>
      <c r="AZ216" s="229">
        <v>1.12E-2</v>
      </c>
      <c r="BA216" s="228">
        <v>74</v>
      </c>
      <c r="BB216" s="228">
        <v>14</v>
      </c>
      <c r="BC216" s="228">
        <v>60</v>
      </c>
      <c r="BD216" s="229">
        <v>4.1898999999999997</v>
      </c>
      <c r="BE216" s="228">
        <v>0</v>
      </c>
      <c r="BF216" s="228">
        <v>1</v>
      </c>
      <c r="BG216" s="228">
        <v>-1</v>
      </c>
      <c r="BH216" s="229">
        <v>-0.73329999999999995</v>
      </c>
      <c r="BI216" s="228">
        <v>617</v>
      </c>
      <c r="BJ216" s="230">
        <v>1006</v>
      </c>
      <c r="BK216" s="228">
        <v>-389</v>
      </c>
      <c r="BL216" s="229">
        <v>-0.38640000000000002</v>
      </c>
      <c r="BM216" s="228">
        <v>248</v>
      </c>
      <c r="BN216" s="228">
        <v>221</v>
      </c>
      <c r="BO216" s="228">
        <v>27</v>
      </c>
      <c r="BP216" s="229">
        <v>0.1216</v>
      </c>
      <c r="BQ216" s="230">
        <v>1216</v>
      </c>
      <c r="BR216" s="230">
        <v>1516</v>
      </c>
      <c r="BS216" s="228">
        <v>-300</v>
      </c>
      <c r="BT216" s="229">
        <v>-0.19800000000000001</v>
      </c>
      <c r="BU216" s="230">
        <v>1611892</v>
      </c>
      <c r="BV216" s="230">
        <v>2648284</v>
      </c>
      <c r="BW216" s="230">
        <v>-1036392</v>
      </c>
      <c r="BX216" s="229">
        <v>-0.39129999999999998</v>
      </c>
      <c r="BY216" s="228">
        <v>884</v>
      </c>
      <c r="BZ216" s="228">
        <v>837</v>
      </c>
      <c r="CA216" s="228">
        <v>46</v>
      </c>
      <c r="CB216" s="229">
        <v>5.5199999999999999E-2</v>
      </c>
      <c r="CC216" s="228">
        <v>804</v>
      </c>
      <c r="CD216" s="228">
        <v>819</v>
      </c>
      <c r="CE216" s="228">
        <v>-16</v>
      </c>
      <c r="CF216" s="229">
        <v>-1.9300000000000001E-2</v>
      </c>
      <c r="CG216" s="228">
        <v>79</v>
      </c>
      <c r="CH216" s="228">
        <v>17</v>
      </c>
      <c r="CI216" s="228">
        <v>62</v>
      </c>
      <c r="CJ216" s="229">
        <v>3.6543000000000001</v>
      </c>
      <c r="CK216" s="228">
        <v>1</v>
      </c>
      <c r="CL216" s="228">
        <v>1</v>
      </c>
      <c r="CM216" s="228">
        <v>0</v>
      </c>
      <c r="CN216" s="229">
        <v>0.25</v>
      </c>
      <c r="CO216" s="228">
        <v>325</v>
      </c>
      <c r="CP216" s="228">
        <v>323</v>
      </c>
      <c r="CQ216" s="228">
        <v>2</v>
      </c>
      <c r="CR216" s="229">
        <v>7.4999999999999997E-3</v>
      </c>
      <c r="CS216" s="228">
        <v>201</v>
      </c>
      <c r="CT216" s="228">
        <v>194</v>
      </c>
      <c r="CU216" s="228">
        <v>6</v>
      </c>
      <c r="CV216" s="229">
        <v>3.3300000000000003E-2</v>
      </c>
      <c r="CW216" s="230">
        <v>1409</v>
      </c>
      <c r="CX216" s="230">
        <v>1354</v>
      </c>
      <c r="CY216" s="228">
        <v>55</v>
      </c>
      <c r="CZ216" s="229">
        <v>4.07E-2</v>
      </c>
      <c r="DA216" s="228">
        <v>23.68</v>
      </c>
      <c r="DB216" s="228">
        <v>23.52</v>
      </c>
      <c r="DC216" s="228">
        <v>0.16</v>
      </c>
      <c r="DD216" s="228">
        <v>0.16</v>
      </c>
      <c r="DE216" s="228">
        <v>30.11</v>
      </c>
      <c r="DF216" s="228">
        <v>30.19</v>
      </c>
      <c r="DG216" s="228">
        <v>-6.43</v>
      </c>
      <c r="DH216" s="228">
        <v>-0.08</v>
      </c>
      <c r="DI216" s="228">
        <v>23.86</v>
      </c>
      <c r="DJ216" s="228">
        <v>23.46</v>
      </c>
      <c r="DK216" s="228">
        <v>0.4</v>
      </c>
      <c r="DL216" s="228">
        <v>0.4</v>
      </c>
      <c r="DM216" s="228">
        <v>23.21</v>
      </c>
      <c r="DN216" s="228">
        <v>23.79</v>
      </c>
      <c r="DO216" s="228">
        <v>-0.57999999999999996</v>
      </c>
      <c r="DP216" s="228">
        <v>-0.57999999999999996</v>
      </c>
      <c r="DQ216" s="228">
        <v>0.62</v>
      </c>
      <c r="DR216" s="228">
        <v>0.6</v>
      </c>
      <c r="DS216" s="228">
        <v>0.02</v>
      </c>
      <c r="DT216" s="229">
        <v>3.3300000000000003E-2</v>
      </c>
      <c r="DU216" s="231">
        <v>1100</v>
      </c>
      <c r="DV216" s="231">
        <v>1000</v>
      </c>
      <c r="DW216" s="228">
        <v>0.4</v>
      </c>
      <c r="DX216" s="228">
        <v>0.22</v>
      </c>
      <c r="DY216" s="228">
        <v>0.18</v>
      </c>
      <c r="DZ216" s="229">
        <v>0.81820000000000004</v>
      </c>
      <c r="EA216" s="229">
        <v>9.06E-2</v>
      </c>
      <c r="EB216" s="230">
        <v>180000</v>
      </c>
      <c r="EC216" s="229">
        <v>5.7000000000000002E-3</v>
      </c>
      <c r="ED216" s="229">
        <v>9.06E-2</v>
      </c>
      <c r="EE216" s="228">
        <v>4.43</v>
      </c>
      <c r="EF216" s="229">
        <v>4.4000000000000003E-3</v>
      </c>
      <c r="EG216" s="230">
        <v>847209</v>
      </c>
      <c r="EH216" s="230">
        <v>1490209</v>
      </c>
      <c r="EI216" s="229">
        <v>-0.43149999999999999</v>
      </c>
      <c r="EJ216" s="229">
        <v>0.52559999999999996</v>
      </c>
      <c r="EK216" s="228">
        <v>643.99</v>
      </c>
      <c r="EL216" s="228">
        <v>249.8</v>
      </c>
      <c r="EM216" s="228">
        <v>351.69</v>
      </c>
      <c r="EN216" s="228">
        <v>16.73</v>
      </c>
      <c r="EO216" s="231">
        <v>1245.48</v>
      </c>
      <c r="EP216" s="231">
        <v>1558.3</v>
      </c>
      <c r="EQ216" s="228">
        <v>-312.82</v>
      </c>
      <c r="ER216" s="229">
        <v>-0.20069999999999999</v>
      </c>
      <c r="ES216" s="228">
        <v>342.86</v>
      </c>
      <c r="ET216" s="228">
        <v>194.53</v>
      </c>
      <c r="EU216" s="228">
        <v>884.1</v>
      </c>
      <c r="EV216" s="231">
        <v>32617803</v>
      </c>
      <c r="EW216" s="231">
        <v>1421.5</v>
      </c>
      <c r="EX216" s="231">
        <v>1366.78</v>
      </c>
      <c r="EY216" s="228">
        <v>54.72</v>
      </c>
      <c r="EZ216" s="229">
        <v>0.04</v>
      </c>
      <c r="FA216" s="229">
        <v>0.4325</v>
      </c>
      <c r="FB216" s="227" t="s">
        <v>567</v>
      </c>
      <c r="FC216">
        <f t="shared" si="4"/>
        <v>0</v>
      </c>
    </row>
    <row r="217" spans="1:159" x14ac:dyDescent="0.25">
      <c r="FC217">
        <f t="shared" si="4"/>
        <v>0</v>
      </c>
    </row>
    <row r="218" spans="1:159" x14ac:dyDescent="0.25">
      <c r="FC218">
        <f t="shared" si="4"/>
        <v>0</v>
      </c>
    </row>
    <row r="219" spans="1:159" x14ac:dyDescent="0.25">
      <c r="FC219">
        <f t="shared" si="4"/>
        <v>0</v>
      </c>
    </row>
    <row r="220" spans="1:159" x14ac:dyDescent="0.25">
      <c r="FC220">
        <f t="shared" si="4"/>
        <v>0</v>
      </c>
    </row>
    <row r="221" spans="1:159" x14ac:dyDescent="0.25">
      <c r="FC221">
        <f t="shared" si="4"/>
        <v>0</v>
      </c>
    </row>
    <row r="222" spans="1:159" x14ac:dyDescent="0.25">
      <c r="FC222">
        <f t="shared" si="4"/>
        <v>0</v>
      </c>
    </row>
    <row r="223" spans="1:159" x14ac:dyDescent="0.25">
      <c r="FC223">
        <f t="shared" si="4"/>
        <v>0</v>
      </c>
    </row>
    <row r="224" spans="1:159" x14ac:dyDescent="0.25">
      <c r="FC224">
        <f t="shared" si="4"/>
        <v>0</v>
      </c>
    </row>
    <row r="225" spans="159:159" x14ac:dyDescent="0.25">
      <c r="FC225">
        <f t="shared" si="4"/>
        <v>0</v>
      </c>
    </row>
    <row r="226" spans="159:159" x14ac:dyDescent="0.25">
      <c r="FC226">
        <f t="shared" si="4"/>
        <v>0</v>
      </c>
    </row>
    <row r="227" spans="159:159" x14ac:dyDescent="0.25">
      <c r="FC227">
        <f t="shared" si="4"/>
        <v>0</v>
      </c>
    </row>
    <row r="228" spans="159:159" x14ac:dyDescent="0.25">
      <c r="FC228">
        <f t="shared" si="4"/>
        <v>0</v>
      </c>
    </row>
    <row r="229" spans="159:159" x14ac:dyDescent="0.25">
      <c r="FC229">
        <f t="shared" si="4"/>
        <v>0</v>
      </c>
    </row>
    <row r="230" spans="159:159" x14ac:dyDescent="0.25">
      <c r="FC230">
        <f t="shared" si="4"/>
        <v>0</v>
      </c>
    </row>
    <row r="231" spans="159:159" x14ac:dyDescent="0.25">
      <c r="FC231">
        <f t="shared" si="4"/>
        <v>0</v>
      </c>
    </row>
    <row r="232" spans="159:159" x14ac:dyDescent="0.25">
      <c r="FC232">
        <f t="shared" si="4"/>
        <v>0</v>
      </c>
    </row>
    <row r="233" spans="159:159" x14ac:dyDescent="0.25">
      <c r="FC233">
        <f t="shared" si="4"/>
        <v>0</v>
      </c>
    </row>
    <row r="234" spans="159:159" x14ac:dyDescent="0.25">
      <c r="FC234">
        <f t="shared" si="4"/>
        <v>0</v>
      </c>
    </row>
    <row r="235" spans="159:159" x14ac:dyDescent="0.25">
      <c r="FC235">
        <f t="shared" si="4"/>
        <v>0</v>
      </c>
    </row>
    <row r="236" spans="159:159" x14ac:dyDescent="0.25">
      <c r="FC236">
        <f t="shared" si="4"/>
        <v>0</v>
      </c>
    </row>
    <row r="237" spans="159:159" x14ac:dyDescent="0.25">
      <c r="FC237">
        <f t="shared" si="4"/>
        <v>0</v>
      </c>
    </row>
    <row r="238" spans="159:159" x14ac:dyDescent="0.25">
      <c r="FC238">
        <f t="shared" si="4"/>
        <v>0</v>
      </c>
    </row>
    <row r="239" spans="159:159" x14ac:dyDescent="0.25">
      <c r="FC239">
        <f t="shared" si="4"/>
        <v>0</v>
      </c>
    </row>
    <row r="240" spans="159: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BY326-CC326</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BY390-CC390</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topLeftCell="F1" zoomScaleNormal="100" workbookViewId="0">
      <selection activeCell="CC153" sqref="CC153"/>
    </sheetView>
  </sheetViews>
  <sheetFormatPr defaultRowHeight="15" x14ac:dyDescent="0.25"/>
  <cols>
    <col min="1" max="1" width="11.85546875"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3.7109375" customWidth="1"/>
    <col min="79" max="79" width="9.85546875" customWidth="1"/>
    <col min="80" max="81" width="15.5703125" customWidth="1"/>
    <col min="82" max="82" width="14.85546875" customWidth="1"/>
    <col min="83" max="83" width="11.42578125" customWidth="1"/>
    <col min="84" max="84" width="14" customWidth="1"/>
    <col min="85" max="85" width="14.42578125" customWidth="1"/>
    <col min="86" max="86" width="13.5703125" customWidth="1"/>
    <col min="87" max="87" width="11.42578125" customWidth="1"/>
    <col min="88" max="89" width="12.7109375" customWidth="1"/>
    <col min="90" max="90" width="11.5703125" customWidth="1"/>
    <col min="91" max="91" width="10.140625" customWidth="1"/>
    <col min="92" max="93" width="15.5703125" customWidth="1"/>
    <col min="94" max="94" width="13.7109375" customWidth="1"/>
    <col min="95" max="95" width="10.42578125" customWidth="1"/>
    <col min="96" max="97" width="15.5703125" customWidth="1"/>
    <col min="98" max="98" width="12.7109375" customWidth="1"/>
    <col min="99" max="99" width="10.28515625" customWidth="1"/>
    <col min="100" max="101" width="15.5703125" customWidth="1"/>
    <col min="102" max="102" width="14" customWidth="1"/>
    <col min="103" max="103" width="11.7109375" customWidth="1"/>
    <col min="104" max="104" width="8" style="195" customWidth="1"/>
    <col min="105" max="105" width="8.7109375" customWidth="1"/>
    <col min="106" max="106" width="7.85546875" customWidth="1"/>
    <col min="107" max="107" width="7.7109375" customWidth="1"/>
    <col min="108"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4"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8.42578125" customWidth="1"/>
    <col min="152" max="153" width="16.7109375" customWidth="1"/>
    <col min="154" max="154" width="15.570312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hidden="1" thickBot="1" x14ac:dyDescent="0.3">
      <c r="A2" s="226">
        <v>45940</v>
      </c>
      <c r="B2" s="227" t="s">
        <v>175</v>
      </c>
      <c r="C2" s="227" t="s">
        <v>684</v>
      </c>
      <c r="D2" s="228">
        <v>500</v>
      </c>
      <c r="E2" s="231">
        <v>1094.3</v>
      </c>
      <c r="F2" s="231">
        <v>1083.2</v>
      </c>
      <c r="G2" s="228">
        <v>11.1</v>
      </c>
      <c r="H2" s="229">
        <v>1.0200000000000001E-2</v>
      </c>
      <c r="I2" s="231">
        <v>1095.0999999999999</v>
      </c>
      <c r="J2" s="231">
        <v>1084.4000000000001</v>
      </c>
      <c r="K2" s="228">
        <v>10.7</v>
      </c>
      <c r="L2" s="229">
        <v>9.9000000000000008E-3</v>
      </c>
      <c r="M2" s="231">
        <v>1094.3</v>
      </c>
      <c r="N2" s="231">
        <v>1083.2</v>
      </c>
      <c r="O2" s="228">
        <v>11.1</v>
      </c>
      <c r="P2" s="229">
        <v>1.0200000000000001E-2</v>
      </c>
      <c r="Q2" s="231">
        <v>1097.8</v>
      </c>
      <c r="R2" s="231">
        <v>1085.5999999999999</v>
      </c>
      <c r="S2" s="228">
        <v>12.2</v>
      </c>
      <c r="T2" s="229">
        <v>1.12E-2</v>
      </c>
      <c r="U2" s="231">
        <v>1106.4000000000001</v>
      </c>
      <c r="V2" s="231">
        <v>1071.4000000000001</v>
      </c>
      <c r="W2" s="228">
        <v>35</v>
      </c>
      <c r="X2" s="229">
        <v>3.27E-2</v>
      </c>
      <c r="Y2" s="228">
        <v>-0.8</v>
      </c>
      <c r="Z2" s="228">
        <v>-1.2</v>
      </c>
      <c r="AA2" s="228">
        <v>0.4</v>
      </c>
      <c r="AB2" s="229">
        <v>-6.9999999999999999E-4</v>
      </c>
      <c r="AC2" s="228">
        <v>-0.8</v>
      </c>
      <c r="AD2" s="228">
        <v>-1.2</v>
      </c>
      <c r="AE2" s="228">
        <v>0.4</v>
      </c>
      <c r="AF2" s="229">
        <v>-6.9999999999999999E-4</v>
      </c>
      <c r="AG2" s="228">
        <v>2.7</v>
      </c>
      <c r="AH2" s="228">
        <v>1.2</v>
      </c>
      <c r="AI2" s="228">
        <v>1.5</v>
      </c>
      <c r="AJ2" s="229">
        <v>2.5000000000000001E-3</v>
      </c>
      <c r="AK2" s="228">
        <v>11.3</v>
      </c>
      <c r="AL2" s="228">
        <v>-13</v>
      </c>
      <c r="AM2" s="228">
        <v>24.3</v>
      </c>
      <c r="AN2" s="229">
        <v>1.03E-2</v>
      </c>
      <c r="AO2" s="231">
        <v>1094.83</v>
      </c>
      <c r="AP2" s="231">
        <v>1097.2</v>
      </c>
      <c r="AQ2" s="228">
        <v>0</v>
      </c>
      <c r="AR2" s="230">
        <v>413000</v>
      </c>
      <c r="AS2" s="230">
        <v>336000</v>
      </c>
      <c r="AT2" s="230">
        <v>77000</v>
      </c>
      <c r="AU2" s="229">
        <v>0.22919999999999999</v>
      </c>
      <c r="AV2" s="230">
        <v>402000</v>
      </c>
      <c r="AW2" s="230">
        <v>311500</v>
      </c>
      <c r="AX2" s="230">
        <v>90500</v>
      </c>
      <c r="AY2" s="229">
        <v>0.29049999999999998</v>
      </c>
      <c r="AZ2" s="230">
        <v>10000</v>
      </c>
      <c r="BA2" s="230">
        <v>24500</v>
      </c>
      <c r="BB2" s="230">
        <v>-14500</v>
      </c>
      <c r="BC2" s="229">
        <v>-0.59179999999999999</v>
      </c>
      <c r="BD2" s="230">
        <v>1000</v>
      </c>
      <c r="BE2" s="228">
        <v>0</v>
      </c>
      <c r="BF2" s="230">
        <v>1000</v>
      </c>
      <c r="BG2" s="229">
        <v>0</v>
      </c>
      <c r="BH2" s="230">
        <v>922500</v>
      </c>
      <c r="BI2" s="230">
        <v>710500</v>
      </c>
      <c r="BJ2" s="230">
        <v>212000</v>
      </c>
      <c r="BK2" s="229">
        <v>0.2984</v>
      </c>
      <c r="BL2" s="230">
        <v>153000</v>
      </c>
      <c r="BM2" s="230">
        <v>202500</v>
      </c>
      <c r="BN2" s="230">
        <v>-49500</v>
      </c>
      <c r="BO2" s="229">
        <v>-0.24440000000000001</v>
      </c>
      <c r="BP2" s="230">
        <v>1488500</v>
      </c>
      <c r="BQ2" s="230">
        <v>1249000</v>
      </c>
      <c r="BR2" s="230">
        <v>239500</v>
      </c>
      <c r="BS2" s="229">
        <v>0.1918</v>
      </c>
      <c r="BT2" s="230">
        <v>266315</v>
      </c>
      <c r="BU2" s="230">
        <v>298476</v>
      </c>
      <c r="BV2" s="230">
        <v>-32161</v>
      </c>
      <c r="BW2" s="229">
        <v>-0.10780000000000001</v>
      </c>
      <c r="BX2" s="230">
        <v>2481500</v>
      </c>
      <c r="BY2" s="230">
        <v>2460000</v>
      </c>
      <c r="BZ2" s="230">
        <v>21500</v>
      </c>
      <c r="CA2" s="229">
        <v>8.6999999999999994E-3</v>
      </c>
      <c r="CB2" s="230">
        <v>2432000</v>
      </c>
      <c r="CC2" s="230">
        <v>2413500</v>
      </c>
      <c r="CD2" s="230">
        <v>18500</v>
      </c>
      <c r="CE2" s="229">
        <v>7.7000000000000002E-3</v>
      </c>
      <c r="CF2" s="230">
        <v>48000</v>
      </c>
      <c r="CG2" s="230">
        <v>46000</v>
      </c>
      <c r="CH2" s="230">
        <v>2000</v>
      </c>
      <c r="CI2" s="229">
        <v>4.3499999999999997E-2</v>
      </c>
      <c r="CJ2" s="230">
        <v>1500</v>
      </c>
      <c r="CK2" s="228">
        <v>500</v>
      </c>
      <c r="CL2" s="230">
        <v>1000</v>
      </c>
      <c r="CM2" s="229">
        <v>2</v>
      </c>
      <c r="CN2" s="230">
        <v>917500</v>
      </c>
      <c r="CO2" s="230">
        <v>923000</v>
      </c>
      <c r="CP2" s="230">
        <v>-5500</v>
      </c>
      <c r="CQ2" s="229">
        <v>-6.0000000000000001E-3</v>
      </c>
      <c r="CR2" s="230">
        <v>660000</v>
      </c>
      <c r="CS2" s="230">
        <v>661000</v>
      </c>
      <c r="CT2" s="230">
        <v>-1000</v>
      </c>
      <c r="CU2" s="229">
        <v>-1.5E-3</v>
      </c>
      <c r="CV2" s="230">
        <v>4059000</v>
      </c>
      <c r="CW2" s="230">
        <v>4044000</v>
      </c>
      <c r="CX2" s="230">
        <v>15000</v>
      </c>
      <c r="CY2" s="229">
        <v>3.7000000000000002E-3</v>
      </c>
      <c r="CZ2" s="228">
        <v>30.12</v>
      </c>
      <c r="DA2" s="228">
        <v>30.83</v>
      </c>
      <c r="DB2" s="228">
        <v>-0.71</v>
      </c>
      <c r="DC2" s="228">
        <v>-0.71</v>
      </c>
      <c r="DD2" s="228">
        <v>46.15</v>
      </c>
      <c r="DE2" s="228">
        <v>46.24</v>
      </c>
      <c r="DF2" s="228">
        <v>-16.03</v>
      </c>
      <c r="DG2" s="228">
        <v>-0.09</v>
      </c>
      <c r="DH2" s="228">
        <v>30.1</v>
      </c>
      <c r="DI2" s="228">
        <v>30.54</v>
      </c>
      <c r="DJ2" s="228">
        <v>-0.44</v>
      </c>
      <c r="DK2" s="228">
        <v>-0.44</v>
      </c>
      <c r="DL2" s="228">
        <v>30.28</v>
      </c>
      <c r="DM2" s="228">
        <v>31.85</v>
      </c>
      <c r="DN2" s="228">
        <v>-1.57</v>
      </c>
      <c r="DO2" s="228">
        <v>-1.57</v>
      </c>
      <c r="DP2" s="228">
        <v>0.72</v>
      </c>
      <c r="DQ2" s="228">
        <v>0.72</v>
      </c>
      <c r="DR2" s="228">
        <v>0</v>
      </c>
      <c r="DS2" s="229">
        <v>0</v>
      </c>
      <c r="DT2" s="231">
        <v>1100</v>
      </c>
      <c r="DU2" s="231">
        <v>1100</v>
      </c>
      <c r="DV2" s="228">
        <v>0.17</v>
      </c>
      <c r="DW2" s="228">
        <v>0.28999999999999998</v>
      </c>
      <c r="DX2" s="228">
        <v>-0.12</v>
      </c>
      <c r="DY2" s="229">
        <v>-0.4138</v>
      </c>
      <c r="DZ2" s="229">
        <v>1.9900000000000001E-2</v>
      </c>
      <c r="EA2" s="230">
        <v>46500</v>
      </c>
      <c r="EB2" s="229">
        <v>3.2000000000000002E-3</v>
      </c>
      <c r="EC2" s="229">
        <v>1.9900000000000001E-2</v>
      </c>
      <c r="ED2" s="228">
        <v>2.37</v>
      </c>
      <c r="EE2" s="229">
        <v>2.2000000000000001E-3</v>
      </c>
      <c r="EF2" s="230">
        <v>100969</v>
      </c>
      <c r="EG2" s="230">
        <v>104381</v>
      </c>
      <c r="EH2" s="229">
        <v>-3.27E-2</v>
      </c>
      <c r="EI2" s="229">
        <v>0.37909999999999999</v>
      </c>
      <c r="EJ2" s="231">
        <v>10531.98</v>
      </c>
      <c r="EK2" s="231">
        <v>1672.66</v>
      </c>
      <c r="EL2" s="231">
        <v>4521.95</v>
      </c>
      <c r="EM2" s="231">
        <v>1130</v>
      </c>
      <c r="EN2" s="231">
        <v>16726.59</v>
      </c>
      <c r="EO2" s="231">
        <v>13910.24</v>
      </c>
      <c r="EP2" s="231">
        <v>2816.35</v>
      </c>
      <c r="EQ2" s="229">
        <v>0.20250000000000001</v>
      </c>
      <c r="ER2" s="231">
        <v>10295</v>
      </c>
      <c r="ES2" s="231">
        <v>6964</v>
      </c>
      <c r="ET2" s="231">
        <v>27157</v>
      </c>
      <c r="EU2" s="231">
        <v>44660948</v>
      </c>
      <c r="EV2" s="231">
        <v>44415</v>
      </c>
      <c r="EW2" s="231">
        <v>43965</v>
      </c>
      <c r="EX2" s="228">
        <v>450</v>
      </c>
      <c r="EY2" s="229">
        <v>1.0200000000000001E-2</v>
      </c>
      <c r="EZ2" s="229">
        <v>9.0899999999999995E-2</v>
      </c>
      <c r="FA2" s="227" t="s">
        <v>555</v>
      </c>
      <c r="FB2" s="161">
        <f>BX2-CB2</f>
        <v>49500</v>
      </c>
    </row>
    <row r="3" spans="1:158" ht="17.25" hidden="1" thickBot="1" x14ac:dyDescent="0.3">
      <c r="A3" s="226">
        <v>45940</v>
      </c>
      <c r="B3" s="227" t="s">
        <v>184</v>
      </c>
      <c r="C3" s="227" t="s">
        <v>553</v>
      </c>
      <c r="D3" s="228">
        <v>125</v>
      </c>
      <c r="E3" s="231">
        <v>5199</v>
      </c>
      <c r="F3" s="231">
        <v>5161</v>
      </c>
      <c r="G3" s="228">
        <v>38</v>
      </c>
      <c r="H3" s="229">
        <v>7.4000000000000003E-3</v>
      </c>
      <c r="I3" s="231">
        <v>5186</v>
      </c>
      <c r="J3" s="231">
        <v>5146.5</v>
      </c>
      <c r="K3" s="228">
        <v>39.5</v>
      </c>
      <c r="L3" s="229">
        <v>7.7000000000000002E-3</v>
      </c>
      <c r="M3" s="231">
        <v>5199</v>
      </c>
      <c r="N3" s="231">
        <v>5161</v>
      </c>
      <c r="O3" s="228">
        <v>38</v>
      </c>
      <c r="P3" s="229">
        <v>7.4000000000000003E-3</v>
      </c>
      <c r="Q3" s="231">
        <v>5227</v>
      </c>
      <c r="R3" s="231">
        <v>5191</v>
      </c>
      <c r="S3" s="228">
        <v>36</v>
      </c>
      <c r="T3" s="229">
        <v>6.8999999999999999E-3</v>
      </c>
      <c r="U3" s="231">
        <v>5267.5</v>
      </c>
      <c r="V3" s="231">
        <v>5223</v>
      </c>
      <c r="W3" s="228">
        <v>44.5</v>
      </c>
      <c r="X3" s="229">
        <v>8.5000000000000006E-3</v>
      </c>
      <c r="Y3" s="228">
        <v>13</v>
      </c>
      <c r="Z3" s="228">
        <v>14.5</v>
      </c>
      <c r="AA3" s="228">
        <v>-1.5</v>
      </c>
      <c r="AB3" s="229">
        <v>2.5000000000000001E-3</v>
      </c>
      <c r="AC3" s="228">
        <v>13</v>
      </c>
      <c r="AD3" s="228">
        <v>14.5</v>
      </c>
      <c r="AE3" s="228">
        <v>-1.5</v>
      </c>
      <c r="AF3" s="229">
        <v>2.5000000000000001E-3</v>
      </c>
      <c r="AG3" s="228">
        <v>41</v>
      </c>
      <c r="AH3" s="228">
        <v>44.5</v>
      </c>
      <c r="AI3" s="228">
        <v>-3.5</v>
      </c>
      <c r="AJ3" s="229">
        <v>7.9000000000000008E-3</v>
      </c>
      <c r="AK3" s="228">
        <v>81.5</v>
      </c>
      <c r="AL3" s="228">
        <v>76.5</v>
      </c>
      <c r="AM3" s="228">
        <v>5</v>
      </c>
      <c r="AN3" s="229">
        <v>1.5699999999999999E-2</v>
      </c>
      <c r="AO3" s="231">
        <v>5207.34</v>
      </c>
      <c r="AP3" s="231">
        <v>5237.59</v>
      </c>
      <c r="AQ3" s="228">
        <v>0</v>
      </c>
      <c r="AR3" s="230">
        <v>313125</v>
      </c>
      <c r="AS3" s="230">
        <v>449000</v>
      </c>
      <c r="AT3" s="230">
        <v>-135875</v>
      </c>
      <c r="AU3" s="229">
        <v>-0.30259999999999998</v>
      </c>
      <c r="AV3" s="230">
        <v>288625</v>
      </c>
      <c r="AW3" s="230">
        <v>407250</v>
      </c>
      <c r="AX3" s="230">
        <v>-118625</v>
      </c>
      <c r="AY3" s="229">
        <v>-0.2913</v>
      </c>
      <c r="AZ3" s="230">
        <v>22000</v>
      </c>
      <c r="BA3" s="230">
        <v>35625</v>
      </c>
      <c r="BB3" s="230">
        <v>-13625</v>
      </c>
      <c r="BC3" s="229">
        <v>-0.38250000000000001</v>
      </c>
      <c r="BD3" s="230">
        <v>2500</v>
      </c>
      <c r="BE3" s="230">
        <v>6125</v>
      </c>
      <c r="BF3" s="230">
        <v>-3625</v>
      </c>
      <c r="BG3" s="229">
        <v>-0.59179999999999999</v>
      </c>
      <c r="BH3" s="230">
        <v>1094750</v>
      </c>
      <c r="BI3" s="230">
        <v>1472125</v>
      </c>
      <c r="BJ3" s="230">
        <v>-377375</v>
      </c>
      <c r="BK3" s="229">
        <v>-0.25629999999999997</v>
      </c>
      <c r="BL3" s="230">
        <v>383500</v>
      </c>
      <c r="BM3" s="230">
        <v>806625</v>
      </c>
      <c r="BN3" s="230">
        <v>-423125</v>
      </c>
      <c r="BO3" s="229">
        <v>-0.52459999999999996</v>
      </c>
      <c r="BP3" s="230">
        <v>1791375</v>
      </c>
      <c r="BQ3" s="230">
        <v>2727750</v>
      </c>
      <c r="BR3" s="230">
        <v>-936375</v>
      </c>
      <c r="BS3" s="229">
        <v>-0.34329999999999999</v>
      </c>
      <c r="BT3" s="230">
        <v>195726</v>
      </c>
      <c r="BU3" s="230">
        <v>226105</v>
      </c>
      <c r="BV3" s="230">
        <v>-30379</v>
      </c>
      <c r="BW3" s="229">
        <v>-0.13439999999999999</v>
      </c>
      <c r="BX3" s="230">
        <v>2487250</v>
      </c>
      <c r="BY3" s="230">
        <v>2508375</v>
      </c>
      <c r="BZ3" s="230">
        <v>-21125</v>
      </c>
      <c r="CA3" s="229">
        <v>-8.3999999999999995E-3</v>
      </c>
      <c r="CB3" s="230">
        <v>2378125</v>
      </c>
      <c r="CC3" s="230">
        <v>2402375</v>
      </c>
      <c r="CD3" s="230">
        <v>-24250</v>
      </c>
      <c r="CE3" s="229">
        <v>-1.01E-2</v>
      </c>
      <c r="CF3" s="230">
        <v>97625</v>
      </c>
      <c r="CG3" s="230">
        <v>93750</v>
      </c>
      <c r="CH3" s="230">
        <v>3875</v>
      </c>
      <c r="CI3" s="229">
        <v>4.1300000000000003E-2</v>
      </c>
      <c r="CJ3" s="230">
        <v>11500</v>
      </c>
      <c r="CK3" s="230">
        <v>12250</v>
      </c>
      <c r="CL3" s="228">
        <v>-750</v>
      </c>
      <c r="CM3" s="229">
        <v>-6.1199999999999997E-2</v>
      </c>
      <c r="CN3" s="230">
        <v>1261125</v>
      </c>
      <c r="CO3" s="230">
        <v>1291000</v>
      </c>
      <c r="CP3" s="230">
        <v>-29875</v>
      </c>
      <c r="CQ3" s="229">
        <v>-2.3099999999999999E-2</v>
      </c>
      <c r="CR3" s="230">
        <v>814750</v>
      </c>
      <c r="CS3" s="230">
        <v>807500</v>
      </c>
      <c r="CT3" s="230">
        <v>7250</v>
      </c>
      <c r="CU3" s="229">
        <v>8.9999999999999993E-3</v>
      </c>
      <c r="CV3" s="230">
        <v>4563125</v>
      </c>
      <c r="CW3" s="230">
        <v>4606875</v>
      </c>
      <c r="CX3" s="230">
        <v>-43750</v>
      </c>
      <c r="CY3" s="229">
        <v>-9.4999999999999998E-3</v>
      </c>
      <c r="CZ3" s="228">
        <v>25.3</v>
      </c>
      <c r="DA3" s="228">
        <v>26.39</v>
      </c>
      <c r="DB3" s="228">
        <v>-1.0900000000000001</v>
      </c>
      <c r="DC3" s="228">
        <v>-1.0900000000000001</v>
      </c>
      <c r="DD3" s="228">
        <v>36.869999999999997</v>
      </c>
      <c r="DE3" s="228">
        <v>36.950000000000003</v>
      </c>
      <c r="DF3" s="228">
        <v>-11.57</v>
      </c>
      <c r="DG3" s="228">
        <v>-0.08</v>
      </c>
      <c r="DH3" s="228">
        <v>25.25</v>
      </c>
      <c r="DI3" s="228">
        <v>26.15</v>
      </c>
      <c r="DJ3" s="228">
        <v>-0.9</v>
      </c>
      <c r="DK3" s="228">
        <v>-0.9</v>
      </c>
      <c r="DL3" s="228">
        <v>25.46</v>
      </c>
      <c r="DM3" s="228">
        <v>26.83</v>
      </c>
      <c r="DN3" s="228">
        <v>-1.37</v>
      </c>
      <c r="DO3" s="228">
        <v>-1.37</v>
      </c>
      <c r="DP3" s="228">
        <v>0.65</v>
      </c>
      <c r="DQ3" s="228">
        <v>0.63</v>
      </c>
      <c r="DR3" s="228">
        <v>0.02</v>
      </c>
      <c r="DS3" s="229">
        <v>3.1699999999999999E-2</v>
      </c>
      <c r="DT3" s="231">
        <v>5300</v>
      </c>
      <c r="DU3" s="231">
        <v>5200</v>
      </c>
      <c r="DV3" s="228">
        <v>0.35</v>
      </c>
      <c r="DW3" s="228">
        <v>0.55000000000000004</v>
      </c>
      <c r="DX3" s="228">
        <v>-0.2</v>
      </c>
      <c r="DY3" s="229">
        <v>-0.36359999999999998</v>
      </c>
      <c r="DZ3" s="229">
        <v>4.3900000000000002E-2</v>
      </c>
      <c r="EA3" s="230">
        <v>106000</v>
      </c>
      <c r="EB3" s="229">
        <v>5.4000000000000003E-3</v>
      </c>
      <c r="EC3" s="229">
        <v>4.3900000000000002E-2</v>
      </c>
      <c r="ED3" s="228">
        <v>30.25</v>
      </c>
      <c r="EE3" s="229">
        <v>5.7999999999999996E-3</v>
      </c>
      <c r="EF3" s="230">
        <v>122626</v>
      </c>
      <c r="EG3" s="230">
        <v>115418</v>
      </c>
      <c r="EH3" s="229">
        <v>6.25E-2</v>
      </c>
      <c r="EI3" s="229">
        <v>0.62649999999999995</v>
      </c>
      <c r="EJ3" s="231">
        <v>59297.39</v>
      </c>
      <c r="EK3" s="231">
        <v>19689.830000000002</v>
      </c>
      <c r="EL3" s="231">
        <v>16313.73</v>
      </c>
      <c r="EM3" s="231">
        <v>3739</v>
      </c>
      <c r="EN3" s="231">
        <v>95300.95</v>
      </c>
      <c r="EO3" s="231">
        <v>143701.24</v>
      </c>
      <c r="EP3" s="231">
        <v>-48400.29</v>
      </c>
      <c r="EQ3" s="229">
        <v>-0.33679999999999999</v>
      </c>
      <c r="ER3" s="231">
        <v>68620</v>
      </c>
      <c r="ES3" s="231">
        <v>42456</v>
      </c>
      <c r="ET3" s="231">
        <v>129347</v>
      </c>
      <c r="EU3" s="231">
        <v>7946564</v>
      </c>
      <c r="EV3" s="231">
        <v>240423</v>
      </c>
      <c r="EW3" s="231">
        <v>241795</v>
      </c>
      <c r="EX3" s="231">
        <v>-1372</v>
      </c>
      <c r="EY3" s="229">
        <v>-5.7000000000000002E-3</v>
      </c>
      <c r="EZ3" s="229">
        <v>0.57420000000000004</v>
      </c>
      <c r="FA3" s="227" t="s">
        <v>556</v>
      </c>
      <c r="FB3" s="161">
        <f t="shared" ref="FB3:FB66" si="0">BX3-CB3</f>
        <v>109125</v>
      </c>
    </row>
    <row r="4" spans="1:158" ht="17.25" hidden="1" thickBot="1" x14ac:dyDescent="0.3">
      <c r="A4" s="226">
        <v>45940</v>
      </c>
      <c r="B4" s="227" t="s">
        <v>175</v>
      </c>
      <c r="C4" s="227" t="s">
        <v>544</v>
      </c>
      <c r="D4" s="228">
        <v>3100</v>
      </c>
      <c r="E4" s="228">
        <v>295</v>
      </c>
      <c r="F4" s="228">
        <v>299.7</v>
      </c>
      <c r="G4" s="228">
        <v>-4.7</v>
      </c>
      <c r="H4" s="229">
        <v>-1.5699999999999999E-2</v>
      </c>
      <c r="I4" s="228">
        <v>293.35000000000002</v>
      </c>
      <c r="J4" s="228">
        <v>297.95</v>
      </c>
      <c r="K4" s="228">
        <v>-4.5999999999999996</v>
      </c>
      <c r="L4" s="229">
        <v>-1.54E-2</v>
      </c>
      <c r="M4" s="228">
        <v>295</v>
      </c>
      <c r="N4" s="228">
        <v>299.7</v>
      </c>
      <c r="O4" s="228">
        <v>-4.7</v>
      </c>
      <c r="P4" s="229">
        <v>-1.5699999999999999E-2</v>
      </c>
      <c r="Q4" s="228">
        <v>296.55</v>
      </c>
      <c r="R4" s="228">
        <v>301.3</v>
      </c>
      <c r="S4" s="228">
        <v>-4.75</v>
      </c>
      <c r="T4" s="229">
        <v>-1.5800000000000002E-2</v>
      </c>
      <c r="U4" s="228">
        <v>298.39999999999998</v>
      </c>
      <c r="V4" s="228">
        <v>303.10000000000002</v>
      </c>
      <c r="W4" s="228">
        <v>-4.7</v>
      </c>
      <c r="X4" s="229">
        <v>-1.55E-2</v>
      </c>
      <c r="Y4" s="228">
        <v>1.65</v>
      </c>
      <c r="Z4" s="228">
        <v>1.75</v>
      </c>
      <c r="AA4" s="228">
        <v>-0.1</v>
      </c>
      <c r="AB4" s="229">
        <v>5.5999999999999999E-3</v>
      </c>
      <c r="AC4" s="228">
        <v>1.65</v>
      </c>
      <c r="AD4" s="228">
        <v>1.75</v>
      </c>
      <c r="AE4" s="228">
        <v>-0.1</v>
      </c>
      <c r="AF4" s="229">
        <v>5.5999999999999999E-3</v>
      </c>
      <c r="AG4" s="228">
        <v>3.2</v>
      </c>
      <c r="AH4" s="228">
        <v>3.35</v>
      </c>
      <c r="AI4" s="228">
        <v>-0.15</v>
      </c>
      <c r="AJ4" s="229">
        <v>1.09E-2</v>
      </c>
      <c r="AK4" s="228">
        <v>5.05</v>
      </c>
      <c r="AL4" s="228">
        <v>5.15</v>
      </c>
      <c r="AM4" s="228">
        <v>-0.1</v>
      </c>
      <c r="AN4" s="229">
        <v>1.72E-2</v>
      </c>
      <c r="AO4" s="228">
        <v>296.55</v>
      </c>
      <c r="AP4" s="228">
        <v>297.89999999999998</v>
      </c>
      <c r="AQ4" s="228">
        <v>0</v>
      </c>
      <c r="AR4" s="230">
        <v>8435100</v>
      </c>
      <c r="AS4" s="230">
        <v>6609200</v>
      </c>
      <c r="AT4" s="230">
        <v>1825900</v>
      </c>
      <c r="AU4" s="229">
        <v>0.27629999999999999</v>
      </c>
      <c r="AV4" s="230">
        <v>7644600</v>
      </c>
      <c r="AW4" s="230">
        <v>6141100</v>
      </c>
      <c r="AX4" s="230">
        <v>1503500</v>
      </c>
      <c r="AY4" s="229">
        <v>0.24479999999999999</v>
      </c>
      <c r="AZ4" s="230">
        <v>703700</v>
      </c>
      <c r="BA4" s="230">
        <v>427800</v>
      </c>
      <c r="BB4" s="230">
        <v>275900</v>
      </c>
      <c r="BC4" s="229">
        <v>0.64490000000000003</v>
      </c>
      <c r="BD4" s="230">
        <v>86800</v>
      </c>
      <c r="BE4" s="230">
        <v>40300</v>
      </c>
      <c r="BF4" s="230">
        <v>46500</v>
      </c>
      <c r="BG4" s="229">
        <v>1.1537999999999999</v>
      </c>
      <c r="BH4" s="230">
        <v>19685000</v>
      </c>
      <c r="BI4" s="230">
        <v>14774600</v>
      </c>
      <c r="BJ4" s="230">
        <v>4910400</v>
      </c>
      <c r="BK4" s="229">
        <v>0.33239999999999997</v>
      </c>
      <c r="BL4" s="230">
        <v>7520600</v>
      </c>
      <c r="BM4" s="230">
        <v>6541000</v>
      </c>
      <c r="BN4" s="230">
        <v>979600</v>
      </c>
      <c r="BO4" s="229">
        <v>0.14979999999999999</v>
      </c>
      <c r="BP4" s="230">
        <v>35640700</v>
      </c>
      <c r="BQ4" s="230">
        <v>27924800</v>
      </c>
      <c r="BR4" s="230">
        <v>7715900</v>
      </c>
      <c r="BS4" s="229">
        <v>0.27629999999999999</v>
      </c>
      <c r="BT4" s="230">
        <v>4436207</v>
      </c>
      <c r="BU4" s="230">
        <v>2522957</v>
      </c>
      <c r="BV4" s="230">
        <v>1913250</v>
      </c>
      <c r="BW4" s="229">
        <v>0.75829999999999997</v>
      </c>
      <c r="BX4" s="230">
        <v>72164900</v>
      </c>
      <c r="BY4" s="230">
        <v>70664500</v>
      </c>
      <c r="BZ4" s="230">
        <v>1500400</v>
      </c>
      <c r="CA4" s="229">
        <v>2.12E-2</v>
      </c>
      <c r="CB4" s="230">
        <v>70221200</v>
      </c>
      <c r="CC4" s="230">
        <v>68934700</v>
      </c>
      <c r="CD4" s="230">
        <v>1286500</v>
      </c>
      <c r="CE4" s="229">
        <v>1.8700000000000001E-2</v>
      </c>
      <c r="CF4" s="230">
        <v>1624400</v>
      </c>
      <c r="CG4" s="230">
        <v>1416700</v>
      </c>
      <c r="CH4" s="230">
        <v>207700</v>
      </c>
      <c r="CI4" s="229">
        <v>0.14660000000000001</v>
      </c>
      <c r="CJ4" s="230">
        <v>319300</v>
      </c>
      <c r="CK4" s="230">
        <v>313100</v>
      </c>
      <c r="CL4" s="230">
        <v>6200</v>
      </c>
      <c r="CM4" s="229">
        <v>1.9800000000000002E-2</v>
      </c>
      <c r="CN4" s="230">
        <v>22967900</v>
      </c>
      <c r="CO4" s="230">
        <v>20444500</v>
      </c>
      <c r="CP4" s="230">
        <v>2523400</v>
      </c>
      <c r="CQ4" s="229">
        <v>0.1234</v>
      </c>
      <c r="CR4" s="230">
        <v>12365900</v>
      </c>
      <c r="CS4" s="230">
        <v>11786200</v>
      </c>
      <c r="CT4" s="230">
        <v>579700</v>
      </c>
      <c r="CU4" s="229">
        <v>4.9200000000000001E-2</v>
      </c>
      <c r="CV4" s="230">
        <v>107498700</v>
      </c>
      <c r="CW4" s="230">
        <v>102895200</v>
      </c>
      <c r="CX4" s="230">
        <v>4603500</v>
      </c>
      <c r="CY4" s="229">
        <v>4.4699999999999997E-2</v>
      </c>
      <c r="CZ4" s="228">
        <v>30.77</v>
      </c>
      <c r="DA4" s="228">
        <v>29.89</v>
      </c>
      <c r="DB4" s="228">
        <v>0.88</v>
      </c>
      <c r="DC4" s="228">
        <v>0.88</v>
      </c>
      <c r="DD4" s="228">
        <v>40.49</v>
      </c>
      <c r="DE4" s="228">
        <v>40.54</v>
      </c>
      <c r="DF4" s="228">
        <v>-9.7200000000000006</v>
      </c>
      <c r="DG4" s="228">
        <v>-0.05</v>
      </c>
      <c r="DH4" s="228">
        <v>31.21</v>
      </c>
      <c r="DI4" s="228">
        <v>29.93</v>
      </c>
      <c r="DJ4" s="228">
        <v>1.28</v>
      </c>
      <c r="DK4" s="228">
        <v>1.28</v>
      </c>
      <c r="DL4" s="228">
        <v>29.62</v>
      </c>
      <c r="DM4" s="228">
        <v>29.82</v>
      </c>
      <c r="DN4" s="228">
        <v>-0.2</v>
      </c>
      <c r="DO4" s="228">
        <v>-0.2</v>
      </c>
      <c r="DP4" s="228">
        <v>0.54</v>
      </c>
      <c r="DQ4" s="228">
        <v>0.57999999999999996</v>
      </c>
      <c r="DR4" s="228">
        <v>-0.04</v>
      </c>
      <c r="DS4" s="229">
        <v>-6.9000000000000006E-2</v>
      </c>
      <c r="DT4" s="228">
        <v>300</v>
      </c>
      <c r="DU4" s="228">
        <v>300</v>
      </c>
      <c r="DV4" s="228">
        <v>0.38</v>
      </c>
      <c r="DW4" s="228">
        <v>0.44</v>
      </c>
      <c r="DX4" s="228">
        <v>-0.06</v>
      </c>
      <c r="DY4" s="229">
        <v>-0.13639999999999999</v>
      </c>
      <c r="DZ4" s="229">
        <v>2.69E-2</v>
      </c>
      <c r="EA4" s="230">
        <v>1729800</v>
      </c>
      <c r="EB4" s="229">
        <v>5.3E-3</v>
      </c>
      <c r="EC4" s="229">
        <v>2.69E-2</v>
      </c>
      <c r="ED4" s="228">
        <v>1.35</v>
      </c>
      <c r="EE4" s="229">
        <v>4.5999999999999999E-3</v>
      </c>
      <c r="EF4" s="230">
        <v>2622433</v>
      </c>
      <c r="EG4" s="230">
        <v>1049861</v>
      </c>
      <c r="EH4" s="229">
        <v>1.4979</v>
      </c>
      <c r="EI4" s="229">
        <v>0.59109999999999996</v>
      </c>
      <c r="EJ4" s="231">
        <v>61727.53</v>
      </c>
      <c r="EK4" s="231">
        <v>22054.560000000001</v>
      </c>
      <c r="EL4" s="231">
        <v>25027.09</v>
      </c>
      <c r="EM4" s="231">
        <v>4063</v>
      </c>
      <c r="EN4" s="231">
        <v>108809.18</v>
      </c>
      <c r="EO4" s="231">
        <v>85401.83</v>
      </c>
      <c r="EP4" s="231">
        <v>23407.35</v>
      </c>
      <c r="EQ4" s="229">
        <v>0.27410000000000001</v>
      </c>
      <c r="ER4" s="231">
        <v>70744</v>
      </c>
      <c r="ES4" s="231">
        <v>35184</v>
      </c>
      <c r="ET4" s="231">
        <v>212922</v>
      </c>
      <c r="EU4" s="231">
        <v>122316423</v>
      </c>
      <c r="EV4" s="231">
        <v>318851</v>
      </c>
      <c r="EW4" s="231">
        <v>308344</v>
      </c>
      <c r="EX4" s="231">
        <v>10507</v>
      </c>
      <c r="EY4" s="229">
        <v>3.4099999999999998E-2</v>
      </c>
      <c r="EZ4" s="229">
        <v>0.87890000000000001</v>
      </c>
      <c r="FA4" s="227" t="s">
        <v>567</v>
      </c>
      <c r="FB4" s="161">
        <f t="shared" si="0"/>
        <v>1943700</v>
      </c>
    </row>
    <row r="5" spans="1:158" ht="17.25" hidden="1" thickBot="1" x14ac:dyDescent="0.3">
      <c r="A5" s="226">
        <v>45940</v>
      </c>
      <c r="B5" s="227" t="s">
        <v>161</v>
      </c>
      <c r="C5" s="227" t="s">
        <v>580</v>
      </c>
      <c r="D5" s="228">
        <v>675</v>
      </c>
      <c r="E5" s="228">
        <v>931.2</v>
      </c>
      <c r="F5" s="228">
        <v>934.65</v>
      </c>
      <c r="G5" s="228">
        <v>-3.45</v>
      </c>
      <c r="H5" s="229">
        <v>-3.7000000000000002E-3</v>
      </c>
      <c r="I5" s="228">
        <v>925.85</v>
      </c>
      <c r="J5" s="228">
        <v>931.95</v>
      </c>
      <c r="K5" s="228">
        <v>-6.1</v>
      </c>
      <c r="L5" s="229">
        <v>-6.4999999999999997E-3</v>
      </c>
      <c r="M5" s="228">
        <v>931.2</v>
      </c>
      <c r="N5" s="228">
        <v>934.65</v>
      </c>
      <c r="O5" s="228">
        <v>-3.45</v>
      </c>
      <c r="P5" s="229">
        <v>-3.7000000000000002E-3</v>
      </c>
      <c r="Q5" s="228">
        <v>934.95</v>
      </c>
      <c r="R5" s="228">
        <v>939.35</v>
      </c>
      <c r="S5" s="228">
        <v>-4.4000000000000004</v>
      </c>
      <c r="T5" s="229">
        <v>-4.7000000000000002E-3</v>
      </c>
      <c r="U5" s="228">
        <v>941</v>
      </c>
      <c r="V5" s="228">
        <v>946.15</v>
      </c>
      <c r="W5" s="228">
        <v>-5.15</v>
      </c>
      <c r="X5" s="229">
        <v>-5.4000000000000003E-3</v>
      </c>
      <c r="Y5" s="228">
        <v>5.35</v>
      </c>
      <c r="Z5" s="228">
        <v>2.7</v>
      </c>
      <c r="AA5" s="228">
        <v>2.65</v>
      </c>
      <c r="AB5" s="229">
        <v>5.7999999999999996E-3</v>
      </c>
      <c r="AC5" s="228">
        <v>5.35</v>
      </c>
      <c r="AD5" s="228">
        <v>2.7</v>
      </c>
      <c r="AE5" s="228">
        <v>2.65</v>
      </c>
      <c r="AF5" s="229">
        <v>5.7999999999999996E-3</v>
      </c>
      <c r="AG5" s="228">
        <v>9.1</v>
      </c>
      <c r="AH5" s="228">
        <v>7.4</v>
      </c>
      <c r="AI5" s="228">
        <v>1.7</v>
      </c>
      <c r="AJ5" s="229">
        <v>9.7999999999999997E-3</v>
      </c>
      <c r="AK5" s="228">
        <v>15.15</v>
      </c>
      <c r="AL5" s="228">
        <v>14.2</v>
      </c>
      <c r="AM5" s="228">
        <v>0.95</v>
      </c>
      <c r="AN5" s="229">
        <v>1.6400000000000001E-2</v>
      </c>
      <c r="AO5" s="228">
        <v>927.38</v>
      </c>
      <c r="AP5" s="228">
        <v>931.89</v>
      </c>
      <c r="AQ5" s="228">
        <v>0</v>
      </c>
      <c r="AR5" s="230">
        <v>1789425</v>
      </c>
      <c r="AS5" s="230">
        <v>1534275</v>
      </c>
      <c r="AT5" s="230">
        <v>255150</v>
      </c>
      <c r="AU5" s="229">
        <v>0.1663</v>
      </c>
      <c r="AV5" s="230">
        <v>1696950</v>
      </c>
      <c r="AW5" s="230">
        <v>1480950</v>
      </c>
      <c r="AX5" s="230">
        <v>216000</v>
      </c>
      <c r="AY5" s="229">
        <v>0.1459</v>
      </c>
      <c r="AZ5" s="230">
        <v>79650</v>
      </c>
      <c r="BA5" s="230">
        <v>51975</v>
      </c>
      <c r="BB5" s="230">
        <v>27675</v>
      </c>
      <c r="BC5" s="229">
        <v>0.53249999999999997</v>
      </c>
      <c r="BD5" s="230">
        <v>12825</v>
      </c>
      <c r="BE5" s="230">
        <v>1350</v>
      </c>
      <c r="BF5" s="230">
        <v>11475</v>
      </c>
      <c r="BG5" s="229">
        <v>8.5</v>
      </c>
      <c r="BH5" s="230">
        <v>4122900</v>
      </c>
      <c r="BI5" s="230">
        <v>4342950</v>
      </c>
      <c r="BJ5" s="230">
        <v>-220050</v>
      </c>
      <c r="BK5" s="229">
        <v>-5.0700000000000002E-2</v>
      </c>
      <c r="BL5" s="230">
        <v>1310850</v>
      </c>
      <c r="BM5" s="230">
        <v>1230525</v>
      </c>
      <c r="BN5" s="230">
        <v>80325</v>
      </c>
      <c r="BO5" s="229">
        <v>6.5299999999999997E-2</v>
      </c>
      <c r="BP5" s="230">
        <v>7223175</v>
      </c>
      <c r="BQ5" s="230">
        <v>7107750</v>
      </c>
      <c r="BR5" s="230">
        <v>115425</v>
      </c>
      <c r="BS5" s="229">
        <v>1.6199999999999999E-2</v>
      </c>
      <c r="BT5" s="230">
        <v>1053408</v>
      </c>
      <c r="BU5" s="230">
        <v>2213483</v>
      </c>
      <c r="BV5" s="230">
        <v>-1160075</v>
      </c>
      <c r="BW5" s="229">
        <v>-0.52410000000000001</v>
      </c>
      <c r="BX5" s="230">
        <v>18421425</v>
      </c>
      <c r="BY5" s="230">
        <v>18470700</v>
      </c>
      <c r="BZ5" s="230">
        <v>-49275</v>
      </c>
      <c r="CA5" s="229">
        <v>-2.7000000000000001E-3</v>
      </c>
      <c r="CB5" s="230">
        <v>18164250</v>
      </c>
      <c r="CC5" s="230">
        <v>18222300</v>
      </c>
      <c r="CD5" s="230">
        <v>-58050</v>
      </c>
      <c r="CE5" s="229">
        <v>-3.2000000000000002E-3</v>
      </c>
      <c r="CF5" s="230">
        <v>231525</v>
      </c>
      <c r="CG5" s="230">
        <v>226800</v>
      </c>
      <c r="CH5" s="230">
        <v>4725</v>
      </c>
      <c r="CI5" s="229">
        <v>2.0799999999999999E-2</v>
      </c>
      <c r="CJ5" s="230">
        <v>25650</v>
      </c>
      <c r="CK5" s="230">
        <v>21600</v>
      </c>
      <c r="CL5" s="230">
        <v>4050</v>
      </c>
      <c r="CM5" s="229">
        <v>0.1875</v>
      </c>
      <c r="CN5" s="230">
        <v>3493800</v>
      </c>
      <c r="CO5" s="230">
        <v>3391875</v>
      </c>
      <c r="CP5" s="230">
        <v>101925</v>
      </c>
      <c r="CQ5" s="229">
        <v>0.03</v>
      </c>
      <c r="CR5" s="230">
        <v>2079000</v>
      </c>
      <c r="CS5" s="230">
        <v>2096550</v>
      </c>
      <c r="CT5" s="230">
        <v>-17550</v>
      </c>
      <c r="CU5" s="229">
        <v>-8.3999999999999995E-3</v>
      </c>
      <c r="CV5" s="230">
        <v>23994225</v>
      </c>
      <c r="CW5" s="230">
        <v>23959125</v>
      </c>
      <c r="CX5" s="230">
        <v>35100</v>
      </c>
      <c r="CY5" s="229">
        <v>1.5E-3</v>
      </c>
      <c r="CZ5" s="228">
        <v>34.020000000000003</v>
      </c>
      <c r="DA5" s="228">
        <v>35.93</v>
      </c>
      <c r="DB5" s="228">
        <v>-1.91</v>
      </c>
      <c r="DC5" s="228">
        <v>-1.91</v>
      </c>
      <c r="DD5" s="228">
        <v>56.29</v>
      </c>
      <c r="DE5" s="228">
        <v>56.42</v>
      </c>
      <c r="DF5" s="228">
        <v>-22.27</v>
      </c>
      <c r="DG5" s="228">
        <v>-0.13</v>
      </c>
      <c r="DH5" s="228">
        <v>34.14</v>
      </c>
      <c r="DI5" s="228">
        <v>36.119999999999997</v>
      </c>
      <c r="DJ5" s="228">
        <v>-1.98</v>
      </c>
      <c r="DK5" s="228">
        <v>-1.98</v>
      </c>
      <c r="DL5" s="228">
        <v>33.65</v>
      </c>
      <c r="DM5" s="228">
        <v>35.26</v>
      </c>
      <c r="DN5" s="228">
        <v>-1.61</v>
      </c>
      <c r="DO5" s="228">
        <v>-1.61</v>
      </c>
      <c r="DP5" s="228">
        <v>0.6</v>
      </c>
      <c r="DQ5" s="228">
        <v>0.62</v>
      </c>
      <c r="DR5" s="228">
        <v>-0.02</v>
      </c>
      <c r="DS5" s="229">
        <v>-3.2300000000000002E-2</v>
      </c>
      <c r="DT5" s="231">
        <v>1000</v>
      </c>
      <c r="DU5" s="228">
        <v>900</v>
      </c>
      <c r="DV5" s="228">
        <v>0.32</v>
      </c>
      <c r="DW5" s="228">
        <v>0.28000000000000003</v>
      </c>
      <c r="DX5" s="228">
        <v>0.04</v>
      </c>
      <c r="DY5" s="229">
        <v>0.1429</v>
      </c>
      <c r="DZ5" s="229">
        <v>1.4E-2</v>
      </c>
      <c r="EA5" s="230">
        <v>248400</v>
      </c>
      <c r="EB5" s="229">
        <v>4.0000000000000001E-3</v>
      </c>
      <c r="EC5" s="229">
        <v>1.4E-2</v>
      </c>
      <c r="ED5" s="228">
        <v>4.51</v>
      </c>
      <c r="EE5" s="229">
        <v>4.8999999999999998E-3</v>
      </c>
      <c r="EF5" s="230">
        <v>363718</v>
      </c>
      <c r="EG5" s="230">
        <v>1044247</v>
      </c>
      <c r="EH5" s="229">
        <v>-0.65169999999999995</v>
      </c>
      <c r="EI5" s="229">
        <v>0.3453</v>
      </c>
      <c r="EJ5" s="231">
        <v>40109.01</v>
      </c>
      <c r="EK5" s="231">
        <v>12057.97</v>
      </c>
      <c r="EL5" s="231">
        <v>16599.75</v>
      </c>
      <c r="EM5" s="231">
        <v>2561</v>
      </c>
      <c r="EN5" s="231">
        <v>68766.73</v>
      </c>
      <c r="EO5" s="231">
        <v>68171.55</v>
      </c>
      <c r="EP5" s="228">
        <v>595.17999999999995</v>
      </c>
      <c r="EQ5" s="229">
        <v>8.6999999999999994E-3</v>
      </c>
      <c r="ER5" s="231">
        <v>33589</v>
      </c>
      <c r="ES5" s="231">
        <v>18087</v>
      </c>
      <c r="ET5" s="231">
        <v>171552</v>
      </c>
      <c r="EU5" s="231">
        <v>51907388</v>
      </c>
      <c r="EV5" s="231">
        <v>223228</v>
      </c>
      <c r="EW5" s="231">
        <v>223406</v>
      </c>
      <c r="EX5" s="228">
        <v>-178</v>
      </c>
      <c r="EY5" s="229">
        <v>-8.0000000000000004E-4</v>
      </c>
      <c r="EZ5" s="229">
        <v>0.46229999999999999</v>
      </c>
      <c r="FA5" s="227" t="s">
        <v>568</v>
      </c>
      <c r="FB5" s="161">
        <f t="shared" si="0"/>
        <v>257175</v>
      </c>
    </row>
    <row r="6" spans="1:158" ht="17.25" hidden="1" thickBot="1" x14ac:dyDescent="0.3">
      <c r="A6" s="226">
        <v>45940</v>
      </c>
      <c r="B6" s="227" t="s">
        <v>215</v>
      </c>
      <c r="C6" s="227" t="s">
        <v>159</v>
      </c>
      <c r="D6" s="228">
        <v>300</v>
      </c>
      <c r="E6" s="231">
        <v>2564.6999999999998</v>
      </c>
      <c r="F6" s="231">
        <v>2557.9</v>
      </c>
      <c r="G6" s="228">
        <v>6.8</v>
      </c>
      <c r="H6" s="229">
        <v>2.7000000000000001E-3</v>
      </c>
      <c r="I6" s="231">
        <v>2550.9</v>
      </c>
      <c r="J6" s="231">
        <v>2542.4</v>
      </c>
      <c r="K6" s="228">
        <v>8.5</v>
      </c>
      <c r="L6" s="229">
        <v>3.3E-3</v>
      </c>
      <c r="M6" s="231">
        <v>2564.6999999999998</v>
      </c>
      <c r="N6" s="231">
        <v>2557.9</v>
      </c>
      <c r="O6" s="228">
        <v>6.8</v>
      </c>
      <c r="P6" s="229">
        <v>2.7000000000000001E-3</v>
      </c>
      <c r="Q6" s="231">
        <v>2579.3000000000002</v>
      </c>
      <c r="R6" s="231">
        <v>2572.1999999999998</v>
      </c>
      <c r="S6" s="228">
        <v>7.1</v>
      </c>
      <c r="T6" s="229">
        <v>2.8E-3</v>
      </c>
      <c r="U6" s="231">
        <v>2594.8000000000002</v>
      </c>
      <c r="V6" s="231">
        <v>2587.9</v>
      </c>
      <c r="W6" s="228">
        <v>6.9</v>
      </c>
      <c r="X6" s="229">
        <v>2.7000000000000001E-3</v>
      </c>
      <c r="Y6" s="228">
        <v>13.8</v>
      </c>
      <c r="Z6" s="228">
        <v>15.5</v>
      </c>
      <c r="AA6" s="228">
        <v>-1.7</v>
      </c>
      <c r="AB6" s="229">
        <v>5.4000000000000003E-3</v>
      </c>
      <c r="AC6" s="228">
        <v>13.8</v>
      </c>
      <c r="AD6" s="228">
        <v>15.5</v>
      </c>
      <c r="AE6" s="228">
        <v>-1.7</v>
      </c>
      <c r="AF6" s="229">
        <v>5.4000000000000003E-3</v>
      </c>
      <c r="AG6" s="228">
        <v>28.4</v>
      </c>
      <c r="AH6" s="228">
        <v>29.8</v>
      </c>
      <c r="AI6" s="228">
        <v>-1.4</v>
      </c>
      <c r="AJ6" s="229">
        <v>1.11E-2</v>
      </c>
      <c r="AK6" s="228">
        <v>43.9</v>
      </c>
      <c r="AL6" s="228">
        <v>45.5</v>
      </c>
      <c r="AM6" s="228">
        <v>-1.6</v>
      </c>
      <c r="AN6" s="229">
        <v>1.72E-2</v>
      </c>
      <c r="AO6" s="231">
        <v>2566.5300000000002</v>
      </c>
      <c r="AP6" s="231">
        <v>2580.4299999999998</v>
      </c>
      <c r="AQ6" s="228">
        <v>0</v>
      </c>
      <c r="AR6" s="230">
        <v>1428300</v>
      </c>
      <c r="AS6" s="230">
        <v>1263000</v>
      </c>
      <c r="AT6" s="230">
        <v>165300</v>
      </c>
      <c r="AU6" s="229">
        <v>0.13089999999999999</v>
      </c>
      <c r="AV6" s="230">
        <v>1329000</v>
      </c>
      <c r="AW6" s="230">
        <v>1203000</v>
      </c>
      <c r="AX6" s="230">
        <v>126000</v>
      </c>
      <c r="AY6" s="229">
        <v>0.1047</v>
      </c>
      <c r="AZ6" s="230">
        <v>83400</v>
      </c>
      <c r="BA6" s="230">
        <v>57900</v>
      </c>
      <c r="BB6" s="230">
        <v>25500</v>
      </c>
      <c r="BC6" s="229">
        <v>0.44040000000000001</v>
      </c>
      <c r="BD6" s="230">
        <v>15900</v>
      </c>
      <c r="BE6" s="230">
        <v>2100</v>
      </c>
      <c r="BF6" s="230">
        <v>13800</v>
      </c>
      <c r="BG6" s="229">
        <v>6.5713999999999997</v>
      </c>
      <c r="BH6" s="230">
        <v>7362600</v>
      </c>
      <c r="BI6" s="230">
        <v>8328300</v>
      </c>
      <c r="BJ6" s="230">
        <v>-965700</v>
      </c>
      <c r="BK6" s="229">
        <v>-0.11600000000000001</v>
      </c>
      <c r="BL6" s="230">
        <v>2681700</v>
      </c>
      <c r="BM6" s="230">
        <v>2801100</v>
      </c>
      <c r="BN6" s="230">
        <v>-119400</v>
      </c>
      <c r="BO6" s="229">
        <v>-4.2599999999999999E-2</v>
      </c>
      <c r="BP6" s="230">
        <v>11472600</v>
      </c>
      <c r="BQ6" s="230">
        <v>12392400</v>
      </c>
      <c r="BR6" s="230">
        <v>-919800</v>
      </c>
      <c r="BS6" s="229">
        <v>-7.4200000000000002E-2</v>
      </c>
      <c r="BT6" s="230">
        <v>711321</v>
      </c>
      <c r="BU6" s="230">
        <v>681679</v>
      </c>
      <c r="BV6" s="230">
        <v>29642</v>
      </c>
      <c r="BW6" s="229">
        <v>4.3499999999999997E-2</v>
      </c>
      <c r="BX6" s="230">
        <v>14297700</v>
      </c>
      <c r="BY6" s="230">
        <v>14323200</v>
      </c>
      <c r="BZ6" s="230">
        <v>-25500</v>
      </c>
      <c r="CA6" s="229">
        <v>-1.8E-3</v>
      </c>
      <c r="CB6" s="230">
        <v>13960500</v>
      </c>
      <c r="CC6" s="230">
        <v>14019600</v>
      </c>
      <c r="CD6" s="230">
        <v>-59100</v>
      </c>
      <c r="CE6" s="229">
        <v>-4.1999999999999997E-3</v>
      </c>
      <c r="CF6" s="230">
        <v>309900</v>
      </c>
      <c r="CG6" s="230">
        <v>286800</v>
      </c>
      <c r="CH6" s="230">
        <v>23100</v>
      </c>
      <c r="CI6" s="229">
        <v>8.0500000000000002E-2</v>
      </c>
      <c r="CJ6" s="230">
        <v>27300</v>
      </c>
      <c r="CK6" s="230">
        <v>16800</v>
      </c>
      <c r="CL6" s="230">
        <v>10500</v>
      </c>
      <c r="CM6" s="229">
        <v>0.625</v>
      </c>
      <c r="CN6" s="230">
        <v>8176500</v>
      </c>
      <c r="CO6" s="230">
        <v>8141100</v>
      </c>
      <c r="CP6" s="230">
        <v>35400</v>
      </c>
      <c r="CQ6" s="229">
        <v>4.3E-3</v>
      </c>
      <c r="CR6" s="230">
        <v>4701300</v>
      </c>
      <c r="CS6" s="230">
        <v>4600500</v>
      </c>
      <c r="CT6" s="230">
        <v>100800</v>
      </c>
      <c r="CU6" s="229">
        <v>2.1899999999999999E-2</v>
      </c>
      <c r="CV6" s="230">
        <v>27175500</v>
      </c>
      <c r="CW6" s="230">
        <v>27064800</v>
      </c>
      <c r="CX6" s="230">
        <v>110700</v>
      </c>
      <c r="CY6" s="229">
        <v>4.1000000000000003E-3</v>
      </c>
      <c r="CZ6" s="228">
        <v>29.53</v>
      </c>
      <c r="DA6" s="228">
        <v>30.51</v>
      </c>
      <c r="DB6" s="228">
        <v>-0.98</v>
      </c>
      <c r="DC6" s="228">
        <v>-0.98</v>
      </c>
      <c r="DD6" s="228">
        <v>49.74</v>
      </c>
      <c r="DE6" s="228">
        <v>49.86</v>
      </c>
      <c r="DF6" s="228">
        <v>-20.21</v>
      </c>
      <c r="DG6" s="228">
        <v>-0.12</v>
      </c>
      <c r="DH6" s="228">
        <v>29.7</v>
      </c>
      <c r="DI6" s="228">
        <v>30.7</v>
      </c>
      <c r="DJ6" s="228">
        <v>-1</v>
      </c>
      <c r="DK6" s="228">
        <v>-1</v>
      </c>
      <c r="DL6" s="228">
        <v>29.05</v>
      </c>
      <c r="DM6" s="228">
        <v>29.95</v>
      </c>
      <c r="DN6" s="228">
        <v>-0.9</v>
      </c>
      <c r="DO6" s="228">
        <v>-0.9</v>
      </c>
      <c r="DP6" s="228">
        <v>0.56999999999999995</v>
      </c>
      <c r="DQ6" s="228">
        <v>0.56999999999999995</v>
      </c>
      <c r="DR6" s="228">
        <v>0</v>
      </c>
      <c r="DS6" s="229">
        <v>0</v>
      </c>
      <c r="DT6" s="231">
        <v>2600</v>
      </c>
      <c r="DU6" s="231">
        <v>2500</v>
      </c>
      <c r="DV6" s="228">
        <v>0.36</v>
      </c>
      <c r="DW6" s="228">
        <v>0.34</v>
      </c>
      <c r="DX6" s="228">
        <v>0.02</v>
      </c>
      <c r="DY6" s="229">
        <v>5.8799999999999998E-2</v>
      </c>
      <c r="DZ6" s="229">
        <v>2.3599999999999999E-2</v>
      </c>
      <c r="EA6" s="230">
        <v>303600</v>
      </c>
      <c r="EB6" s="229">
        <v>5.7000000000000002E-3</v>
      </c>
      <c r="EC6" s="229">
        <v>2.3599999999999999E-2</v>
      </c>
      <c r="ED6" s="228">
        <v>13.9</v>
      </c>
      <c r="EE6" s="229">
        <v>5.4000000000000003E-3</v>
      </c>
      <c r="EF6" s="230">
        <v>248411</v>
      </c>
      <c r="EG6" s="230">
        <v>190865</v>
      </c>
      <c r="EH6" s="229">
        <v>0.30149999999999999</v>
      </c>
      <c r="EI6" s="229">
        <v>0.34920000000000001</v>
      </c>
      <c r="EJ6" s="231">
        <v>197161.89</v>
      </c>
      <c r="EK6" s="231">
        <v>68365.279999999999</v>
      </c>
      <c r="EL6" s="231">
        <v>36674.21</v>
      </c>
      <c r="EM6" s="231">
        <v>6800</v>
      </c>
      <c r="EN6" s="231">
        <v>302201.38</v>
      </c>
      <c r="EO6" s="231">
        <v>326281.59999999998</v>
      </c>
      <c r="EP6" s="231">
        <v>-24080.22</v>
      </c>
      <c r="EQ6" s="229">
        <v>-7.3800000000000004E-2</v>
      </c>
      <c r="ER6" s="231">
        <v>219390</v>
      </c>
      <c r="ES6" s="231">
        <v>117405</v>
      </c>
      <c r="ET6" s="231">
        <v>366747</v>
      </c>
      <c r="EU6" s="231">
        <v>30040977</v>
      </c>
      <c r="EV6" s="231">
        <v>703541</v>
      </c>
      <c r="EW6" s="231">
        <v>699823</v>
      </c>
      <c r="EX6" s="231">
        <v>3718</v>
      </c>
      <c r="EY6" s="229">
        <v>5.3E-3</v>
      </c>
      <c r="EZ6" s="229">
        <v>0.90459999999999996</v>
      </c>
      <c r="FA6" s="227" t="s">
        <v>556</v>
      </c>
      <c r="FB6" s="161">
        <f t="shared" si="0"/>
        <v>337200</v>
      </c>
    </row>
    <row r="7" spans="1:158" ht="17.25" hidden="1" thickBot="1" x14ac:dyDescent="0.3">
      <c r="A7" s="226">
        <v>45940</v>
      </c>
      <c r="B7" s="227" t="s">
        <v>161</v>
      </c>
      <c r="C7" s="227" t="s">
        <v>607</v>
      </c>
      <c r="D7" s="228">
        <v>600</v>
      </c>
      <c r="E7" s="231">
        <v>1070.2</v>
      </c>
      <c r="F7" s="231">
        <v>1056.5999999999999</v>
      </c>
      <c r="G7" s="228">
        <v>13.6</v>
      </c>
      <c r="H7" s="229">
        <v>1.29E-2</v>
      </c>
      <c r="I7" s="231">
        <v>1064.3</v>
      </c>
      <c r="J7" s="231">
        <v>1051.5</v>
      </c>
      <c r="K7" s="228">
        <v>12.8</v>
      </c>
      <c r="L7" s="229">
        <v>1.2200000000000001E-2</v>
      </c>
      <c r="M7" s="231">
        <v>1070.2</v>
      </c>
      <c r="N7" s="231">
        <v>1056.5999999999999</v>
      </c>
      <c r="O7" s="228">
        <v>13.6</v>
      </c>
      <c r="P7" s="229">
        <v>1.29E-2</v>
      </c>
      <c r="Q7" s="231">
        <v>1075</v>
      </c>
      <c r="R7" s="231">
        <v>1063.4000000000001</v>
      </c>
      <c r="S7" s="228">
        <v>11.6</v>
      </c>
      <c r="T7" s="229">
        <v>1.09E-2</v>
      </c>
      <c r="U7" s="231">
        <v>1082.4000000000001</v>
      </c>
      <c r="V7" s="231">
        <v>1068.7</v>
      </c>
      <c r="W7" s="228">
        <v>13.7</v>
      </c>
      <c r="X7" s="229">
        <v>1.2800000000000001E-2</v>
      </c>
      <c r="Y7" s="228">
        <v>5.9</v>
      </c>
      <c r="Z7" s="228">
        <v>5.0999999999999996</v>
      </c>
      <c r="AA7" s="228">
        <v>0.8</v>
      </c>
      <c r="AB7" s="229">
        <v>5.4999999999999997E-3</v>
      </c>
      <c r="AC7" s="228">
        <v>5.9</v>
      </c>
      <c r="AD7" s="228">
        <v>5.0999999999999996</v>
      </c>
      <c r="AE7" s="228">
        <v>0.8</v>
      </c>
      <c r="AF7" s="229">
        <v>5.4999999999999997E-3</v>
      </c>
      <c r="AG7" s="228">
        <v>10.7</v>
      </c>
      <c r="AH7" s="228">
        <v>11.9</v>
      </c>
      <c r="AI7" s="228">
        <v>-1.2</v>
      </c>
      <c r="AJ7" s="229">
        <v>1.01E-2</v>
      </c>
      <c r="AK7" s="228">
        <v>18.100000000000001</v>
      </c>
      <c r="AL7" s="228">
        <v>17.2</v>
      </c>
      <c r="AM7" s="228">
        <v>0.9</v>
      </c>
      <c r="AN7" s="229">
        <v>1.7000000000000001E-2</v>
      </c>
      <c r="AO7" s="231">
        <v>1068.0899999999999</v>
      </c>
      <c r="AP7" s="231">
        <v>1072.6500000000001</v>
      </c>
      <c r="AQ7" s="228">
        <v>0</v>
      </c>
      <c r="AR7" s="230">
        <v>2487600</v>
      </c>
      <c r="AS7" s="230">
        <v>1728000</v>
      </c>
      <c r="AT7" s="230">
        <v>759600</v>
      </c>
      <c r="AU7" s="229">
        <v>0.43959999999999999</v>
      </c>
      <c r="AV7" s="230">
        <v>2295000</v>
      </c>
      <c r="AW7" s="230">
        <v>1601400</v>
      </c>
      <c r="AX7" s="230">
        <v>693600</v>
      </c>
      <c r="AY7" s="229">
        <v>0.43309999999999998</v>
      </c>
      <c r="AZ7" s="230">
        <v>174600</v>
      </c>
      <c r="BA7" s="230">
        <v>113400</v>
      </c>
      <c r="BB7" s="230">
        <v>61200</v>
      </c>
      <c r="BC7" s="229">
        <v>0.53969999999999996</v>
      </c>
      <c r="BD7" s="230">
        <v>18000</v>
      </c>
      <c r="BE7" s="230">
        <v>13200</v>
      </c>
      <c r="BF7" s="230">
        <v>4800</v>
      </c>
      <c r="BG7" s="229">
        <v>0.36359999999999998</v>
      </c>
      <c r="BH7" s="230">
        <v>11551800</v>
      </c>
      <c r="BI7" s="230">
        <v>7790400</v>
      </c>
      <c r="BJ7" s="230">
        <v>3761400</v>
      </c>
      <c r="BK7" s="229">
        <v>0.48280000000000001</v>
      </c>
      <c r="BL7" s="230">
        <v>3579600</v>
      </c>
      <c r="BM7" s="230">
        <v>2454600</v>
      </c>
      <c r="BN7" s="230">
        <v>1125000</v>
      </c>
      <c r="BO7" s="229">
        <v>0.45829999999999999</v>
      </c>
      <c r="BP7" s="230">
        <v>17619000</v>
      </c>
      <c r="BQ7" s="230">
        <v>11973000</v>
      </c>
      <c r="BR7" s="230">
        <v>5646000</v>
      </c>
      <c r="BS7" s="229">
        <v>0.47160000000000002</v>
      </c>
      <c r="BT7" s="230">
        <v>1429313</v>
      </c>
      <c r="BU7" s="230">
        <v>1283224</v>
      </c>
      <c r="BV7" s="230">
        <v>146089</v>
      </c>
      <c r="BW7" s="229">
        <v>0.1138</v>
      </c>
      <c r="BX7" s="230">
        <v>20556600</v>
      </c>
      <c r="BY7" s="230">
        <v>20289600</v>
      </c>
      <c r="BZ7" s="230">
        <v>267000</v>
      </c>
      <c r="CA7" s="229">
        <v>1.32E-2</v>
      </c>
      <c r="CB7" s="230">
        <v>19807800</v>
      </c>
      <c r="CC7" s="230">
        <v>19574400</v>
      </c>
      <c r="CD7" s="230">
        <v>233400</v>
      </c>
      <c r="CE7" s="229">
        <v>1.1900000000000001E-2</v>
      </c>
      <c r="CF7" s="230">
        <v>679800</v>
      </c>
      <c r="CG7" s="230">
        <v>644400</v>
      </c>
      <c r="CH7" s="230">
        <v>35400</v>
      </c>
      <c r="CI7" s="229">
        <v>5.4899999999999997E-2</v>
      </c>
      <c r="CJ7" s="230">
        <v>69000</v>
      </c>
      <c r="CK7" s="230">
        <v>70800</v>
      </c>
      <c r="CL7" s="230">
        <v>-1800</v>
      </c>
      <c r="CM7" s="229">
        <v>-2.5399999999999999E-2</v>
      </c>
      <c r="CN7" s="230">
        <v>10482600</v>
      </c>
      <c r="CO7" s="230">
        <v>10828200</v>
      </c>
      <c r="CP7" s="230">
        <v>-345600</v>
      </c>
      <c r="CQ7" s="229">
        <v>-3.1899999999999998E-2</v>
      </c>
      <c r="CR7" s="230">
        <v>5325000</v>
      </c>
      <c r="CS7" s="230">
        <v>5260200</v>
      </c>
      <c r="CT7" s="230">
        <v>64800</v>
      </c>
      <c r="CU7" s="229">
        <v>1.23E-2</v>
      </c>
      <c r="CV7" s="230">
        <v>36364200</v>
      </c>
      <c r="CW7" s="230">
        <v>36378000</v>
      </c>
      <c r="CX7" s="230">
        <v>-13800</v>
      </c>
      <c r="CY7" s="229">
        <v>-4.0000000000000002E-4</v>
      </c>
      <c r="CZ7" s="228">
        <v>40</v>
      </c>
      <c r="DA7" s="228">
        <v>40.99</v>
      </c>
      <c r="DB7" s="228">
        <v>-0.99</v>
      </c>
      <c r="DC7" s="228">
        <v>-0.99</v>
      </c>
      <c r="DD7" s="228">
        <v>58.9</v>
      </c>
      <c r="DE7" s="228">
        <v>59.03</v>
      </c>
      <c r="DF7" s="228">
        <v>-18.899999999999999</v>
      </c>
      <c r="DG7" s="228">
        <v>-0.13</v>
      </c>
      <c r="DH7" s="228">
        <v>40.299999999999997</v>
      </c>
      <c r="DI7" s="228">
        <v>41.22</v>
      </c>
      <c r="DJ7" s="228">
        <v>-0.92</v>
      </c>
      <c r="DK7" s="228">
        <v>-0.92</v>
      </c>
      <c r="DL7" s="228">
        <v>39.020000000000003</v>
      </c>
      <c r="DM7" s="228">
        <v>40.24</v>
      </c>
      <c r="DN7" s="228">
        <v>-1.22</v>
      </c>
      <c r="DO7" s="228">
        <v>-1.22</v>
      </c>
      <c r="DP7" s="228">
        <v>0.51</v>
      </c>
      <c r="DQ7" s="228">
        <v>0.49</v>
      </c>
      <c r="DR7" s="228">
        <v>0.02</v>
      </c>
      <c r="DS7" s="229">
        <v>4.0800000000000003E-2</v>
      </c>
      <c r="DT7" s="231">
        <v>1100</v>
      </c>
      <c r="DU7" s="231">
        <v>1000</v>
      </c>
      <c r="DV7" s="228">
        <v>0.31</v>
      </c>
      <c r="DW7" s="228">
        <v>0.32</v>
      </c>
      <c r="DX7" s="228">
        <v>-0.01</v>
      </c>
      <c r="DY7" s="229">
        <v>-3.1300000000000001E-2</v>
      </c>
      <c r="DZ7" s="229">
        <v>3.6400000000000002E-2</v>
      </c>
      <c r="EA7" s="230">
        <v>715200</v>
      </c>
      <c r="EB7" s="229">
        <v>4.4999999999999997E-3</v>
      </c>
      <c r="EC7" s="229">
        <v>3.6400000000000002E-2</v>
      </c>
      <c r="ED7" s="228">
        <v>4.5599999999999996</v>
      </c>
      <c r="EE7" s="229">
        <v>4.3E-3</v>
      </c>
      <c r="EF7" s="230">
        <v>419471</v>
      </c>
      <c r="EG7" s="230">
        <v>375867</v>
      </c>
      <c r="EH7" s="229">
        <v>0.11600000000000001</v>
      </c>
      <c r="EI7" s="229">
        <v>0.29349999999999998</v>
      </c>
      <c r="EJ7" s="231">
        <v>131377.95000000001</v>
      </c>
      <c r="EK7" s="231">
        <v>37257.14</v>
      </c>
      <c r="EL7" s="231">
        <v>26579.69</v>
      </c>
      <c r="EM7" s="231">
        <v>4544</v>
      </c>
      <c r="EN7" s="231">
        <v>195214.78</v>
      </c>
      <c r="EO7" s="231">
        <v>132081.65</v>
      </c>
      <c r="EP7" s="231">
        <v>63133.13</v>
      </c>
      <c r="EQ7" s="229">
        <v>0.47799999999999998</v>
      </c>
      <c r="ER7" s="231">
        <v>119291</v>
      </c>
      <c r="ES7" s="231">
        <v>55032</v>
      </c>
      <c r="ET7" s="231">
        <v>220038</v>
      </c>
      <c r="EU7" s="231">
        <v>61877951</v>
      </c>
      <c r="EV7" s="231">
        <v>394361</v>
      </c>
      <c r="EW7" s="231">
        <v>391836</v>
      </c>
      <c r="EX7" s="231">
        <v>2525</v>
      </c>
      <c r="EY7" s="229">
        <v>6.4000000000000003E-3</v>
      </c>
      <c r="EZ7" s="229">
        <v>0.5877</v>
      </c>
      <c r="FA7" s="227" t="s">
        <v>555</v>
      </c>
      <c r="FB7" s="161">
        <f t="shared" si="0"/>
        <v>748800</v>
      </c>
    </row>
    <row r="8" spans="1:158" ht="17.25" hidden="1" thickBot="1" x14ac:dyDescent="0.3">
      <c r="A8" s="226">
        <v>45940</v>
      </c>
      <c r="B8" s="227" t="s">
        <v>215</v>
      </c>
      <c r="C8" s="227" t="s">
        <v>160</v>
      </c>
      <c r="D8" s="228">
        <v>475</v>
      </c>
      <c r="E8" s="231">
        <v>1417.3</v>
      </c>
      <c r="F8" s="231">
        <v>1403.9</v>
      </c>
      <c r="G8" s="228">
        <v>13.4</v>
      </c>
      <c r="H8" s="229">
        <v>9.4999999999999998E-3</v>
      </c>
      <c r="I8" s="231">
        <v>1409.4</v>
      </c>
      <c r="J8" s="231">
        <v>1395.6</v>
      </c>
      <c r="K8" s="228">
        <v>13.8</v>
      </c>
      <c r="L8" s="229">
        <v>9.9000000000000008E-3</v>
      </c>
      <c r="M8" s="231">
        <v>1417.3</v>
      </c>
      <c r="N8" s="231">
        <v>1403.9</v>
      </c>
      <c r="O8" s="228">
        <v>13.4</v>
      </c>
      <c r="P8" s="229">
        <v>9.4999999999999998E-3</v>
      </c>
      <c r="Q8" s="231">
        <v>1425.1</v>
      </c>
      <c r="R8" s="231">
        <v>1411.6</v>
      </c>
      <c r="S8" s="228">
        <v>13.5</v>
      </c>
      <c r="T8" s="229">
        <v>9.5999999999999992E-3</v>
      </c>
      <c r="U8" s="231">
        <v>1432.9</v>
      </c>
      <c r="V8" s="231">
        <v>1420.4</v>
      </c>
      <c r="W8" s="228">
        <v>12.5</v>
      </c>
      <c r="X8" s="229">
        <v>8.8000000000000005E-3</v>
      </c>
      <c r="Y8" s="228">
        <v>7.9</v>
      </c>
      <c r="Z8" s="228">
        <v>8.3000000000000007</v>
      </c>
      <c r="AA8" s="228">
        <v>-0.4</v>
      </c>
      <c r="AB8" s="229">
        <v>5.5999999999999999E-3</v>
      </c>
      <c r="AC8" s="228">
        <v>7.9</v>
      </c>
      <c r="AD8" s="228">
        <v>8.3000000000000007</v>
      </c>
      <c r="AE8" s="228">
        <v>-0.4</v>
      </c>
      <c r="AF8" s="229">
        <v>5.5999999999999999E-3</v>
      </c>
      <c r="AG8" s="228">
        <v>15.7</v>
      </c>
      <c r="AH8" s="228">
        <v>16</v>
      </c>
      <c r="AI8" s="228">
        <v>-0.3</v>
      </c>
      <c r="AJ8" s="229">
        <v>1.11E-2</v>
      </c>
      <c r="AK8" s="228">
        <v>23.5</v>
      </c>
      <c r="AL8" s="228">
        <v>24.8</v>
      </c>
      <c r="AM8" s="228">
        <v>-1.3</v>
      </c>
      <c r="AN8" s="229">
        <v>1.67E-2</v>
      </c>
      <c r="AO8" s="231">
        <v>1418.43</v>
      </c>
      <c r="AP8" s="231">
        <v>1425.35</v>
      </c>
      <c r="AQ8" s="228">
        <v>0</v>
      </c>
      <c r="AR8" s="230">
        <v>2661425</v>
      </c>
      <c r="AS8" s="230">
        <v>1531875</v>
      </c>
      <c r="AT8" s="230">
        <v>1129550</v>
      </c>
      <c r="AU8" s="229">
        <v>0.73740000000000006</v>
      </c>
      <c r="AV8" s="230">
        <v>2374050</v>
      </c>
      <c r="AW8" s="230">
        <v>1405525</v>
      </c>
      <c r="AX8" s="230">
        <v>968525</v>
      </c>
      <c r="AY8" s="229">
        <v>0.68910000000000005</v>
      </c>
      <c r="AZ8" s="230">
        <v>243200</v>
      </c>
      <c r="BA8" s="230">
        <v>114950</v>
      </c>
      <c r="BB8" s="230">
        <v>128250</v>
      </c>
      <c r="BC8" s="229">
        <v>1.1156999999999999</v>
      </c>
      <c r="BD8" s="230">
        <v>44175</v>
      </c>
      <c r="BE8" s="230">
        <v>11400</v>
      </c>
      <c r="BF8" s="230">
        <v>32775</v>
      </c>
      <c r="BG8" s="229">
        <v>2.875</v>
      </c>
      <c r="BH8" s="230">
        <v>12976050</v>
      </c>
      <c r="BI8" s="230">
        <v>5771250</v>
      </c>
      <c r="BJ8" s="230">
        <v>7204800</v>
      </c>
      <c r="BK8" s="229">
        <v>1.2484</v>
      </c>
      <c r="BL8" s="230">
        <v>4269300</v>
      </c>
      <c r="BM8" s="230">
        <v>2417275</v>
      </c>
      <c r="BN8" s="230">
        <v>1852025</v>
      </c>
      <c r="BO8" s="229">
        <v>0.76619999999999999</v>
      </c>
      <c r="BP8" s="230">
        <v>19906775</v>
      </c>
      <c r="BQ8" s="230">
        <v>9720400</v>
      </c>
      <c r="BR8" s="230">
        <v>10186375</v>
      </c>
      <c r="BS8" s="229">
        <v>1.0479000000000001</v>
      </c>
      <c r="BT8" s="230">
        <v>1469048</v>
      </c>
      <c r="BU8" s="230">
        <v>1289851</v>
      </c>
      <c r="BV8" s="230">
        <v>179197</v>
      </c>
      <c r="BW8" s="229">
        <v>0.1389</v>
      </c>
      <c r="BX8" s="230">
        <v>22842750</v>
      </c>
      <c r="BY8" s="230">
        <v>22729225</v>
      </c>
      <c r="BZ8" s="230">
        <v>113525</v>
      </c>
      <c r="CA8" s="229">
        <v>5.0000000000000001E-3</v>
      </c>
      <c r="CB8" s="230">
        <v>22049025</v>
      </c>
      <c r="CC8" s="230">
        <v>22018150</v>
      </c>
      <c r="CD8" s="230">
        <v>30875</v>
      </c>
      <c r="CE8" s="229">
        <v>1.4E-3</v>
      </c>
      <c r="CF8" s="230">
        <v>729600</v>
      </c>
      <c r="CG8" s="230">
        <v>661675</v>
      </c>
      <c r="CH8" s="230">
        <v>67925</v>
      </c>
      <c r="CI8" s="229">
        <v>0.1027</v>
      </c>
      <c r="CJ8" s="230">
        <v>64125</v>
      </c>
      <c r="CK8" s="230">
        <v>49400</v>
      </c>
      <c r="CL8" s="230">
        <v>14725</v>
      </c>
      <c r="CM8" s="229">
        <v>0.29809999999999998</v>
      </c>
      <c r="CN8" s="230">
        <v>7550600</v>
      </c>
      <c r="CO8" s="230">
        <v>7606650</v>
      </c>
      <c r="CP8" s="230">
        <v>-56050</v>
      </c>
      <c r="CQ8" s="229">
        <v>-7.4000000000000003E-3</v>
      </c>
      <c r="CR8" s="230">
        <v>4484000</v>
      </c>
      <c r="CS8" s="230">
        <v>4490175</v>
      </c>
      <c r="CT8" s="230">
        <v>-6175</v>
      </c>
      <c r="CU8" s="229">
        <v>-1.4E-3</v>
      </c>
      <c r="CV8" s="230">
        <v>34877350</v>
      </c>
      <c r="CW8" s="230">
        <v>34826050</v>
      </c>
      <c r="CX8" s="230">
        <v>51300</v>
      </c>
      <c r="CY8" s="229">
        <v>1.5E-3</v>
      </c>
      <c r="CZ8" s="228">
        <v>22.83</v>
      </c>
      <c r="DA8" s="228">
        <v>23.54</v>
      </c>
      <c r="DB8" s="228">
        <v>-0.71</v>
      </c>
      <c r="DC8" s="228">
        <v>-0.71</v>
      </c>
      <c r="DD8" s="228">
        <v>39.21</v>
      </c>
      <c r="DE8" s="228">
        <v>39.28</v>
      </c>
      <c r="DF8" s="228">
        <v>-16.38</v>
      </c>
      <c r="DG8" s="228">
        <v>-7.0000000000000007E-2</v>
      </c>
      <c r="DH8" s="228">
        <v>22.86</v>
      </c>
      <c r="DI8" s="228">
        <v>23.67</v>
      </c>
      <c r="DJ8" s="228">
        <v>-0.81</v>
      </c>
      <c r="DK8" s="228">
        <v>-0.81</v>
      </c>
      <c r="DL8" s="228">
        <v>22.72</v>
      </c>
      <c r="DM8" s="228">
        <v>23.21</v>
      </c>
      <c r="DN8" s="228">
        <v>-0.49</v>
      </c>
      <c r="DO8" s="228">
        <v>-0.49</v>
      </c>
      <c r="DP8" s="228">
        <v>0.59</v>
      </c>
      <c r="DQ8" s="228">
        <v>0.59</v>
      </c>
      <c r="DR8" s="228">
        <v>0</v>
      </c>
      <c r="DS8" s="229">
        <v>0</v>
      </c>
      <c r="DT8" s="231">
        <v>1500</v>
      </c>
      <c r="DU8" s="231">
        <v>1400</v>
      </c>
      <c r="DV8" s="228">
        <v>0.33</v>
      </c>
      <c r="DW8" s="228">
        <v>0.42</v>
      </c>
      <c r="DX8" s="228">
        <v>-0.09</v>
      </c>
      <c r="DY8" s="229">
        <v>-0.21429999999999999</v>
      </c>
      <c r="DZ8" s="229">
        <v>3.4700000000000002E-2</v>
      </c>
      <c r="EA8" s="230">
        <v>711075</v>
      </c>
      <c r="EB8" s="229">
        <v>5.4999999999999997E-3</v>
      </c>
      <c r="EC8" s="229">
        <v>3.4700000000000002E-2</v>
      </c>
      <c r="ED8" s="228">
        <v>6.92</v>
      </c>
      <c r="EE8" s="229">
        <v>4.8999999999999998E-3</v>
      </c>
      <c r="EF8" s="230">
        <v>550381</v>
      </c>
      <c r="EG8" s="230">
        <v>539991</v>
      </c>
      <c r="EH8" s="229">
        <v>1.9199999999999998E-2</v>
      </c>
      <c r="EI8" s="229">
        <v>0.37469999999999998</v>
      </c>
      <c r="EJ8" s="231">
        <v>190408.02</v>
      </c>
      <c r="EK8" s="231">
        <v>59943.49</v>
      </c>
      <c r="EL8" s="231">
        <v>37774.269999999997</v>
      </c>
      <c r="EM8" s="231">
        <v>4581</v>
      </c>
      <c r="EN8" s="231">
        <v>288125.78000000003</v>
      </c>
      <c r="EO8" s="231">
        <v>139166.71</v>
      </c>
      <c r="EP8" s="231">
        <v>148959.07</v>
      </c>
      <c r="EQ8" s="229">
        <v>1.0704</v>
      </c>
      <c r="ER8" s="231">
        <v>110818</v>
      </c>
      <c r="ES8" s="231">
        <v>62057</v>
      </c>
      <c r="ET8" s="231">
        <v>323817</v>
      </c>
      <c r="EU8" s="231">
        <v>73799006</v>
      </c>
      <c r="EV8" s="231">
        <v>496692</v>
      </c>
      <c r="EW8" s="231">
        <v>492824</v>
      </c>
      <c r="EX8" s="231">
        <v>3868</v>
      </c>
      <c r="EY8" s="229">
        <v>7.7999999999999996E-3</v>
      </c>
      <c r="EZ8" s="229">
        <v>0.47260000000000002</v>
      </c>
      <c r="FA8" s="227" t="s">
        <v>555</v>
      </c>
      <c r="FB8" s="161">
        <f t="shared" si="0"/>
        <v>793725</v>
      </c>
    </row>
    <row r="9" spans="1:158" ht="17.25" hidden="1" thickBot="1" x14ac:dyDescent="0.3">
      <c r="A9" s="226">
        <v>45940</v>
      </c>
      <c r="B9" s="227" t="s">
        <v>170</v>
      </c>
      <c r="C9" s="227" t="s">
        <v>497</v>
      </c>
      <c r="D9" s="228">
        <v>125</v>
      </c>
      <c r="E9" s="231">
        <v>5483.5</v>
      </c>
      <c r="F9" s="231">
        <v>5512.5</v>
      </c>
      <c r="G9" s="228">
        <v>-29</v>
      </c>
      <c r="H9" s="229">
        <v>-5.3E-3</v>
      </c>
      <c r="I9" s="231">
        <v>5454.5</v>
      </c>
      <c r="J9" s="231">
        <v>5480.5</v>
      </c>
      <c r="K9" s="228">
        <v>-26</v>
      </c>
      <c r="L9" s="229">
        <v>-4.7000000000000002E-3</v>
      </c>
      <c r="M9" s="231">
        <v>5483.5</v>
      </c>
      <c r="N9" s="231">
        <v>5512.5</v>
      </c>
      <c r="O9" s="228">
        <v>-29</v>
      </c>
      <c r="P9" s="229">
        <v>-5.3E-3</v>
      </c>
      <c r="Q9" s="231">
        <v>5512</v>
      </c>
      <c r="R9" s="231">
        <v>5540</v>
      </c>
      <c r="S9" s="228">
        <v>-28</v>
      </c>
      <c r="T9" s="229">
        <v>-5.1000000000000004E-3</v>
      </c>
      <c r="U9" s="231">
        <v>5573</v>
      </c>
      <c r="V9" s="231">
        <v>5580</v>
      </c>
      <c r="W9" s="228">
        <v>-7</v>
      </c>
      <c r="X9" s="229">
        <v>-1.2999999999999999E-3</v>
      </c>
      <c r="Y9" s="228">
        <v>29</v>
      </c>
      <c r="Z9" s="228">
        <v>32</v>
      </c>
      <c r="AA9" s="228">
        <v>-3</v>
      </c>
      <c r="AB9" s="229">
        <v>5.3E-3</v>
      </c>
      <c r="AC9" s="228">
        <v>29</v>
      </c>
      <c r="AD9" s="228">
        <v>32</v>
      </c>
      <c r="AE9" s="228">
        <v>-3</v>
      </c>
      <c r="AF9" s="229">
        <v>5.3E-3</v>
      </c>
      <c r="AG9" s="228">
        <v>57.5</v>
      </c>
      <c r="AH9" s="228">
        <v>59.5</v>
      </c>
      <c r="AI9" s="228">
        <v>-2</v>
      </c>
      <c r="AJ9" s="229">
        <v>1.0500000000000001E-2</v>
      </c>
      <c r="AK9" s="228">
        <v>118.5</v>
      </c>
      <c r="AL9" s="228">
        <v>99.5</v>
      </c>
      <c r="AM9" s="228">
        <v>19</v>
      </c>
      <c r="AN9" s="229">
        <v>2.1700000000000001E-2</v>
      </c>
      <c r="AO9" s="231">
        <v>5488.43</v>
      </c>
      <c r="AP9" s="231">
        <v>5513.38</v>
      </c>
      <c r="AQ9" s="228">
        <v>0</v>
      </c>
      <c r="AR9" s="230">
        <v>140375</v>
      </c>
      <c r="AS9" s="230">
        <v>127500</v>
      </c>
      <c r="AT9" s="230">
        <v>12875</v>
      </c>
      <c r="AU9" s="229">
        <v>0.10100000000000001</v>
      </c>
      <c r="AV9" s="230">
        <v>133750</v>
      </c>
      <c r="AW9" s="230">
        <v>119625</v>
      </c>
      <c r="AX9" s="230">
        <v>14125</v>
      </c>
      <c r="AY9" s="229">
        <v>0.1181</v>
      </c>
      <c r="AZ9" s="230">
        <v>6500</v>
      </c>
      <c r="BA9" s="230">
        <v>7750</v>
      </c>
      <c r="BB9" s="230">
        <v>-1250</v>
      </c>
      <c r="BC9" s="229">
        <v>-0.1613</v>
      </c>
      <c r="BD9" s="228">
        <v>125</v>
      </c>
      <c r="BE9" s="228">
        <v>125</v>
      </c>
      <c r="BF9" s="228">
        <v>0</v>
      </c>
      <c r="BG9" s="229">
        <v>0</v>
      </c>
      <c r="BH9" s="230">
        <v>289250</v>
      </c>
      <c r="BI9" s="230">
        <v>226250</v>
      </c>
      <c r="BJ9" s="230">
        <v>63000</v>
      </c>
      <c r="BK9" s="229">
        <v>0.27850000000000003</v>
      </c>
      <c r="BL9" s="230">
        <v>80500</v>
      </c>
      <c r="BM9" s="230">
        <v>58500</v>
      </c>
      <c r="BN9" s="230">
        <v>22000</v>
      </c>
      <c r="BO9" s="229">
        <v>0.37609999999999999</v>
      </c>
      <c r="BP9" s="230">
        <v>510125</v>
      </c>
      <c r="BQ9" s="230">
        <v>412250</v>
      </c>
      <c r="BR9" s="230">
        <v>97875</v>
      </c>
      <c r="BS9" s="229">
        <v>0.2374</v>
      </c>
      <c r="BT9" s="230">
        <v>172654</v>
      </c>
      <c r="BU9" s="230">
        <v>212885</v>
      </c>
      <c r="BV9" s="230">
        <v>-40231</v>
      </c>
      <c r="BW9" s="229">
        <v>-0.189</v>
      </c>
      <c r="BX9" s="230">
        <v>1520875</v>
      </c>
      <c r="BY9" s="230">
        <v>1527000</v>
      </c>
      <c r="BZ9" s="230">
        <v>-6125</v>
      </c>
      <c r="CA9" s="229">
        <v>-4.0000000000000001E-3</v>
      </c>
      <c r="CB9" s="230">
        <v>1507250</v>
      </c>
      <c r="CC9" s="230">
        <v>1515000</v>
      </c>
      <c r="CD9" s="230">
        <v>-7750</v>
      </c>
      <c r="CE9" s="229">
        <v>-5.1000000000000004E-3</v>
      </c>
      <c r="CF9" s="230">
        <v>13250</v>
      </c>
      <c r="CG9" s="230">
        <v>11750</v>
      </c>
      <c r="CH9" s="230">
        <v>1500</v>
      </c>
      <c r="CI9" s="229">
        <v>0.12770000000000001</v>
      </c>
      <c r="CJ9" s="228">
        <v>375</v>
      </c>
      <c r="CK9" s="228">
        <v>250</v>
      </c>
      <c r="CL9" s="228">
        <v>125</v>
      </c>
      <c r="CM9" s="229">
        <v>0.5</v>
      </c>
      <c r="CN9" s="230">
        <v>217750</v>
      </c>
      <c r="CO9" s="230">
        <v>198250</v>
      </c>
      <c r="CP9" s="230">
        <v>19500</v>
      </c>
      <c r="CQ9" s="229">
        <v>9.8400000000000001E-2</v>
      </c>
      <c r="CR9" s="230">
        <v>130125</v>
      </c>
      <c r="CS9" s="230">
        <v>119375</v>
      </c>
      <c r="CT9" s="230">
        <v>10750</v>
      </c>
      <c r="CU9" s="229">
        <v>9.01E-2</v>
      </c>
      <c r="CV9" s="230">
        <v>1868750</v>
      </c>
      <c r="CW9" s="230">
        <v>1844625</v>
      </c>
      <c r="CX9" s="230">
        <v>24125</v>
      </c>
      <c r="CY9" s="229">
        <v>1.3100000000000001E-2</v>
      </c>
      <c r="CZ9" s="228">
        <v>22.57</v>
      </c>
      <c r="DA9" s="228">
        <v>22.71</v>
      </c>
      <c r="DB9" s="228">
        <v>-0.14000000000000001</v>
      </c>
      <c r="DC9" s="228">
        <v>-0.14000000000000001</v>
      </c>
      <c r="DD9" s="228">
        <v>28.09</v>
      </c>
      <c r="DE9" s="228">
        <v>28.15</v>
      </c>
      <c r="DF9" s="228">
        <v>-5.52</v>
      </c>
      <c r="DG9" s="228">
        <v>-0.06</v>
      </c>
      <c r="DH9" s="228">
        <v>22.32</v>
      </c>
      <c r="DI9" s="228">
        <v>22.32</v>
      </c>
      <c r="DJ9" s="228">
        <v>0</v>
      </c>
      <c r="DK9" s="228">
        <v>0</v>
      </c>
      <c r="DL9" s="228">
        <v>23.48</v>
      </c>
      <c r="DM9" s="228">
        <v>24.24</v>
      </c>
      <c r="DN9" s="228">
        <v>-0.76</v>
      </c>
      <c r="DO9" s="228">
        <v>-0.76</v>
      </c>
      <c r="DP9" s="228">
        <v>0.6</v>
      </c>
      <c r="DQ9" s="228">
        <v>0.6</v>
      </c>
      <c r="DR9" s="228">
        <v>0</v>
      </c>
      <c r="DS9" s="229">
        <v>0</v>
      </c>
      <c r="DT9" s="231">
        <v>5600</v>
      </c>
      <c r="DU9" s="231">
        <v>5500</v>
      </c>
      <c r="DV9" s="228">
        <v>0.28000000000000003</v>
      </c>
      <c r="DW9" s="228">
        <v>0.26</v>
      </c>
      <c r="DX9" s="228">
        <v>0.02</v>
      </c>
      <c r="DY9" s="229">
        <v>7.6899999999999996E-2</v>
      </c>
      <c r="DZ9" s="229">
        <v>8.9999999999999993E-3</v>
      </c>
      <c r="EA9" s="230">
        <v>12000</v>
      </c>
      <c r="EB9" s="229">
        <v>5.1999999999999998E-3</v>
      </c>
      <c r="EC9" s="229">
        <v>8.9999999999999993E-3</v>
      </c>
      <c r="ED9" s="228">
        <v>24.95</v>
      </c>
      <c r="EE9" s="229">
        <v>4.4999999999999997E-3</v>
      </c>
      <c r="EF9" s="230">
        <v>122285</v>
      </c>
      <c r="EG9" s="230">
        <v>176400</v>
      </c>
      <c r="EH9" s="229">
        <v>-0.30680000000000002</v>
      </c>
      <c r="EI9" s="229">
        <v>0.70830000000000004</v>
      </c>
      <c r="EJ9" s="231">
        <v>16439.37</v>
      </c>
      <c r="EK9" s="231">
        <v>4324.8900000000003</v>
      </c>
      <c r="EL9" s="231">
        <v>7706.12</v>
      </c>
      <c r="EM9" s="228">
        <v>935</v>
      </c>
      <c r="EN9" s="231">
        <v>28470.38</v>
      </c>
      <c r="EO9" s="231">
        <v>23053.91</v>
      </c>
      <c r="EP9" s="231">
        <v>5416.47</v>
      </c>
      <c r="EQ9" s="229">
        <v>0.2349</v>
      </c>
      <c r="ER9" s="231">
        <v>12362</v>
      </c>
      <c r="ES9" s="231">
        <v>6915</v>
      </c>
      <c r="ET9" s="231">
        <v>83401</v>
      </c>
      <c r="EU9" s="231">
        <v>6130387</v>
      </c>
      <c r="EV9" s="231">
        <v>102679</v>
      </c>
      <c r="EW9" s="231">
        <v>101792</v>
      </c>
      <c r="EX9" s="228">
        <v>887</v>
      </c>
      <c r="EY9" s="229">
        <v>8.6999999999999994E-3</v>
      </c>
      <c r="EZ9" s="229">
        <v>0.30480000000000002</v>
      </c>
      <c r="FA9" s="227" t="s">
        <v>568</v>
      </c>
      <c r="FB9" s="161">
        <f t="shared" si="0"/>
        <v>13625</v>
      </c>
    </row>
    <row r="10" spans="1:158" ht="17.25" hidden="1" thickBot="1" x14ac:dyDescent="0.3">
      <c r="A10" s="226">
        <v>45940</v>
      </c>
      <c r="B10" s="227" t="s">
        <v>184</v>
      </c>
      <c r="C10" s="227" t="s">
        <v>683</v>
      </c>
      <c r="D10" s="228">
        <v>100</v>
      </c>
      <c r="E10" s="231">
        <v>8245.5</v>
      </c>
      <c r="F10" s="231">
        <v>8138</v>
      </c>
      <c r="G10" s="228">
        <v>107.5</v>
      </c>
      <c r="H10" s="229">
        <v>1.32E-2</v>
      </c>
      <c r="I10" s="231">
        <v>8284.5</v>
      </c>
      <c r="J10" s="231">
        <v>8246</v>
      </c>
      <c r="K10" s="228">
        <v>38.5</v>
      </c>
      <c r="L10" s="229">
        <v>4.7000000000000002E-3</v>
      </c>
      <c r="M10" s="231">
        <v>8245.5</v>
      </c>
      <c r="N10" s="231">
        <v>8138</v>
      </c>
      <c r="O10" s="228">
        <v>107.5</v>
      </c>
      <c r="P10" s="229">
        <v>1.32E-2</v>
      </c>
      <c r="Q10" s="231">
        <v>8163.5</v>
      </c>
      <c r="R10" s="231">
        <v>8058.5</v>
      </c>
      <c r="S10" s="228">
        <v>105</v>
      </c>
      <c r="T10" s="229">
        <v>1.2999999999999999E-2</v>
      </c>
      <c r="U10" s="231">
        <v>8121</v>
      </c>
      <c r="V10" s="231">
        <v>7997</v>
      </c>
      <c r="W10" s="228">
        <v>124</v>
      </c>
      <c r="X10" s="229">
        <v>1.55E-2</v>
      </c>
      <c r="Y10" s="228">
        <v>-39</v>
      </c>
      <c r="Z10" s="228">
        <v>-108</v>
      </c>
      <c r="AA10" s="228">
        <v>69</v>
      </c>
      <c r="AB10" s="229">
        <v>-4.7000000000000002E-3</v>
      </c>
      <c r="AC10" s="228">
        <v>-39</v>
      </c>
      <c r="AD10" s="228">
        <v>-108</v>
      </c>
      <c r="AE10" s="228">
        <v>69</v>
      </c>
      <c r="AF10" s="229">
        <v>-4.7000000000000002E-3</v>
      </c>
      <c r="AG10" s="228">
        <v>-121</v>
      </c>
      <c r="AH10" s="228">
        <v>-187.5</v>
      </c>
      <c r="AI10" s="228">
        <v>66.5</v>
      </c>
      <c r="AJ10" s="229">
        <v>-1.46E-2</v>
      </c>
      <c r="AK10" s="228">
        <v>-163.5</v>
      </c>
      <c r="AL10" s="228">
        <v>-249</v>
      </c>
      <c r="AM10" s="228">
        <v>85.5</v>
      </c>
      <c r="AN10" s="229">
        <v>-1.9699999999999999E-2</v>
      </c>
      <c r="AO10" s="231">
        <v>8264</v>
      </c>
      <c r="AP10" s="231">
        <v>8167.7</v>
      </c>
      <c r="AQ10" s="228">
        <v>0</v>
      </c>
      <c r="AR10" s="230">
        <v>198500</v>
      </c>
      <c r="AS10" s="230">
        <v>397700</v>
      </c>
      <c r="AT10" s="230">
        <v>-199200</v>
      </c>
      <c r="AU10" s="229">
        <v>-0.50090000000000001</v>
      </c>
      <c r="AV10" s="230">
        <v>179800</v>
      </c>
      <c r="AW10" s="230">
        <v>361700</v>
      </c>
      <c r="AX10" s="230">
        <v>-181900</v>
      </c>
      <c r="AY10" s="229">
        <v>-0.50290000000000001</v>
      </c>
      <c r="AZ10" s="230">
        <v>18300</v>
      </c>
      <c r="BA10" s="230">
        <v>34700</v>
      </c>
      <c r="BB10" s="230">
        <v>-16400</v>
      </c>
      <c r="BC10" s="229">
        <v>-0.47260000000000002</v>
      </c>
      <c r="BD10" s="228">
        <v>400</v>
      </c>
      <c r="BE10" s="230">
        <v>1300</v>
      </c>
      <c r="BF10" s="228">
        <v>-900</v>
      </c>
      <c r="BG10" s="229">
        <v>-0.69230000000000003</v>
      </c>
      <c r="BH10" s="230">
        <v>904500</v>
      </c>
      <c r="BI10" s="230">
        <v>1638500</v>
      </c>
      <c r="BJ10" s="230">
        <v>-734000</v>
      </c>
      <c r="BK10" s="229">
        <v>-0.44800000000000001</v>
      </c>
      <c r="BL10" s="230">
        <v>223300</v>
      </c>
      <c r="BM10" s="230">
        <v>558200</v>
      </c>
      <c r="BN10" s="230">
        <v>-334900</v>
      </c>
      <c r="BO10" s="229">
        <v>-0.6</v>
      </c>
      <c r="BP10" s="230">
        <v>1326300</v>
      </c>
      <c r="BQ10" s="230">
        <v>2594400</v>
      </c>
      <c r="BR10" s="230">
        <v>-1268100</v>
      </c>
      <c r="BS10" s="229">
        <v>-0.48880000000000001</v>
      </c>
      <c r="BT10" s="230">
        <v>156439</v>
      </c>
      <c r="BU10" s="230">
        <v>322755</v>
      </c>
      <c r="BV10" s="230">
        <v>-166316</v>
      </c>
      <c r="BW10" s="229">
        <v>-0.51529999999999998</v>
      </c>
      <c r="BX10" s="230">
        <v>559000</v>
      </c>
      <c r="BY10" s="230">
        <v>581000</v>
      </c>
      <c r="BZ10" s="230">
        <v>-22000</v>
      </c>
      <c r="CA10" s="229">
        <v>-3.7900000000000003E-2</v>
      </c>
      <c r="CB10" s="230">
        <v>515800</v>
      </c>
      <c r="CC10" s="230">
        <v>539400</v>
      </c>
      <c r="CD10" s="230">
        <v>-23600</v>
      </c>
      <c r="CE10" s="229">
        <v>-4.3799999999999999E-2</v>
      </c>
      <c r="CF10" s="230">
        <v>41800</v>
      </c>
      <c r="CG10" s="230">
        <v>40500</v>
      </c>
      <c r="CH10" s="230">
        <v>1300</v>
      </c>
      <c r="CI10" s="229">
        <v>3.2099999999999997E-2</v>
      </c>
      <c r="CJ10" s="230">
        <v>1400</v>
      </c>
      <c r="CK10" s="230">
        <v>1100</v>
      </c>
      <c r="CL10" s="228">
        <v>300</v>
      </c>
      <c r="CM10" s="229">
        <v>0.2727</v>
      </c>
      <c r="CN10" s="230">
        <v>547000</v>
      </c>
      <c r="CO10" s="230">
        <v>623200</v>
      </c>
      <c r="CP10" s="230">
        <v>-76200</v>
      </c>
      <c r="CQ10" s="229">
        <v>-0.12230000000000001</v>
      </c>
      <c r="CR10" s="230">
        <v>316800</v>
      </c>
      <c r="CS10" s="230">
        <v>315800</v>
      </c>
      <c r="CT10" s="230">
        <v>1000</v>
      </c>
      <c r="CU10" s="229">
        <v>3.2000000000000002E-3</v>
      </c>
      <c r="CV10" s="230">
        <v>1422800</v>
      </c>
      <c r="CW10" s="230">
        <v>1520000</v>
      </c>
      <c r="CX10" s="230">
        <v>-97200</v>
      </c>
      <c r="CY10" s="229">
        <v>-6.3899999999999998E-2</v>
      </c>
      <c r="CZ10" s="228">
        <v>34.619999999999997</v>
      </c>
      <c r="DA10" s="228">
        <v>35.409999999999997</v>
      </c>
      <c r="DB10" s="228">
        <v>-0.79</v>
      </c>
      <c r="DC10" s="228">
        <v>-0.79</v>
      </c>
      <c r="DD10" s="228">
        <v>55.22</v>
      </c>
      <c r="DE10" s="228">
        <v>55.33</v>
      </c>
      <c r="DF10" s="228">
        <v>-20.6</v>
      </c>
      <c r="DG10" s="228">
        <v>-0.11</v>
      </c>
      <c r="DH10" s="228">
        <v>34.58</v>
      </c>
      <c r="DI10" s="228">
        <v>35.46</v>
      </c>
      <c r="DJ10" s="228">
        <v>-0.88</v>
      </c>
      <c r="DK10" s="228">
        <v>-0.88</v>
      </c>
      <c r="DL10" s="228">
        <v>34.78</v>
      </c>
      <c r="DM10" s="228">
        <v>35.29</v>
      </c>
      <c r="DN10" s="228">
        <v>-0.51</v>
      </c>
      <c r="DO10" s="228">
        <v>-0.51</v>
      </c>
      <c r="DP10" s="228">
        <v>0.57999999999999996</v>
      </c>
      <c r="DQ10" s="228">
        <v>0.51</v>
      </c>
      <c r="DR10" s="228">
        <v>7.0000000000000007E-2</v>
      </c>
      <c r="DS10" s="229">
        <v>0.13730000000000001</v>
      </c>
      <c r="DT10" s="231">
        <v>8500</v>
      </c>
      <c r="DU10" s="231">
        <v>8000</v>
      </c>
      <c r="DV10" s="228">
        <v>0.25</v>
      </c>
      <c r="DW10" s="228">
        <v>0.34</v>
      </c>
      <c r="DX10" s="228">
        <v>-0.09</v>
      </c>
      <c r="DY10" s="229">
        <v>-0.26469999999999999</v>
      </c>
      <c r="DZ10" s="229">
        <v>7.7299999999999994E-2</v>
      </c>
      <c r="EA10" s="230">
        <v>41600</v>
      </c>
      <c r="EB10" s="229">
        <v>-9.9000000000000008E-3</v>
      </c>
      <c r="EC10" s="229">
        <v>7.7299999999999994E-2</v>
      </c>
      <c r="ED10" s="228">
        <v>-96.3</v>
      </c>
      <c r="EE10" s="229">
        <v>-1.17E-2</v>
      </c>
      <c r="EF10" s="230">
        <v>42624</v>
      </c>
      <c r="EG10" s="230">
        <v>70111</v>
      </c>
      <c r="EH10" s="229">
        <v>-0.39200000000000002</v>
      </c>
      <c r="EI10" s="229">
        <v>0.27250000000000002</v>
      </c>
      <c r="EJ10" s="231">
        <v>78545.03</v>
      </c>
      <c r="EK10" s="231">
        <v>18060.36</v>
      </c>
      <c r="EL10" s="231">
        <v>16385.849999999999</v>
      </c>
      <c r="EM10" s="231">
        <v>2593</v>
      </c>
      <c r="EN10" s="231">
        <v>112991.24</v>
      </c>
      <c r="EO10" s="231">
        <v>218179.94</v>
      </c>
      <c r="EP10" s="231">
        <v>-105188.7</v>
      </c>
      <c r="EQ10" s="229">
        <v>-0.48209999999999997</v>
      </c>
      <c r="ER10" s="231">
        <v>46645</v>
      </c>
      <c r="ES10" s="231">
        <v>25207</v>
      </c>
      <c r="ET10" s="231">
        <v>46056</v>
      </c>
      <c r="EU10" s="231">
        <v>3067454</v>
      </c>
      <c r="EV10" s="231">
        <v>117908</v>
      </c>
      <c r="EW10" s="231">
        <v>125422</v>
      </c>
      <c r="EX10" s="231">
        <v>-7514</v>
      </c>
      <c r="EY10" s="229">
        <v>-5.9900000000000002E-2</v>
      </c>
      <c r="EZ10" s="229">
        <v>0.46379999999999999</v>
      </c>
      <c r="FA10" s="227" t="s">
        <v>556</v>
      </c>
      <c r="FB10" s="161">
        <f t="shared" si="0"/>
        <v>43200</v>
      </c>
    </row>
    <row r="11" spans="1:158" ht="17.25" hidden="1" thickBot="1" x14ac:dyDescent="0.3">
      <c r="A11" s="226">
        <v>45940</v>
      </c>
      <c r="B11" s="227" t="s">
        <v>157</v>
      </c>
      <c r="C11" s="227" t="s">
        <v>164</v>
      </c>
      <c r="D11" s="228">
        <v>1050</v>
      </c>
      <c r="E11" s="228">
        <v>572.04999999999995</v>
      </c>
      <c r="F11" s="228">
        <v>568.1</v>
      </c>
      <c r="G11" s="228">
        <v>3.95</v>
      </c>
      <c r="H11" s="229">
        <v>7.0000000000000001E-3</v>
      </c>
      <c r="I11" s="228">
        <v>569.25</v>
      </c>
      <c r="J11" s="228">
        <v>565.9</v>
      </c>
      <c r="K11" s="228">
        <v>3.35</v>
      </c>
      <c r="L11" s="229">
        <v>5.8999999999999999E-3</v>
      </c>
      <c r="M11" s="228">
        <v>572.04999999999995</v>
      </c>
      <c r="N11" s="228">
        <v>568.1</v>
      </c>
      <c r="O11" s="228">
        <v>3.95</v>
      </c>
      <c r="P11" s="229">
        <v>7.0000000000000001E-3</v>
      </c>
      <c r="Q11" s="228">
        <v>575.25</v>
      </c>
      <c r="R11" s="228">
        <v>571.6</v>
      </c>
      <c r="S11" s="228">
        <v>3.65</v>
      </c>
      <c r="T11" s="229">
        <v>6.4000000000000003E-3</v>
      </c>
      <c r="U11" s="228">
        <v>578.04999999999995</v>
      </c>
      <c r="V11" s="228">
        <v>575.15</v>
      </c>
      <c r="W11" s="228">
        <v>2.9</v>
      </c>
      <c r="X11" s="229">
        <v>5.0000000000000001E-3</v>
      </c>
      <c r="Y11" s="228">
        <v>2.8</v>
      </c>
      <c r="Z11" s="228">
        <v>2.2000000000000002</v>
      </c>
      <c r="AA11" s="228">
        <v>0.6</v>
      </c>
      <c r="AB11" s="229">
        <v>4.8999999999999998E-3</v>
      </c>
      <c r="AC11" s="228">
        <v>2.8</v>
      </c>
      <c r="AD11" s="228">
        <v>2.2000000000000002</v>
      </c>
      <c r="AE11" s="228">
        <v>0.6</v>
      </c>
      <c r="AF11" s="229">
        <v>4.8999999999999998E-3</v>
      </c>
      <c r="AG11" s="228">
        <v>6</v>
      </c>
      <c r="AH11" s="228">
        <v>5.7</v>
      </c>
      <c r="AI11" s="228">
        <v>0.3</v>
      </c>
      <c r="AJ11" s="229">
        <v>1.0500000000000001E-2</v>
      </c>
      <c r="AK11" s="228">
        <v>8.8000000000000007</v>
      </c>
      <c r="AL11" s="228">
        <v>9.25</v>
      </c>
      <c r="AM11" s="228">
        <v>-0.45</v>
      </c>
      <c r="AN11" s="229">
        <v>1.55E-2</v>
      </c>
      <c r="AO11" s="228">
        <v>573</v>
      </c>
      <c r="AP11" s="228">
        <v>575.98</v>
      </c>
      <c r="AQ11" s="228">
        <v>0</v>
      </c>
      <c r="AR11" s="230">
        <v>2478000</v>
      </c>
      <c r="AS11" s="230">
        <v>2010750</v>
      </c>
      <c r="AT11" s="230">
        <v>467250</v>
      </c>
      <c r="AU11" s="229">
        <v>0.2324</v>
      </c>
      <c r="AV11" s="230">
        <v>2272200</v>
      </c>
      <c r="AW11" s="230">
        <v>1856400</v>
      </c>
      <c r="AX11" s="230">
        <v>415800</v>
      </c>
      <c r="AY11" s="229">
        <v>0.224</v>
      </c>
      <c r="AZ11" s="230">
        <v>190050</v>
      </c>
      <c r="BA11" s="230">
        <v>148050</v>
      </c>
      <c r="BB11" s="230">
        <v>42000</v>
      </c>
      <c r="BC11" s="229">
        <v>0.28370000000000001</v>
      </c>
      <c r="BD11" s="230">
        <v>15750</v>
      </c>
      <c r="BE11" s="230">
        <v>6300</v>
      </c>
      <c r="BF11" s="230">
        <v>9450</v>
      </c>
      <c r="BG11" s="229">
        <v>1.5</v>
      </c>
      <c r="BH11" s="230">
        <v>5668950</v>
      </c>
      <c r="BI11" s="230">
        <v>3708600</v>
      </c>
      <c r="BJ11" s="230">
        <v>1960350</v>
      </c>
      <c r="BK11" s="229">
        <v>0.52859999999999996</v>
      </c>
      <c r="BL11" s="230">
        <v>2317350</v>
      </c>
      <c r="BM11" s="230">
        <v>1380750</v>
      </c>
      <c r="BN11" s="230">
        <v>936600</v>
      </c>
      <c r="BO11" s="229">
        <v>0.67830000000000001</v>
      </c>
      <c r="BP11" s="230">
        <v>10464300</v>
      </c>
      <c r="BQ11" s="230">
        <v>7100100</v>
      </c>
      <c r="BR11" s="230">
        <v>3364200</v>
      </c>
      <c r="BS11" s="229">
        <v>0.4738</v>
      </c>
      <c r="BT11" s="230">
        <v>939542</v>
      </c>
      <c r="BU11" s="230">
        <v>842706</v>
      </c>
      <c r="BV11" s="230">
        <v>96836</v>
      </c>
      <c r="BW11" s="229">
        <v>0.1149</v>
      </c>
      <c r="BX11" s="230">
        <v>40946850</v>
      </c>
      <c r="BY11" s="230">
        <v>41458200</v>
      </c>
      <c r="BZ11" s="230">
        <v>-511350</v>
      </c>
      <c r="CA11" s="229">
        <v>-1.23E-2</v>
      </c>
      <c r="CB11" s="230">
        <v>39961950</v>
      </c>
      <c r="CC11" s="230">
        <v>40515300</v>
      </c>
      <c r="CD11" s="230">
        <v>-553350</v>
      </c>
      <c r="CE11" s="229">
        <v>-1.37E-2</v>
      </c>
      <c r="CF11" s="230">
        <v>941850</v>
      </c>
      <c r="CG11" s="230">
        <v>897750</v>
      </c>
      <c r="CH11" s="230">
        <v>44100</v>
      </c>
      <c r="CI11" s="229">
        <v>4.9099999999999998E-2</v>
      </c>
      <c r="CJ11" s="230">
        <v>43050</v>
      </c>
      <c r="CK11" s="230">
        <v>45150</v>
      </c>
      <c r="CL11" s="230">
        <v>-2100</v>
      </c>
      <c r="CM11" s="229">
        <v>-4.65E-2</v>
      </c>
      <c r="CN11" s="230">
        <v>11734800</v>
      </c>
      <c r="CO11" s="230">
        <v>11560500</v>
      </c>
      <c r="CP11" s="230">
        <v>174300</v>
      </c>
      <c r="CQ11" s="229">
        <v>1.5100000000000001E-2</v>
      </c>
      <c r="CR11" s="230">
        <v>8109150</v>
      </c>
      <c r="CS11" s="230">
        <v>8345400</v>
      </c>
      <c r="CT11" s="230">
        <v>-236250</v>
      </c>
      <c r="CU11" s="229">
        <v>-2.8299999999999999E-2</v>
      </c>
      <c r="CV11" s="230">
        <v>60790800</v>
      </c>
      <c r="CW11" s="230">
        <v>61364100</v>
      </c>
      <c r="CX11" s="230">
        <v>-573300</v>
      </c>
      <c r="CY11" s="229">
        <v>-9.2999999999999992E-3</v>
      </c>
      <c r="CZ11" s="228">
        <v>23.04</v>
      </c>
      <c r="DA11" s="228">
        <v>24.89</v>
      </c>
      <c r="DB11" s="228">
        <v>-1.85</v>
      </c>
      <c r="DC11" s="228">
        <v>-1.85</v>
      </c>
      <c r="DD11" s="228">
        <v>34.22</v>
      </c>
      <c r="DE11" s="228">
        <v>34.29</v>
      </c>
      <c r="DF11" s="228">
        <v>-11.18</v>
      </c>
      <c r="DG11" s="228">
        <v>-7.0000000000000007E-2</v>
      </c>
      <c r="DH11" s="228">
        <v>23.27</v>
      </c>
      <c r="DI11" s="228">
        <v>25.05</v>
      </c>
      <c r="DJ11" s="228">
        <v>-1.78</v>
      </c>
      <c r="DK11" s="228">
        <v>-1.78</v>
      </c>
      <c r="DL11" s="228">
        <v>22.48</v>
      </c>
      <c r="DM11" s="228">
        <v>24.49</v>
      </c>
      <c r="DN11" s="228">
        <v>-2.0099999999999998</v>
      </c>
      <c r="DO11" s="228">
        <v>-2.0099999999999998</v>
      </c>
      <c r="DP11" s="228">
        <v>0.69</v>
      </c>
      <c r="DQ11" s="228">
        <v>0.72</v>
      </c>
      <c r="DR11" s="228">
        <v>-0.03</v>
      </c>
      <c r="DS11" s="229">
        <v>-4.1700000000000001E-2</v>
      </c>
      <c r="DT11" s="228">
        <v>600</v>
      </c>
      <c r="DU11" s="228">
        <v>650</v>
      </c>
      <c r="DV11" s="228">
        <v>0.41</v>
      </c>
      <c r="DW11" s="228">
        <v>0.37</v>
      </c>
      <c r="DX11" s="228">
        <v>0.04</v>
      </c>
      <c r="DY11" s="229">
        <v>0.1081</v>
      </c>
      <c r="DZ11" s="229">
        <v>2.41E-2</v>
      </c>
      <c r="EA11" s="230">
        <v>942900</v>
      </c>
      <c r="EB11" s="229">
        <v>5.5999999999999999E-3</v>
      </c>
      <c r="EC11" s="229">
        <v>2.41E-2</v>
      </c>
      <c r="ED11" s="228">
        <v>2.98</v>
      </c>
      <c r="EE11" s="229">
        <v>5.1999999999999998E-3</v>
      </c>
      <c r="EF11" s="230">
        <v>594623</v>
      </c>
      <c r="EG11" s="230">
        <v>428867</v>
      </c>
      <c r="EH11" s="229">
        <v>0.38650000000000001</v>
      </c>
      <c r="EI11" s="229">
        <v>0.63290000000000002</v>
      </c>
      <c r="EJ11" s="231">
        <v>33705.96</v>
      </c>
      <c r="EK11" s="231">
        <v>13205.85</v>
      </c>
      <c r="EL11" s="231">
        <v>14205.5</v>
      </c>
      <c r="EM11" s="231">
        <v>3166</v>
      </c>
      <c r="EN11" s="231">
        <v>61117.31</v>
      </c>
      <c r="EO11" s="231">
        <v>41225.96</v>
      </c>
      <c r="EP11" s="231">
        <v>19891.349999999999</v>
      </c>
      <c r="EQ11" s="229">
        <v>0.48249999999999998</v>
      </c>
      <c r="ER11" s="231">
        <v>70333</v>
      </c>
      <c r="ES11" s="231">
        <v>46990</v>
      </c>
      <c r="ET11" s="231">
        <v>234269</v>
      </c>
      <c r="EU11" s="231">
        <v>119762774</v>
      </c>
      <c r="EV11" s="231">
        <v>351593</v>
      </c>
      <c r="EW11" s="231">
        <v>353136</v>
      </c>
      <c r="EX11" s="231">
        <v>-1543</v>
      </c>
      <c r="EY11" s="229">
        <v>-4.4000000000000003E-3</v>
      </c>
      <c r="EZ11" s="229">
        <v>0.50760000000000005</v>
      </c>
      <c r="FA11" s="227" t="s">
        <v>556</v>
      </c>
      <c r="FB11" s="161">
        <f t="shared" si="0"/>
        <v>984900</v>
      </c>
    </row>
    <row r="12" spans="1:158" ht="17.25" hidden="1" thickBot="1" x14ac:dyDescent="0.3">
      <c r="A12" s="226">
        <v>45940</v>
      </c>
      <c r="B12" s="227" t="s">
        <v>175</v>
      </c>
      <c r="C12" s="227" t="s">
        <v>610</v>
      </c>
      <c r="D12" s="228">
        <v>250</v>
      </c>
      <c r="E12" s="231">
        <v>2312.1999999999998</v>
      </c>
      <c r="F12" s="231">
        <v>2273.1999999999998</v>
      </c>
      <c r="G12" s="228">
        <v>39</v>
      </c>
      <c r="H12" s="229">
        <v>1.72E-2</v>
      </c>
      <c r="I12" s="231">
        <v>2303.3000000000002</v>
      </c>
      <c r="J12" s="231">
        <v>2264.6</v>
      </c>
      <c r="K12" s="228">
        <v>38.700000000000003</v>
      </c>
      <c r="L12" s="229">
        <v>1.7100000000000001E-2</v>
      </c>
      <c r="M12" s="231">
        <v>2312.1999999999998</v>
      </c>
      <c r="N12" s="231">
        <v>2273.1999999999998</v>
      </c>
      <c r="O12" s="228">
        <v>39</v>
      </c>
      <c r="P12" s="229">
        <v>1.72E-2</v>
      </c>
      <c r="Q12" s="231">
        <v>2309.6</v>
      </c>
      <c r="R12" s="231">
        <v>2270.4</v>
      </c>
      <c r="S12" s="228">
        <v>39.200000000000003</v>
      </c>
      <c r="T12" s="229">
        <v>1.7299999999999999E-2</v>
      </c>
      <c r="U12" s="231">
        <v>2310.8000000000002</v>
      </c>
      <c r="V12" s="231">
        <v>2264.9</v>
      </c>
      <c r="W12" s="228">
        <v>45.9</v>
      </c>
      <c r="X12" s="229">
        <v>2.0299999999999999E-2</v>
      </c>
      <c r="Y12" s="228">
        <v>8.9</v>
      </c>
      <c r="Z12" s="228">
        <v>8.6</v>
      </c>
      <c r="AA12" s="228">
        <v>0.3</v>
      </c>
      <c r="AB12" s="229">
        <v>3.8999999999999998E-3</v>
      </c>
      <c r="AC12" s="228">
        <v>8.9</v>
      </c>
      <c r="AD12" s="228">
        <v>8.6</v>
      </c>
      <c r="AE12" s="228">
        <v>0.3</v>
      </c>
      <c r="AF12" s="229">
        <v>3.8999999999999998E-3</v>
      </c>
      <c r="AG12" s="228">
        <v>6.3</v>
      </c>
      <c r="AH12" s="228">
        <v>5.8</v>
      </c>
      <c r="AI12" s="228">
        <v>0.5</v>
      </c>
      <c r="AJ12" s="229">
        <v>2.7000000000000001E-3</v>
      </c>
      <c r="AK12" s="228">
        <v>7.5</v>
      </c>
      <c r="AL12" s="228">
        <v>0.3</v>
      </c>
      <c r="AM12" s="228">
        <v>7.2</v>
      </c>
      <c r="AN12" s="229">
        <v>3.3E-3</v>
      </c>
      <c r="AO12" s="231">
        <v>2306.91</v>
      </c>
      <c r="AP12" s="231">
        <v>2305.31</v>
      </c>
      <c r="AQ12" s="228">
        <v>0</v>
      </c>
      <c r="AR12" s="230">
        <v>1441250</v>
      </c>
      <c r="AS12" s="230">
        <v>1526000</v>
      </c>
      <c r="AT12" s="230">
        <v>-84750</v>
      </c>
      <c r="AU12" s="229">
        <v>-5.5500000000000001E-2</v>
      </c>
      <c r="AV12" s="230">
        <v>1294750</v>
      </c>
      <c r="AW12" s="230">
        <v>1384750</v>
      </c>
      <c r="AX12" s="230">
        <v>-90000</v>
      </c>
      <c r="AY12" s="229">
        <v>-6.5000000000000002E-2</v>
      </c>
      <c r="AZ12" s="230">
        <v>123750</v>
      </c>
      <c r="BA12" s="230">
        <v>123250</v>
      </c>
      <c r="BB12" s="228">
        <v>500</v>
      </c>
      <c r="BC12" s="229">
        <v>4.1000000000000003E-3</v>
      </c>
      <c r="BD12" s="230">
        <v>22750</v>
      </c>
      <c r="BE12" s="230">
        <v>18000</v>
      </c>
      <c r="BF12" s="230">
        <v>4750</v>
      </c>
      <c r="BG12" s="229">
        <v>0.26390000000000002</v>
      </c>
      <c r="BH12" s="230">
        <v>5629500</v>
      </c>
      <c r="BI12" s="230">
        <v>5336250</v>
      </c>
      <c r="BJ12" s="230">
        <v>293250</v>
      </c>
      <c r="BK12" s="229">
        <v>5.5E-2</v>
      </c>
      <c r="BL12" s="230">
        <v>2303000</v>
      </c>
      <c r="BM12" s="230">
        <v>1852750</v>
      </c>
      <c r="BN12" s="230">
        <v>450250</v>
      </c>
      <c r="BO12" s="229">
        <v>0.24299999999999999</v>
      </c>
      <c r="BP12" s="230">
        <v>9373750</v>
      </c>
      <c r="BQ12" s="230">
        <v>8715000</v>
      </c>
      <c r="BR12" s="230">
        <v>658750</v>
      </c>
      <c r="BS12" s="229">
        <v>7.5600000000000001E-2</v>
      </c>
      <c r="BT12" s="230">
        <v>1099696</v>
      </c>
      <c r="BU12" s="230">
        <v>806290</v>
      </c>
      <c r="BV12" s="230">
        <v>293406</v>
      </c>
      <c r="BW12" s="229">
        <v>0.3639</v>
      </c>
      <c r="BX12" s="230">
        <v>4026500</v>
      </c>
      <c r="BY12" s="230">
        <v>4010000</v>
      </c>
      <c r="BZ12" s="230">
        <v>16500</v>
      </c>
      <c r="CA12" s="229">
        <v>4.1000000000000003E-3</v>
      </c>
      <c r="CB12" s="230">
        <v>3700750</v>
      </c>
      <c r="CC12" s="230">
        <v>3683500</v>
      </c>
      <c r="CD12" s="230">
        <v>17250</v>
      </c>
      <c r="CE12" s="229">
        <v>4.7000000000000002E-3</v>
      </c>
      <c r="CF12" s="230">
        <v>282000</v>
      </c>
      <c r="CG12" s="230">
        <v>287750</v>
      </c>
      <c r="CH12" s="230">
        <v>-5750</v>
      </c>
      <c r="CI12" s="229">
        <v>-0.02</v>
      </c>
      <c r="CJ12" s="230">
        <v>43750</v>
      </c>
      <c r="CK12" s="230">
        <v>38750</v>
      </c>
      <c r="CL12" s="230">
        <v>5000</v>
      </c>
      <c r="CM12" s="229">
        <v>0.129</v>
      </c>
      <c r="CN12" s="230">
        <v>1945000</v>
      </c>
      <c r="CO12" s="230">
        <v>2187750</v>
      </c>
      <c r="CP12" s="230">
        <v>-242750</v>
      </c>
      <c r="CQ12" s="229">
        <v>-0.111</v>
      </c>
      <c r="CR12" s="230">
        <v>1506500</v>
      </c>
      <c r="CS12" s="230">
        <v>1547250</v>
      </c>
      <c r="CT12" s="230">
        <v>-40750</v>
      </c>
      <c r="CU12" s="229">
        <v>-2.63E-2</v>
      </c>
      <c r="CV12" s="230">
        <v>7478000</v>
      </c>
      <c r="CW12" s="230">
        <v>7745000</v>
      </c>
      <c r="CX12" s="230">
        <v>-267000</v>
      </c>
      <c r="CY12" s="229">
        <v>-3.4500000000000003E-2</v>
      </c>
      <c r="CZ12" s="228">
        <v>41.72</v>
      </c>
      <c r="DA12" s="228">
        <v>45.06</v>
      </c>
      <c r="DB12" s="228">
        <v>-3.34</v>
      </c>
      <c r="DC12" s="228">
        <v>-3.34</v>
      </c>
      <c r="DD12" s="228">
        <v>55.98</v>
      </c>
      <c r="DE12" s="228">
        <v>56.08</v>
      </c>
      <c r="DF12" s="228">
        <v>-14.26</v>
      </c>
      <c r="DG12" s="228">
        <v>-0.1</v>
      </c>
      <c r="DH12" s="228">
        <v>41.4</v>
      </c>
      <c r="DI12" s="228">
        <v>44.72</v>
      </c>
      <c r="DJ12" s="228">
        <v>-3.32</v>
      </c>
      <c r="DK12" s="228">
        <v>-3.32</v>
      </c>
      <c r="DL12" s="228">
        <v>42.48</v>
      </c>
      <c r="DM12" s="228">
        <v>46.05</v>
      </c>
      <c r="DN12" s="228">
        <v>-3.57</v>
      </c>
      <c r="DO12" s="228">
        <v>-3.57</v>
      </c>
      <c r="DP12" s="228">
        <v>0.77</v>
      </c>
      <c r="DQ12" s="228">
        <v>0.71</v>
      </c>
      <c r="DR12" s="228">
        <v>0.06</v>
      </c>
      <c r="DS12" s="229">
        <v>8.4500000000000006E-2</v>
      </c>
      <c r="DT12" s="231">
        <v>2300</v>
      </c>
      <c r="DU12" s="231">
        <v>2100</v>
      </c>
      <c r="DV12" s="228">
        <v>0.41</v>
      </c>
      <c r="DW12" s="228">
        <v>0.35</v>
      </c>
      <c r="DX12" s="228">
        <v>0.06</v>
      </c>
      <c r="DY12" s="229">
        <v>0.1714</v>
      </c>
      <c r="DZ12" s="229">
        <v>8.09E-2</v>
      </c>
      <c r="EA12" s="230">
        <v>326500</v>
      </c>
      <c r="EB12" s="229">
        <v>-1.1000000000000001E-3</v>
      </c>
      <c r="EC12" s="229">
        <v>8.09E-2</v>
      </c>
      <c r="ED12" s="228">
        <v>-1.6</v>
      </c>
      <c r="EE12" s="229">
        <v>-6.9999999999999999E-4</v>
      </c>
      <c r="EF12" s="230">
        <v>319893</v>
      </c>
      <c r="EG12" s="230">
        <v>236725</v>
      </c>
      <c r="EH12" s="229">
        <v>0.3513</v>
      </c>
      <c r="EI12" s="229">
        <v>0.29089999999999999</v>
      </c>
      <c r="EJ12" s="231">
        <v>137116.70000000001</v>
      </c>
      <c r="EK12" s="231">
        <v>51693.47</v>
      </c>
      <c r="EL12" s="231">
        <v>33245.730000000003</v>
      </c>
      <c r="EM12" s="231">
        <v>5862</v>
      </c>
      <c r="EN12" s="231">
        <v>222055.9</v>
      </c>
      <c r="EO12" s="231">
        <v>204146.66</v>
      </c>
      <c r="EP12" s="231">
        <v>17909.240000000002</v>
      </c>
      <c r="EQ12" s="229">
        <v>8.77E-2</v>
      </c>
      <c r="ER12" s="231">
        <v>45726</v>
      </c>
      <c r="ES12" s="231">
        <v>32327</v>
      </c>
      <c r="ET12" s="231">
        <v>93093</v>
      </c>
      <c r="EU12" s="231">
        <v>9647634</v>
      </c>
      <c r="EV12" s="231">
        <v>171146</v>
      </c>
      <c r="EW12" s="231">
        <v>175514</v>
      </c>
      <c r="EX12" s="231">
        <v>-4368</v>
      </c>
      <c r="EY12" s="229">
        <v>-2.4899999999999999E-2</v>
      </c>
      <c r="EZ12" s="229">
        <v>0.77510000000000001</v>
      </c>
      <c r="FA12" s="227" t="s">
        <v>555</v>
      </c>
      <c r="FB12" s="161">
        <f t="shared" si="0"/>
        <v>325750</v>
      </c>
    </row>
    <row r="13" spans="1:158" ht="17.25" hidden="1" thickBot="1" x14ac:dyDescent="0.3">
      <c r="A13" s="226">
        <v>45940</v>
      </c>
      <c r="B13" s="227" t="s">
        <v>227</v>
      </c>
      <c r="C13" s="227" t="s">
        <v>599</v>
      </c>
      <c r="D13" s="228">
        <v>350</v>
      </c>
      <c r="E13" s="231">
        <v>1746.2</v>
      </c>
      <c r="F13" s="231">
        <v>1745.4</v>
      </c>
      <c r="G13" s="228">
        <v>0.8</v>
      </c>
      <c r="H13" s="229">
        <v>5.0000000000000001E-4</v>
      </c>
      <c r="I13" s="231">
        <v>1738.6</v>
      </c>
      <c r="J13" s="231">
        <v>1735</v>
      </c>
      <c r="K13" s="228">
        <v>3.6</v>
      </c>
      <c r="L13" s="229">
        <v>2.0999999999999999E-3</v>
      </c>
      <c r="M13" s="231">
        <v>1746.2</v>
      </c>
      <c r="N13" s="231">
        <v>1745.4</v>
      </c>
      <c r="O13" s="228">
        <v>0.8</v>
      </c>
      <c r="P13" s="229">
        <v>5.0000000000000001E-4</v>
      </c>
      <c r="Q13" s="231">
        <v>1756.1</v>
      </c>
      <c r="R13" s="231">
        <v>1755.2</v>
      </c>
      <c r="S13" s="228">
        <v>0.9</v>
      </c>
      <c r="T13" s="229">
        <v>5.0000000000000001E-4</v>
      </c>
      <c r="U13" s="231">
        <v>1773</v>
      </c>
      <c r="V13" s="231">
        <v>1777</v>
      </c>
      <c r="W13" s="228">
        <v>-4</v>
      </c>
      <c r="X13" s="229">
        <v>-2.3E-3</v>
      </c>
      <c r="Y13" s="228">
        <v>7.6</v>
      </c>
      <c r="Z13" s="228">
        <v>10.4</v>
      </c>
      <c r="AA13" s="228">
        <v>-2.8</v>
      </c>
      <c r="AB13" s="229">
        <v>4.4000000000000003E-3</v>
      </c>
      <c r="AC13" s="228">
        <v>7.6</v>
      </c>
      <c r="AD13" s="228">
        <v>10.4</v>
      </c>
      <c r="AE13" s="228">
        <v>-2.8</v>
      </c>
      <c r="AF13" s="229">
        <v>4.4000000000000003E-3</v>
      </c>
      <c r="AG13" s="228">
        <v>17.5</v>
      </c>
      <c r="AH13" s="228">
        <v>20.2</v>
      </c>
      <c r="AI13" s="228">
        <v>-2.7</v>
      </c>
      <c r="AJ13" s="229">
        <v>1.01E-2</v>
      </c>
      <c r="AK13" s="228">
        <v>34.4</v>
      </c>
      <c r="AL13" s="228">
        <v>42</v>
      </c>
      <c r="AM13" s="228">
        <v>-7.6</v>
      </c>
      <c r="AN13" s="229">
        <v>1.9800000000000002E-2</v>
      </c>
      <c r="AO13" s="231">
        <v>1748.77</v>
      </c>
      <c r="AP13" s="231">
        <v>1758.27</v>
      </c>
      <c r="AQ13" s="228">
        <v>0</v>
      </c>
      <c r="AR13" s="230">
        <v>312200</v>
      </c>
      <c r="AS13" s="230">
        <v>497700</v>
      </c>
      <c r="AT13" s="230">
        <v>-185500</v>
      </c>
      <c r="AU13" s="229">
        <v>-0.37269999999999998</v>
      </c>
      <c r="AV13" s="230">
        <v>298550</v>
      </c>
      <c r="AW13" s="230">
        <v>475300</v>
      </c>
      <c r="AX13" s="230">
        <v>-176750</v>
      </c>
      <c r="AY13" s="229">
        <v>-0.37190000000000001</v>
      </c>
      <c r="AZ13" s="230">
        <v>13300</v>
      </c>
      <c r="BA13" s="230">
        <v>22050</v>
      </c>
      <c r="BB13" s="230">
        <v>-8750</v>
      </c>
      <c r="BC13" s="229">
        <v>-0.39679999999999999</v>
      </c>
      <c r="BD13" s="228">
        <v>350</v>
      </c>
      <c r="BE13" s="228">
        <v>350</v>
      </c>
      <c r="BF13" s="228">
        <v>0</v>
      </c>
      <c r="BG13" s="229">
        <v>0</v>
      </c>
      <c r="BH13" s="230">
        <v>487900</v>
      </c>
      <c r="BI13" s="230">
        <v>935900</v>
      </c>
      <c r="BJ13" s="230">
        <v>-448000</v>
      </c>
      <c r="BK13" s="229">
        <v>-0.47870000000000001</v>
      </c>
      <c r="BL13" s="230">
        <v>143500</v>
      </c>
      <c r="BM13" s="230">
        <v>219100</v>
      </c>
      <c r="BN13" s="230">
        <v>-75600</v>
      </c>
      <c r="BO13" s="229">
        <v>-0.34499999999999997</v>
      </c>
      <c r="BP13" s="230">
        <v>943600</v>
      </c>
      <c r="BQ13" s="230">
        <v>1652700</v>
      </c>
      <c r="BR13" s="230">
        <v>-709100</v>
      </c>
      <c r="BS13" s="229">
        <v>-0.42909999999999998</v>
      </c>
      <c r="BT13" s="230">
        <v>124188</v>
      </c>
      <c r="BU13" s="230">
        <v>322342</v>
      </c>
      <c r="BV13" s="230">
        <v>-198154</v>
      </c>
      <c r="BW13" s="229">
        <v>-0.61470000000000002</v>
      </c>
      <c r="BX13" s="230">
        <v>9582300</v>
      </c>
      <c r="BY13" s="230">
        <v>9570750</v>
      </c>
      <c r="BZ13" s="230">
        <v>11550</v>
      </c>
      <c r="CA13" s="229">
        <v>1.1999999999999999E-3</v>
      </c>
      <c r="CB13" s="230">
        <v>9507050</v>
      </c>
      <c r="CC13" s="230">
        <v>9496200</v>
      </c>
      <c r="CD13" s="230">
        <v>10850</v>
      </c>
      <c r="CE13" s="229">
        <v>1.1000000000000001E-3</v>
      </c>
      <c r="CF13" s="230">
        <v>70700</v>
      </c>
      <c r="CG13" s="230">
        <v>70350</v>
      </c>
      <c r="CH13" s="228">
        <v>350</v>
      </c>
      <c r="CI13" s="229">
        <v>5.0000000000000001E-3</v>
      </c>
      <c r="CJ13" s="230">
        <v>4550</v>
      </c>
      <c r="CK13" s="230">
        <v>4200</v>
      </c>
      <c r="CL13" s="228">
        <v>350</v>
      </c>
      <c r="CM13" s="229">
        <v>8.3299999999999999E-2</v>
      </c>
      <c r="CN13" s="230">
        <v>1060850</v>
      </c>
      <c r="CO13" s="230">
        <v>1067850</v>
      </c>
      <c r="CP13" s="230">
        <v>-7000</v>
      </c>
      <c r="CQ13" s="229">
        <v>-6.6E-3</v>
      </c>
      <c r="CR13" s="230">
        <v>611100</v>
      </c>
      <c r="CS13" s="230">
        <v>612850</v>
      </c>
      <c r="CT13" s="230">
        <v>-1750</v>
      </c>
      <c r="CU13" s="229">
        <v>-2.8999999999999998E-3</v>
      </c>
      <c r="CV13" s="230">
        <v>11254250</v>
      </c>
      <c r="CW13" s="230">
        <v>11251450</v>
      </c>
      <c r="CX13" s="230">
        <v>2800</v>
      </c>
      <c r="CY13" s="229">
        <v>2.0000000000000001E-4</v>
      </c>
      <c r="CZ13" s="228">
        <v>23.89</v>
      </c>
      <c r="DA13" s="228">
        <v>25.46</v>
      </c>
      <c r="DB13" s="228">
        <v>-1.57</v>
      </c>
      <c r="DC13" s="228">
        <v>-1.57</v>
      </c>
      <c r="DD13" s="228">
        <v>35.03</v>
      </c>
      <c r="DE13" s="228">
        <v>35.119999999999997</v>
      </c>
      <c r="DF13" s="228">
        <v>-11.14</v>
      </c>
      <c r="DG13" s="228">
        <v>-0.09</v>
      </c>
      <c r="DH13" s="228">
        <v>23.77</v>
      </c>
      <c r="DI13" s="228">
        <v>25.34</v>
      </c>
      <c r="DJ13" s="228">
        <v>-1.57</v>
      </c>
      <c r="DK13" s="228">
        <v>-1.57</v>
      </c>
      <c r="DL13" s="228">
        <v>24.28</v>
      </c>
      <c r="DM13" s="228">
        <v>25.96</v>
      </c>
      <c r="DN13" s="228">
        <v>-1.68</v>
      </c>
      <c r="DO13" s="228">
        <v>-1.68</v>
      </c>
      <c r="DP13" s="228">
        <v>0.57999999999999996</v>
      </c>
      <c r="DQ13" s="228">
        <v>0.56999999999999995</v>
      </c>
      <c r="DR13" s="228">
        <v>0.01</v>
      </c>
      <c r="DS13" s="229">
        <v>1.7500000000000002E-2</v>
      </c>
      <c r="DT13" s="231">
        <v>1740</v>
      </c>
      <c r="DU13" s="231">
        <v>1700</v>
      </c>
      <c r="DV13" s="228">
        <v>0.28999999999999998</v>
      </c>
      <c r="DW13" s="228">
        <v>0.23</v>
      </c>
      <c r="DX13" s="228">
        <v>0.06</v>
      </c>
      <c r="DY13" s="229">
        <v>0.26090000000000002</v>
      </c>
      <c r="DZ13" s="229">
        <v>7.9000000000000008E-3</v>
      </c>
      <c r="EA13" s="230">
        <v>74550</v>
      </c>
      <c r="EB13" s="229">
        <v>5.7000000000000002E-3</v>
      </c>
      <c r="EC13" s="229">
        <v>7.9000000000000008E-3</v>
      </c>
      <c r="ED13" s="228">
        <v>9.5</v>
      </c>
      <c r="EE13" s="229">
        <v>5.4000000000000003E-3</v>
      </c>
      <c r="EF13" s="230">
        <v>72146</v>
      </c>
      <c r="EG13" s="230">
        <v>184893</v>
      </c>
      <c r="EH13" s="229">
        <v>-0.60980000000000001</v>
      </c>
      <c r="EI13" s="229">
        <v>0.58089999999999997</v>
      </c>
      <c r="EJ13" s="231">
        <v>8815.4599999999991</v>
      </c>
      <c r="EK13" s="231">
        <v>2490.2399999999998</v>
      </c>
      <c r="EL13" s="231">
        <v>5461.01</v>
      </c>
      <c r="EM13" s="231">
        <v>1952</v>
      </c>
      <c r="EN13" s="231">
        <v>16766.71</v>
      </c>
      <c r="EO13" s="231">
        <v>29376.9</v>
      </c>
      <c r="EP13" s="231">
        <v>-12610.19</v>
      </c>
      <c r="EQ13" s="229">
        <v>-0.42930000000000001</v>
      </c>
      <c r="ER13" s="231">
        <v>18635</v>
      </c>
      <c r="ES13" s="231">
        <v>10144</v>
      </c>
      <c r="ET13" s="231">
        <v>167334</v>
      </c>
      <c r="EU13" s="231">
        <v>27232196</v>
      </c>
      <c r="EV13" s="231">
        <v>196113</v>
      </c>
      <c r="EW13" s="231">
        <v>195970</v>
      </c>
      <c r="EX13" s="228">
        <v>143</v>
      </c>
      <c r="EY13" s="229">
        <v>6.9999999999999999E-4</v>
      </c>
      <c r="EZ13" s="229">
        <v>0.4133</v>
      </c>
      <c r="FA13" s="227" t="s">
        <v>555</v>
      </c>
      <c r="FB13" s="161">
        <f t="shared" si="0"/>
        <v>75250</v>
      </c>
    </row>
    <row r="14" spans="1:158" ht="17.25" hidden="1" thickBot="1" x14ac:dyDescent="0.3">
      <c r="A14" s="226">
        <v>45940</v>
      </c>
      <c r="B14" s="227" t="s">
        <v>170</v>
      </c>
      <c r="C14" s="227" t="s">
        <v>165</v>
      </c>
      <c r="D14" s="228">
        <v>125</v>
      </c>
      <c r="E14" s="231">
        <v>7721</v>
      </c>
      <c r="F14" s="231">
        <v>7734</v>
      </c>
      <c r="G14" s="228">
        <v>-13</v>
      </c>
      <c r="H14" s="229">
        <v>-1.6999999999999999E-3</v>
      </c>
      <c r="I14" s="231">
        <v>7681</v>
      </c>
      <c r="J14" s="231">
        <v>7695</v>
      </c>
      <c r="K14" s="228">
        <v>-14</v>
      </c>
      <c r="L14" s="229">
        <v>-1.8E-3</v>
      </c>
      <c r="M14" s="231">
        <v>7721</v>
      </c>
      <c r="N14" s="231">
        <v>7734</v>
      </c>
      <c r="O14" s="228">
        <v>-13</v>
      </c>
      <c r="P14" s="229">
        <v>-1.6999999999999999E-3</v>
      </c>
      <c r="Q14" s="231">
        <v>7762</v>
      </c>
      <c r="R14" s="231">
        <v>7778.5</v>
      </c>
      <c r="S14" s="228">
        <v>-16.5</v>
      </c>
      <c r="T14" s="229">
        <v>-2.0999999999999999E-3</v>
      </c>
      <c r="U14" s="231">
        <v>7811</v>
      </c>
      <c r="V14" s="231">
        <v>7808</v>
      </c>
      <c r="W14" s="228">
        <v>3</v>
      </c>
      <c r="X14" s="229">
        <v>4.0000000000000002E-4</v>
      </c>
      <c r="Y14" s="228">
        <v>40</v>
      </c>
      <c r="Z14" s="228">
        <v>39</v>
      </c>
      <c r="AA14" s="228">
        <v>1</v>
      </c>
      <c r="AB14" s="229">
        <v>5.1999999999999998E-3</v>
      </c>
      <c r="AC14" s="228">
        <v>40</v>
      </c>
      <c r="AD14" s="228">
        <v>39</v>
      </c>
      <c r="AE14" s="228">
        <v>1</v>
      </c>
      <c r="AF14" s="229">
        <v>5.1999999999999998E-3</v>
      </c>
      <c r="AG14" s="228">
        <v>81</v>
      </c>
      <c r="AH14" s="228">
        <v>83.5</v>
      </c>
      <c r="AI14" s="228">
        <v>-2.5</v>
      </c>
      <c r="AJ14" s="229">
        <v>1.0500000000000001E-2</v>
      </c>
      <c r="AK14" s="228">
        <v>130</v>
      </c>
      <c r="AL14" s="228">
        <v>113</v>
      </c>
      <c r="AM14" s="228">
        <v>17</v>
      </c>
      <c r="AN14" s="229">
        <v>1.6899999999999998E-2</v>
      </c>
      <c r="AO14" s="231">
        <v>7731.21</v>
      </c>
      <c r="AP14" s="231">
        <v>7775.26</v>
      </c>
      <c r="AQ14" s="228">
        <v>0</v>
      </c>
      <c r="AR14" s="230">
        <v>221750</v>
      </c>
      <c r="AS14" s="230">
        <v>229750</v>
      </c>
      <c r="AT14" s="230">
        <v>-8000</v>
      </c>
      <c r="AU14" s="229">
        <v>-3.4799999999999998E-2</v>
      </c>
      <c r="AV14" s="230">
        <v>206250</v>
      </c>
      <c r="AW14" s="230">
        <v>215625</v>
      </c>
      <c r="AX14" s="230">
        <v>-9375</v>
      </c>
      <c r="AY14" s="229">
        <v>-4.3499999999999997E-2</v>
      </c>
      <c r="AZ14" s="230">
        <v>12125</v>
      </c>
      <c r="BA14" s="230">
        <v>12875</v>
      </c>
      <c r="BB14" s="228">
        <v>-750</v>
      </c>
      <c r="BC14" s="229">
        <v>-5.8299999999999998E-2</v>
      </c>
      <c r="BD14" s="230">
        <v>3375</v>
      </c>
      <c r="BE14" s="230">
        <v>1250</v>
      </c>
      <c r="BF14" s="230">
        <v>2125</v>
      </c>
      <c r="BG14" s="229">
        <v>1.7</v>
      </c>
      <c r="BH14" s="230">
        <v>985875</v>
      </c>
      <c r="BI14" s="230">
        <v>1305125</v>
      </c>
      <c r="BJ14" s="230">
        <v>-319250</v>
      </c>
      <c r="BK14" s="229">
        <v>-0.24460000000000001</v>
      </c>
      <c r="BL14" s="230">
        <v>483375</v>
      </c>
      <c r="BM14" s="230">
        <v>736625</v>
      </c>
      <c r="BN14" s="230">
        <v>-253250</v>
      </c>
      <c r="BO14" s="229">
        <v>-0.34379999999999999</v>
      </c>
      <c r="BP14" s="230">
        <v>1691000</v>
      </c>
      <c r="BQ14" s="230">
        <v>2271500</v>
      </c>
      <c r="BR14" s="230">
        <v>-580500</v>
      </c>
      <c r="BS14" s="229">
        <v>-0.25559999999999999</v>
      </c>
      <c r="BT14" s="230">
        <v>275093</v>
      </c>
      <c r="BU14" s="230">
        <v>315750</v>
      </c>
      <c r="BV14" s="230">
        <v>-40657</v>
      </c>
      <c r="BW14" s="229">
        <v>-0.1288</v>
      </c>
      <c r="BX14" s="230">
        <v>2858875</v>
      </c>
      <c r="BY14" s="230">
        <v>2808500</v>
      </c>
      <c r="BZ14" s="230">
        <v>50375</v>
      </c>
      <c r="CA14" s="229">
        <v>1.7899999999999999E-2</v>
      </c>
      <c r="CB14" s="230">
        <v>2817375</v>
      </c>
      <c r="CC14" s="230">
        <v>2774500</v>
      </c>
      <c r="CD14" s="230">
        <v>42875</v>
      </c>
      <c r="CE14" s="229">
        <v>1.55E-2</v>
      </c>
      <c r="CF14" s="230">
        <v>34750</v>
      </c>
      <c r="CG14" s="230">
        <v>30375</v>
      </c>
      <c r="CH14" s="230">
        <v>4375</v>
      </c>
      <c r="CI14" s="229">
        <v>0.14399999999999999</v>
      </c>
      <c r="CJ14" s="230">
        <v>6750</v>
      </c>
      <c r="CK14" s="230">
        <v>3625</v>
      </c>
      <c r="CL14" s="230">
        <v>3125</v>
      </c>
      <c r="CM14" s="229">
        <v>0.86209999999999998</v>
      </c>
      <c r="CN14" s="230">
        <v>724125</v>
      </c>
      <c r="CO14" s="230">
        <v>704250</v>
      </c>
      <c r="CP14" s="230">
        <v>19875</v>
      </c>
      <c r="CQ14" s="229">
        <v>2.8199999999999999E-2</v>
      </c>
      <c r="CR14" s="230">
        <v>426750</v>
      </c>
      <c r="CS14" s="230">
        <v>439250</v>
      </c>
      <c r="CT14" s="230">
        <v>-12500</v>
      </c>
      <c r="CU14" s="229">
        <v>-2.8500000000000001E-2</v>
      </c>
      <c r="CV14" s="230">
        <v>4009750</v>
      </c>
      <c r="CW14" s="230">
        <v>3952000</v>
      </c>
      <c r="CX14" s="230">
        <v>57750</v>
      </c>
      <c r="CY14" s="229">
        <v>1.46E-2</v>
      </c>
      <c r="CZ14" s="228">
        <v>17.170000000000002</v>
      </c>
      <c r="DA14" s="228">
        <v>16.850000000000001</v>
      </c>
      <c r="DB14" s="228">
        <v>0.32</v>
      </c>
      <c r="DC14" s="228">
        <v>0.32</v>
      </c>
      <c r="DD14" s="228">
        <v>26.64</v>
      </c>
      <c r="DE14" s="228">
        <v>26.71</v>
      </c>
      <c r="DF14" s="228">
        <v>-9.4700000000000006</v>
      </c>
      <c r="DG14" s="228">
        <v>-7.0000000000000007E-2</v>
      </c>
      <c r="DH14" s="228">
        <v>17.2</v>
      </c>
      <c r="DI14" s="228">
        <v>16.989999999999998</v>
      </c>
      <c r="DJ14" s="228">
        <v>0.21</v>
      </c>
      <c r="DK14" s="228">
        <v>0.21</v>
      </c>
      <c r="DL14" s="228">
        <v>17.11</v>
      </c>
      <c r="DM14" s="228">
        <v>16.600000000000001</v>
      </c>
      <c r="DN14" s="228">
        <v>0.51</v>
      </c>
      <c r="DO14" s="228">
        <v>0.51</v>
      </c>
      <c r="DP14" s="228">
        <v>0.59</v>
      </c>
      <c r="DQ14" s="228">
        <v>0.62</v>
      </c>
      <c r="DR14" s="228">
        <v>-0.03</v>
      </c>
      <c r="DS14" s="229">
        <v>-4.8399999999999999E-2</v>
      </c>
      <c r="DT14" s="231">
        <v>7800</v>
      </c>
      <c r="DU14" s="231">
        <v>7700</v>
      </c>
      <c r="DV14" s="228">
        <v>0.49</v>
      </c>
      <c r="DW14" s="228">
        <v>0.56000000000000005</v>
      </c>
      <c r="DX14" s="228">
        <v>-7.0000000000000007E-2</v>
      </c>
      <c r="DY14" s="229">
        <v>-0.125</v>
      </c>
      <c r="DZ14" s="229">
        <v>1.4500000000000001E-2</v>
      </c>
      <c r="EA14" s="230">
        <v>34000</v>
      </c>
      <c r="EB14" s="229">
        <v>5.3E-3</v>
      </c>
      <c r="EC14" s="229">
        <v>1.4500000000000001E-2</v>
      </c>
      <c r="ED14" s="228">
        <v>44.05</v>
      </c>
      <c r="EE14" s="229">
        <v>5.7000000000000002E-3</v>
      </c>
      <c r="EF14" s="230">
        <v>180775</v>
      </c>
      <c r="EG14" s="230">
        <v>203707</v>
      </c>
      <c r="EH14" s="229">
        <v>-0.11260000000000001</v>
      </c>
      <c r="EI14" s="229">
        <v>0.65710000000000002</v>
      </c>
      <c r="EJ14" s="231">
        <v>78376.78</v>
      </c>
      <c r="EK14" s="231">
        <v>37072.370000000003</v>
      </c>
      <c r="EL14" s="231">
        <v>17152.23</v>
      </c>
      <c r="EM14" s="231">
        <v>2500</v>
      </c>
      <c r="EN14" s="231">
        <v>132601.38</v>
      </c>
      <c r="EO14" s="231">
        <v>178112.72</v>
      </c>
      <c r="EP14" s="231">
        <v>-45511.34</v>
      </c>
      <c r="EQ14" s="229">
        <v>-0.2555</v>
      </c>
      <c r="ER14" s="231">
        <v>56880</v>
      </c>
      <c r="ES14" s="231">
        <v>31866</v>
      </c>
      <c r="ET14" s="231">
        <v>220754</v>
      </c>
      <c r="EU14" s="231">
        <v>15240043</v>
      </c>
      <c r="EV14" s="231">
        <v>309500</v>
      </c>
      <c r="EW14" s="231">
        <v>305392</v>
      </c>
      <c r="EX14" s="231">
        <v>4108</v>
      </c>
      <c r="EY14" s="229">
        <v>1.35E-2</v>
      </c>
      <c r="EZ14" s="229">
        <v>0.2631</v>
      </c>
      <c r="FA14" s="227" t="s">
        <v>567</v>
      </c>
      <c r="FB14" s="161">
        <f t="shared" si="0"/>
        <v>41500</v>
      </c>
    </row>
    <row r="15" spans="1:158" ht="17.25" hidden="1" thickBot="1" x14ac:dyDescent="0.3">
      <c r="A15" s="226">
        <v>45940</v>
      </c>
      <c r="B15" s="227" t="s">
        <v>162</v>
      </c>
      <c r="C15" s="227" t="s">
        <v>167</v>
      </c>
      <c r="D15" s="228">
        <v>5000</v>
      </c>
      <c r="E15" s="228">
        <v>137.72</v>
      </c>
      <c r="F15" s="228">
        <v>138.72999999999999</v>
      </c>
      <c r="G15" s="228">
        <v>-1.01</v>
      </c>
      <c r="H15" s="229">
        <v>-7.3000000000000001E-3</v>
      </c>
      <c r="I15" s="228">
        <v>137.55000000000001</v>
      </c>
      <c r="J15" s="228">
        <v>138.63999999999999</v>
      </c>
      <c r="K15" s="228">
        <v>-1.0900000000000001</v>
      </c>
      <c r="L15" s="229">
        <v>-7.9000000000000008E-3</v>
      </c>
      <c r="M15" s="228">
        <v>137.72</v>
      </c>
      <c r="N15" s="228">
        <v>138.72999999999999</v>
      </c>
      <c r="O15" s="228">
        <v>-1.01</v>
      </c>
      <c r="P15" s="229">
        <v>-7.3000000000000001E-3</v>
      </c>
      <c r="Q15" s="228">
        <v>136.09</v>
      </c>
      <c r="R15" s="228">
        <v>136.96</v>
      </c>
      <c r="S15" s="228">
        <v>-0.87</v>
      </c>
      <c r="T15" s="229">
        <v>-6.4000000000000003E-3</v>
      </c>
      <c r="U15" s="228">
        <v>135.55000000000001</v>
      </c>
      <c r="V15" s="228">
        <v>136.49</v>
      </c>
      <c r="W15" s="228">
        <v>-0.94</v>
      </c>
      <c r="X15" s="229">
        <v>-6.8999999999999999E-3</v>
      </c>
      <c r="Y15" s="228">
        <v>0.17</v>
      </c>
      <c r="Z15" s="228">
        <v>0.09</v>
      </c>
      <c r="AA15" s="228">
        <v>0.08</v>
      </c>
      <c r="AB15" s="229">
        <v>1.1999999999999999E-3</v>
      </c>
      <c r="AC15" s="228">
        <v>0.17</v>
      </c>
      <c r="AD15" s="228">
        <v>0.09</v>
      </c>
      <c r="AE15" s="228">
        <v>0.08</v>
      </c>
      <c r="AF15" s="229">
        <v>1.1999999999999999E-3</v>
      </c>
      <c r="AG15" s="228">
        <v>-1.46</v>
      </c>
      <c r="AH15" s="228">
        <v>-1.68</v>
      </c>
      <c r="AI15" s="228">
        <v>0.22</v>
      </c>
      <c r="AJ15" s="229">
        <v>-1.06E-2</v>
      </c>
      <c r="AK15" s="228">
        <v>-2</v>
      </c>
      <c r="AL15" s="228">
        <v>-2.15</v>
      </c>
      <c r="AM15" s="228">
        <v>0.15</v>
      </c>
      <c r="AN15" s="229">
        <v>-1.4500000000000001E-2</v>
      </c>
      <c r="AO15" s="228">
        <v>138.15</v>
      </c>
      <c r="AP15" s="228">
        <v>136.53</v>
      </c>
      <c r="AQ15" s="228">
        <v>0</v>
      </c>
      <c r="AR15" s="230">
        <v>12785000</v>
      </c>
      <c r="AS15" s="230">
        <v>14745000</v>
      </c>
      <c r="AT15" s="230">
        <v>-1960000</v>
      </c>
      <c r="AU15" s="229">
        <v>-0.13289999999999999</v>
      </c>
      <c r="AV15" s="230">
        <v>11190000</v>
      </c>
      <c r="AW15" s="230">
        <v>13170000</v>
      </c>
      <c r="AX15" s="230">
        <v>-1980000</v>
      </c>
      <c r="AY15" s="229">
        <v>-0.15029999999999999</v>
      </c>
      <c r="AZ15" s="230">
        <v>1490000</v>
      </c>
      <c r="BA15" s="230">
        <v>1470000</v>
      </c>
      <c r="BB15" s="230">
        <v>20000</v>
      </c>
      <c r="BC15" s="229">
        <v>1.3599999999999999E-2</v>
      </c>
      <c r="BD15" s="230">
        <v>105000</v>
      </c>
      <c r="BE15" s="230">
        <v>105000</v>
      </c>
      <c r="BF15" s="228">
        <v>0</v>
      </c>
      <c r="BG15" s="229">
        <v>0</v>
      </c>
      <c r="BH15" s="230">
        <v>41065000</v>
      </c>
      <c r="BI15" s="230">
        <v>51040000</v>
      </c>
      <c r="BJ15" s="230">
        <v>-9975000</v>
      </c>
      <c r="BK15" s="229">
        <v>-0.19539999999999999</v>
      </c>
      <c r="BL15" s="230">
        <v>19450000</v>
      </c>
      <c r="BM15" s="230">
        <v>13305000</v>
      </c>
      <c r="BN15" s="230">
        <v>6145000</v>
      </c>
      <c r="BO15" s="229">
        <v>0.46189999999999998</v>
      </c>
      <c r="BP15" s="230">
        <v>73300000</v>
      </c>
      <c r="BQ15" s="230">
        <v>79090000</v>
      </c>
      <c r="BR15" s="230">
        <v>-5790000</v>
      </c>
      <c r="BS15" s="229">
        <v>-7.3200000000000001E-2</v>
      </c>
      <c r="BT15" s="230">
        <v>7162950</v>
      </c>
      <c r="BU15" s="230">
        <v>5979146</v>
      </c>
      <c r="BV15" s="230">
        <v>1183804</v>
      </c>
      <c r="BW15" s="229">
        <v>0.19800000000000001</v>
      </c>
      <c r="BX15" s="230">
        <v>135445000</v>
      </c>
      <c r="BY15" s="230">
        <v>133900000</v>
      </c>
      <c r="BZ15" s="230">
        <v>1545000</v>
      </c>
      <c r="CA15" s="229">
        <v>1.15E-2</v>
      </c>
      <c r="CB15" s="230">
        <v>129730000</v>
      </c>
      <c r="CC15" s="230">
        <v>128895000</v>
      </c>
      <c r="CD15" s="230">
        <v>835000</v>
      </c>
      <c r="CE15" s="229">
        <v>6.4999999999999997E-3</v>
      </c>
      <c r="CF15" s="230">
        <v>5115000</v>
      </c>
      <c r="CG15" s="230">
        <v>4485000</v>
      </c>
      <c r="CH15" s="230">
        <v>630000</v>
      </c>
      <c r="CI15" s="229">
        <v>0.14050000000000001</v>
      </c>
      <c r="CJ15" s="230">
        <v>600000</v>
      </c>
      <c r="CK15" s="230">
        <v>520000</v>
      </c>
      <c r="CL15" s="230">
        <v>80000</v>
      </c>
      <c r="CM15" s="229">
        <v>0.15379999999999999</v>
      </c>
      <c r="CN15" s="230">
        <v>77420000</v>
      </c>
      <c r="CO15" s="230">
        <v>71240000</v>
      </c>
      <c r="CP15" s="230">
        <v>6180000</v>
      </c>
      <c r="CQ15" s="229">
        <v>8.6699999999999999E-2</v>
      </c>
      <c r="CR15" s="230">
        <v>34875000</v>
      </c>
      <c r="CS15" s="230">
        <v>32160000</v>
      </c>
      <c r="CT15" s="230">
        <v>2715000</v>
      </c>
      <c r="CU15" s="229">
        <v>8.4400000000000003E-2</v>
      </c>
      <c r="CV15" s="230">
        <v>247740000</v>
      </c>
      <c r="CW15" s="230">
        <v>237300000</v>
      </c>
      <c r="CX15" s="230">
        <v>10440000</v>
      </c>
      <c r="CY15" s="229">
        <v>4.3999999999999997E-2</v>
      </c>
      <c r="CZ15" s="228">
        <v>27.97</v>
      </c>
      <c r="DA15" s="228">
        <v>28.76</v>
      </c>
      <c r="DB15" s="228">
        <v>-0.79</v>
      </c>
      <c r="DC15" s="228">
        <v>-0.79</v>
      </c>
      <c r="DD15" s="228">
        <v>35.270000000000003</v>
      </c>
      <c r="DE15" s="228">
        <v>35.340000000000003</v>
      </c>
      <c r="DF15" s="228">
        <v>-7.3</v>
      </c>
      <c r="DG15" s="228">
        <v>-7.0000000000000007E-2</v>
      </c>
      <c r="DH15" s="228">
        <v>28.61</v>
      </c>
      <c r="DI15" s="228">
        <v>29.12</v>
      </c>
      <c r="DJ15" s="228">
        <v>-0.51</v>
      </c>
      <c r="DK15" s="228">
        <v>-0.51</v>
      </c>
      <c r="DL15" s="228">
        <v>26.63</v>
      </c>
      <c r="DM15" s="228">
        <v>27.36</v>
      </c>
      <c r="DN15" s="228">
        <v>-0.73</v>
      </c>
      <c r="DO15" s="228">
        <v>-0.73</v>
      </c>
      <c r="DP15" s="228">
        <v>0.45</v>
      </c>
      <c r="DQ15" s="228">
        <v>0.45</v>
      </c>
      <c r="DR15" s="228">
        <v>0</v>
      </c>
      <c r="DS15" s="229">
        <v>0</v>
      </c>
      <c r="DT15" s="228">
        <v>145</v>
      </c>
      <c r="DU15" s="228">
        <v>130</v>
      </c>
      <c r="DV15" s="228">
        <v>0.47</v>
      </c>
      <c r="DW15" s="228">
        <v>0.26</v>
      </c>
      <c r="DX15" s="228">
        <v>0.21</v>
      </c>
      <c r="DY15" s="229">
        <v>0.80769999999999997</v>
      </c>
      <c r="DZ15" s="229">
        <v>4.2200000000000001E-2</v>
      </c>
      <c r="EA15" s="230">
        <v>5005000</v>
      </c>
      <c r="EB15" s="229">
        <v>-1.18E-2</v>
      </c>
      <c r="EC15" s="229">
        <v>4.2200000000000001E-2</v>
      </c>
      <c r="ED15" s="228">
        <v>-1.62</v>
      </c>
      <c r="EE15" s="229">
        <v>-1.17E-2</v>
      </c>
      <c r="EF15" s="230">
        <v>3412741</v>
      </c>
      <c r="EG15" s="230">
        <v>2563848</v>
      </c>
      <c r="EH15" s="229">
        <v>0.33110000000000001</v>
      </c>
      <c r="EI15" s="229">
        <v>0.47639999999999999</v>
      </c>
      <c r="EJ15" s="231">
        <v>59760.38</v>
      </c>
      <c r="EK15" s="231">
        <v>26663.96</v>
      </c>
      <c r="EL15" s="231">
        <v>17635.71</v>
      </c>
      <c r="EM15" s="231">
        <v>3788</v>
      </c>
      <c r="EN15" s="231">
        <v>104060.05</v>
      </c>
      <c r="EO15" s="231">
        <v>113815.05</v>
      </c>
      <c r="EP15" s="231">
        <v>-9755</v>
      </c>
      <c r="EQ15" s="229">
        <v>-8.5699999999999998E-2</v>
      </c>
      <c r="ER15" s="231">
        <v>113894</v>
      </c>
      <c r="ES15" s="231">
        <v>46712</v>
      </c>
      <c r="ET15" s="231">
        <v>186438</v>
      </c>
      <c r="EU15" s="231">
        <v>409181558</v>
      </c>
      <c r="EV15" s="231">
        <v>347044</v>
      </c>
      <c r="EW15" s="231">
        <v>333758</v>
      </c>
      <c r="EX15" s="231">
        <v>13286</v>
      </c>
      <c r="EY15" s="229">
        <v>3.9800000000000002E-2</v>
      </c>
      <c r="EZ15" s="229">
        <v>0.60550000000000004</v>
      </c>
      <c r="FA15" s="227" t="s">
        <v>567</v>
      </c>
      <c r="FB15" s="161">
        <f t="shared" si="0"/>
        <v>5715000</v>
      </c>
    </row>
    <row r="16" spans="1:158" ht="17.25" hidden="1" thickBot="1" x14ac:dyDescent="0.3">
      <c r="A16" s="226">
        <v>45940</v>
      </c>
      <c r="B16" s="227" t="s">
        <v>168</v>
      </c>
      <c r="C16" s="227" t="s">
        <v>169</v>
      </c>
      <c r="D16" s="228">
        <v>250</v>
      </c>
      <c r="E16" s="231">
        <v>2351.1999999999998</v>
      </c>
      <c r="F16" s="231">
        <v>2347.4</v>
      </c>
      <c r="G16" s="228">
        <v>3.8</v>
      </c>
      <c r="H16" s="229">
        <v>1.6000000000000001E-3</v>
      </c>
      <c r="I16" s="231">
        <v>2340.1999999999998</v>
      </c>
      <c r="J16" s="231">
        <v>2336.4</v>
      </c>
      <c r="K16" s="228">
        <v>3.8</v>
      </c>
      <c r="L16" s="229">
        <v>1.6000000000000001E-3</v>
      </c>
      <c r="M16" s="231">
        <v>2351.1999999999998</v>
      </c>
      <c r="N16" s="231">
        <v>2347.4</v>
      </c>
      <c r="O16" s="228">
        <v>3.8</v>
      </c>
      <c r="P16" s="229">
        <v>1.6000000000000001E-3</v>
      </c>
      <c r="Q16" s="231">
        <v>2361.6</v>
      </c>
      <c r="R16" s="231">
        <v>2356.1</v>
      </c>
      <c r="S16" s="228">
        <v>5.5</v>
      </c>
      <c r="T16" s="229">
        <v>2.3E-3</v>
      </c>
      <c r="U16" s="231">
        <v>2375.4</v>
      </c>
      <c r="V16" s="231">
        <v>2369.3000000000002</v>
      </c>
      <c r="W16" s="228">
        <v>6.1</v>
      </c>
      <c r="X16" s="229">
        <v>2.5999999999999999E-3</v>
      </c>
      <c r="Y16" s="228">
        <v>11</v>
      </c>
      <c r="Z16" s="228">
        <v>11</v>
      </c>
      <c r="AA16" s="228">
        <v>0</v>
      </c>
      <c r="AB16" s="229">
        <v>4.7000000000000002E-3</v>
      </c>
      <c r="AC16" s="228">
        <v>11</v>
      </c>
      <c r="AD16" s="228">
        <v>11</v>
      </c>
      <c r="AE16" s="228">
        <v>0</v>
      </c>
      <c r="AF16" s="229">
        <v>4.7000000000000002E-3</v>
      </c>
      <c r="AG16" s="228">
        <v>21.4</v>
      </c>
      <c r="AH16" s="228">
        <v>19.7</v>
      </c>
      <c r="AI16" s="228">
        <v>1.7</v>
      </c>
      <c r="AJ16" s="229">
        <v>9.1000000000000004E-3</v>
      </c>
      <c r="AK16" s="228">
        <v>35.200000000000003</v>
      </c>
      <c r="AL16" s="228">
        <v>32.9</v>
      </c>
      <c r="AM16" s="228">
        <v>2.2999999999999998</v>
      </c>
      <c r="AN16" s="229">
        <v>1.4999999999999999E-2</v>
      </c>
      <c r="AO16" s="231">
        <v>2356.19</v>
      </c>
      <c r="AP16" s="231">
        <v>2365.92</v>
      </c>
      <c r="AQ16" s="228">
        <v>0</v>
      </c>
      <c r="AR16" s="230">
        <v>1473250</v>
      </c>
      <c r="AS16" s="230">
        <v>904500</v>
      </c>
      <c r="AT16" s="230">
        <v>568750</v>
      </c>
      <c r="AU16" s="229">
        <v>0.62880000000000003</v>
      </c>
      <c r="AV16" s="230">
        <v>1349500</v>
      </c>
      <c r="AW16" s="230">
        <v>822500</v>
      </c>
      <c r="AX16" s="230">
        <v>527000</v>
      </c>
      <c r="AY16" s="229">
        <v>0.64070000000000005</v>
      </c>
      <c r="AZ16" s="230">
        <v>101000</v>
      </c>
      <c r="BA16" s="230">
        <v>75000</v>
      </c>
      <c r="BB16" s="230">
        <v>26000</v>
      </c>
      <c r="BC16" s="229">
        <v>0.34670000000000001</v>
      </c>
      <c r="BD16" s="230">
        <v>22750</v>
      </c>
      <c r="BE16" s="230">
        <v>7000</v>
      </c>
      <c r="BF16" s="230">
        <v>15750</v>
      </c>
      <c r="BG16" s="229">
        <v>2.25</v>
      </c>
      <c r="BH16" s="230">
        <v>4768750</v>
      </c>
      <c r="BI16" s="230">
        <v>4464500</v>
      </c>
      <c r="BJ16" s="230">
        <v>304250</v>
      </c>
      <c r="BK16" s="229">
        <v>6.8099999999999994E-2</v>
      </c>
      <c r="BL16" s="230">
        <v>1578250</v>
      </c>
      <c r="BM16" s="230">
        <v>1517500</v>
      </c>
      <c r="BN16" s="230">
        <v>60750</v>
      </c>
      <c r="BO16" s="229">
        <v>0.04</v>
      </c>
      <c r="BP16" s="230">
        <v>7820250</v>
      </c>
      <c r="BQ16" s="230">
        <v>6886500</v>
      </c>
      <c r="BR16" s="230">
        <v>933750</v>
      </c>
      <c r="BS16" s="229">
        <v>0.1356</v>
      </c>
      <c r="BT16" s="230">
        <v>1127657</v>
      </c>
      <c r="BU16" s="230">
        <v>601476</v>
      </c>
      <c r="BV16" s="230">
        <v>526181</v>
      </c>
      <c r="BW16" s="229">
        <v>0.87480000000000002</v>
      </c>
      <c r="BX16" s="230">
        <v>13370000</v>
      </c>
      <c r="BY16" s="230">
        <v>13745250</v>
      </c>
      <c r="BZ16" s="230">
        <v>-375250</v>
      </c>
      <c r="CA16" s="229">
        <v>-2.7300000000000001E-2</v>
      </c>
      <c r="CB16" s="230">
        <v>12758750</v>
      </c>
      <c r="CC16" s="230">
        <v>13187250</v>
      </c>
      <c r="CD16" s="230">
        <v>-428500</v>
      </c>
      <c r="CE16" s="229">
        <v>-3.2500000000000001E-2</v>
      </c>
      <c r="CF16" s="230">
        <v>563250</v>
      </c>
      <c r="CG16" s="230">
        <v>527000</v>
      </c>
      <c r="CH16" s="230">
        <v>36250</v>
      </c>
      <c r="CI16" s="229">
        <v>6.88E-2</v>
      </c>
      <c r="CJ16" s="230">
        <v>48000</v>
      </c>
      <c r="CK16" s="230">
        <v>31000</v>
      </c>
      <c r="CL16" s="230">
        <v>17000</v>
      </c>
      <c r="CM16" s="229">
        <v>0.5484</v>
      </c>
      <c r="CN16" s="230">
        <v>6192500</v>
      </c>
      <c r="CO16" s="230">
        <v>6032250</v>
      </c>
      <c r="CP16" s="230">
        <v>160250</v>
      </c>
      <c r="CQ16" s="229">
        <v>2.6599999999999999E-2</v>
      </c>
      <c r="CR16" s="230">
        <v>3578000</v>
      </c>
      <c r="CS16" s="230">
        <v>3538500</v>
      </c>
      <c r="CT16" s="230">
        <v>39500</v>
      </c>
      <c r="CU16" s="229">
        <v>1.12E-2</v>
      </c>
      <c r="CV16" s="230">
        <v>23140500</v>
      </c>
      <c r="CW16" s="230">
        <v>23316000</v>
      </c>
      <c r="CX16" s="230">
        <v>-175500</v>
      </c>
      <c r="CY16" s="229">
        <v>-7.4999999999999997E-3</v>
      </c>
      <c r="CZ16" s="228">
        <v>18.559999999999999</v>
      </c>
      <c r="DA16" s="228">
        <v>19.239999999999998</v>
      </c>
      <c r="DB16" s="228">
        <v>-0.68</v>
      </c>
      <c r="DC16" s="228">
        <v>-0.68</v>
      </c>
      <c r="DD16" s="228">
        <v>23.45</v>
      </c>
      <c r="DE16" s="228">
        <v>23.51</v>
      </c>
      <c r="DF16" s="228">
        <v>-4.8899999999999997</v>
      </c>
      <c r="DG16" s="228">
        <v>-0.06</v>
      </c>
      <c r="DH16" s="228">
        <v>18.579999999999998</v>
      </c>
      <c r="DI16" s="228">
        <v>19.22</v>
      </c>
      <c r="DJ16" s="228">
        <v>-0.64</v>
      </c>
      <c r="DK16" s="228">
        <v>-0.64</v>
      </c>
      <c r="DL16" s="228">
        <v>18.52</v>
      </c>
      <c r="DM16" s="228">
        <v>19.309999999999999</v>
      </c>
      <c r="DN16" s="228">
        <v>-0.79</v>
      </c>
      <c r="DO16" s="228">
        <v>-0.79</v>
      </c>
      <c r="DP16" s="228">
        <v>0.57999999999999996</v>
      </c>
      <c r="DQ16" s="228">
        <v>0.59</v>
      </c>
      <c r="DR16" s="228">
        <v>-0.01</v>
      </c>
      <c r="DS16" s="229">
        <v>-1.6899999999999998E-2</v>
      </c>
      <c r="DT16" s="231">
        <v>2500</v>
      </c>
      <c r="DU16" s="231">
        <v>2300</v>
      </c>
      <c r="DV16" s="228">
        <v>0.33</v>
      </c>
      <c r="DW16" s="228">
        <v>0.34</v>
      </c>
      <c r="DX16" s="228">
        <v>-0.01</v>
      </c>
      <c r="DY16" s="229">
        <v>-2.9399999999999999E-2</v>
      </c>
      <c r="DZ16" s="229">
        <v>4.5699999999999998E-2</v>
      </c>
      <c r="EA16" s="230">
        <v>558000</v>
      </c>
      <c r="EB16" s="229">
        <v>4.4000000000000003E-3</v>
      </c>
      <c r="EC16" s="229">
        <v>4.5699999999999998E-2</v>
      </c>
      <c r="ED16" s="228">
        <v>9.73</v>
      </c>
      <c r="EE16" s="229">
        <v>4.1000000000000003E-3</v>
      </c>
      <c r="EF16" s="230">
        <v>863709</v>
      </c>
      <c r="EG16" s="230">
        <v>362340</v>
      </c>
      <c r="EH16" s="229">
        <v>1.3836999999999999</v>
      </c>
      <c r="EI16" s="229">
        <v>0.76590000000000003</v>
      </c>
      <c r="EJ16" s="231">
        <v>115657.34</v>
      </c>
      <c r="EK16" s="231">
        <v>36612.92</v>
      </c>
      <c r="EL16" s="231">
        <v>34728.07</v>
      </c>
      <c r="EM16" s="231">
        <v>3760</v>
      </c>
      <c r="EN16" s="231">
        <v>186998.33</v>
      </c>
      <c r="EO16" s="231">
        <v>164976.48000000001</v>
      </c>
      <c r="EP16" s="231">
        <v>22021.85</v>
      </c>
      <c r="EQ16" s="229">
        <v>0.13350000000000001</v>
      </c>
      <c r="ER16" s="231">
        <v>153569</v>
      </c>
      <c r="ES16" s="231">
        <v>82533</v>
      </c>
      <c r="ET16" s="231">
        <v>314426</v>
      </c>
      <c r="EU16" s="231">
        <v>52357280</v>
      </c>
      <c r="EV16" s="231">
        <v>550528</v>
      </c>
      <c r="EW16" s="231">
        <v>554011</v>
      </c>
      <c r="EX16" s="231">
        <v>-3483</v>
      </c>
      <c r="EY16" s="229">
        <v>-6.3E-3</v>
      </c>
      <c r="EZ16" s="229">
        <v>0.442</v>
      </c>
      <c r="FA16" s="227" t="s">
        <v>556</v>
      </c>
      <c r="FB16" s="161">
        <f t="shared" si="0"/>
        <v>611250</v>
      </c>
    </row>
    <row r="17" spans="1:158" ht="17.25" hidden="1" thickBot="1" x14ac:dyDescent="0.3">
      <c r="A17" s="226">
        <v>45940</v>
      </c>
      <c r="B17" s="227" t="s">
        <v>184</v>
      </c>
      <c r="C17" s="227" t="s">
        <v>503</v>
      </c>
      <c r="D17" s="228">
        <v>425</v>
      </c>
      <c r="E17" s="231">
        <v>1433</v>
      </c>
      <c r="F17" s="231">
        <v>1409.6</v>
      </c>
      <c r="G17" s="228">
        <v>23.4</v>
      </c>
      <c r="H17" s="229">
        <v>1.66E-2</v>
      </c>
      <c r="I17" s="231">
        <v>1427.1</v>
      </c>
      <c r="J17" s="231">
        <v>1406.1</v>
      </c>
      <c r="K17" s="228">
        <v>21</v>
      </c>
      <c r="L17" s="229">
        <v>1.49E-2</v>
      </c>
      <c r="M17" s="231">
        <v>1433</v>
      </c>
      <c r="N17" s="231">
        <v>1409.6</v>
      </c>
      <c r="O17" s="228">
        <v>23.4</v>
      </c>
      <c r="P17" s="229">
        <v>1.66E-2</v>
      </c>
      <c r="Q17" s="231">
        <v>1437.5</v>
      </c>
      <c r="R17" s="231">
        <v>1415.7</v>
      </c>
      <c r="S17" s="228">
        <v>21.8</v>
      </c>
      <c r="T17" s="229">
        <v>1.54E-2</v>
      </c>
      <c r="U17" s="231">
        <v>1445.7</v>
      </c>
      <c r="V17" s="231">
        <v>1416.7</v>
      </c>
      <c r="W17" s="228">
        <v>29</v>
      </c>
      <c r="X17" s="229">
        <v>2.0500000000000001E-2</v>
      </c>
      <c r="Y17" s="228">
        <v>5.9</v>
      </c>
      <c r="Z17" s="228">
        <v>3.5</v>
      </c>
      <c r="AA17" s="228">
        <v>2.4</v>
      </c>
      <c r="AB17" s="229">
        <v>4.1000000000000003E-3</v>
      </c>
      <c r="AC17" s="228">
        <v>5.9</v>
      </c>
      <c r="AD17" s="228">
        <v>3.5</v>
      </c>
      <c r="AE17" s="228">
        <v>2.4</v>
      </c>
      <c r="AF17" s="229">
        <v>4.1000000000000003E-3</v>
      </c>
      <c r="AG17" s="228">
        <v>10.4</v>
      </c>
      <c r="AH17" s="228">
        <v>9.6</v>
      </c>
      <c r="AI17" s="228">
        <v>0.8</v>
      </c>
      <c r="AJ17" s="229">
        <v>7.3000000000000001E-3</v>
      </c>
      <c r="AK17" s="228">
        <v>18.600000000000001</v>
      </c>
      <c r="AL17" s="228">
        <v>10.6</v>
      </c>
      <c r="AM17" s="228">
        <v>8</v>
      </c>
      <c r="AN17" s="229">
        <v>1.2999999999999999E-2</v>
      </c>
      <c r="AO17" s="231">
        <v>1428.54</v>
      </c>
      <c r="AP17" s="231">
        <v>1433.15</v>
      </c>
      <c r="AQ17" s="228">
        <v>0</v>
      </c>
      <c r="AR17" s="230">
        <v>2030225</v>
      </c>
      <c r="AS17" s="230">
        <v>1001300</v>
      </c>
      <c r="AT17" s="230">
        <v>1028925</v>
      </c>
      <c r="AU17" s="229">
        <v>1.0276000000000001</v>
      </c>
      <c r="AV17" s="230">
        <v>1895075</v>
      </c>
      <c r="AW17" s="230">
        <v>922250</v>
      </c>
      <c r="AX17" s="230">
        <v>972825</v>
      </c>
      <c r="AY17" s="229">
        <v>1.0548</v>
      </c>
      <c r="AZ17" s="230">
        <v>121975</v>
      </c>
      <c r="BA17" s="230">
        <v>75650</v>
      </c>
      <c r="BB17" s="230">
        <v>46325</v>
      </c>
      <c r="BC17" s="229">
        <v>0.61240000000000006</v>
      </c>
      <c r="BD17" s="230">
        <v>13175</v>
      </c>
      <c r="BE17" s="230">
        <v>3400</v>
      </c>
      <c r="BF17" s="230">
        <v>9775</v>
      </c>
      <c r="BG17" s="229">
        <v>2.875</v>
      </c>
      <c r="BH17" s="230">
        <v>5179050</v>
      </c>
      <c r="BI17" s="230">
        <v>2278850</v>
      </c>
      <c r="BJ17" s="230">
        <v>2900200</v>
      </c>
      <c r="BK17" s="229">
        <v>1.2726999999999999</v>
      </c>
      <c r="BL17" s="230">
        <v>1734850</v>
      </c>
      <c r="BM17" s="230">
        <v>1224000</v>
      </c>
      <c r="BN17" s="230">
        <v>510850</v>
      </c>
      <c r="BO17" s="229">
        <v>0.41739999999999999</v>
      </c>
      <c r="BP17" s="230">
        <v>8944125</v>
      </c>
      <c r="BQ17" s="230">
        <v>4504150</v>
      </c>
      <c r="BR17" s="230">
        <v>4439975</v>
      </c>
      <c r="BS17" s="229">
        <v>0.98580000000000001</v>
      </c>
      <c r="BT17" s="230">
        <v>745561</v>
      </c>
      <c r="BU17" s="230">
        <v>596321</v>
      </c>
      <c r="BV17" s="230">
        <v>149240</v>
      </c>
      <c r="BW17" s="229">
        <v>0.25030000000000002</v>
      </c>
      <c r="BX17" s="230">
        <v>8709525</v>
      </c>
      <c r="BY17" s="230">
        <v>8500000</v>
      </c>
      <c r="BZ17" s="230">
        <v>209525</v>
      </c>
      <c r="CA17" s="229">
        <v>2.46E-2</v>
      </c>
      <c r="CB17" s="230">
        <v>8438375</v>
      </c>
      <c r="CC17" s="230">
        <v>8223750</v>
      </c>
      <c r="CD17" s="230">
        <v>214625</v>
      </c>
      <c r="CE17" s="229">
        <v>2.6100000000000002E-2</v>
      </c>
      <c r="CF17" s="230">
        <v>246500</v>
      </c>
      <c r="CG17" s="230">
        <v>250325</v>
      </c>
      <c r="CH17" s="230">
        <v>-3825</v>
      </c>
      <c r="CI17" s="229">
        <v>-1.5299999999999999E-2</v>
      </c>
      <c r="CJ17" s="230">
        <v>24650</v>
      </c>
      <c r="CK17" s="230">
        <v>25925</v>
      </c>
      <c r="CL17" s="230">
        <v>-1275</v>
      </c>
      <c r="CM17" s="229">
        <v>-4.9200000000000001E-2</v>
      </c>
      <c r="CN17" s="230">
        <v>2931225</v>
      </c>
      <c r="CO17" s="230">
        <v>2851325</v>
      </c>
      <c r="CP17" s="230">
        <v>79900</v>
      </c>
      <c r="CQ17" s="229">
        <v>2.8000000000000001E-2</v>
      </c>
      <c r="CR17" s="230">
        <v>1376575</v>
      </c>
      <c r="CS17" s="230">
        <v>1373175</v>
      </c>
      <c r="CT17" s="230">
        <v>3400</v>
      </c>
      <c r="CU17" s="229">
        <v>2.5000000000000001E-3</v>
      </c>
      <c r="CV17" s="230">
        <v>13017325</v>
      </c>
      <c r="CW17" s="230">
        <v>12724500</v>
      </c>
      <c r="CX17" s="230">
        <v>292825</v>
      </c>
      <c r="CY17" s="229">
        <v>2.3E-2</v>
      </c>
      <c r="CZ17" s="228">
        <v>26.46</v>
      </c>
      <c r="DA17" s="228">
        <v>27.1</v>
      </c>
      <c r="DB17" s="228">
        <v>-0.64</v>
      </c>
      <c r="DC17" s="228">
        <v>-0.64</v>
      </c>
      <c r="DD17" s="228">
        <v>33.71</v>
      </c>
      <c r="DE17" s="228">
        <v>33.72</v>
      </c>
      <c r="DF17" s="228">
        <v>-7.25</v>
      </c>
      <c r="DG17" s="228">
        <v>-0.01</v>
      </c>
      <c r="DH17" s="228">
        <v>26.51</v>
      </c>
      <c r="DI17" s="228">
        <v>27.33</v>
      </c>
      <c r="DJ17" s="228">
        <v>-0.82</v>
      </c>
      <c r="DK17" s="228">
        <v>-0.82</v>
      </c>
      <c r="DL17" s="228">
        <v>26.3</v>
      </c>
      <c r="DM17" s="228">
        <v>26.68</v>
      </c>
      <c r="DN17" s="228">
        <v>-0.38</v>
      </c>
      <c r="DO17" s="228">
        <v>-0.38</v>
      </c>
      <c r="DP17" s="228">
        <v>0.47</v>
      </c>
      <c r="DQ17" s="228">
        <v>0.48</v>
      </c>
      <c r="DR17" s="228">
        <v>-0.01</v>
      </c>
      <c r="DS17" s="229">
        <v>-2.0799999999999999E-2</v>
      </c>
      <c r="DT17" s="231">
        <v>1500</v>
      </c>
      <c r="DU17" s="231">
        <v>1400</v>
      </c>
      <c r="DV17" s="228">
        <v>0.33</v>
      </c>
      <c r="DW17" s="228">
        <v>0.54</v>
      </c>
      <c r="DX17" s="228">
        <v>-0.21</v>
      </c>
      <c r="DY17" s="229">
        <v>-0.38890000000000002</v>
      </c>
      <c r="DZ17" s="229">
        <v>3.1099999999999999E-2</v>
      </c>
      <c r="EA17" s="230">
        <v>276250</v>
      </c>
      <c r="EB17" s="229">
        <v>3.0999999999999999E-3</v>
      </c>
      <c r="EC17" s="229">
        <v>3.1099999999999999E-2</v>
      </c>
      <c r="ED17" s="228">
        <v>4.6100000000000003</v>
      </c>
      <c r="EE17" s="229">
        <v>3.2000000000000002E-3</v>
      </c>
      <c r="EF17" s="230">
        <v>423752</v>
      </c>
      <c r="EG17" s="230">
        <v>340120</v>
      </c>
      <c r="EH17" s="229">
        <v>0.24590000000000001</v>
      </c>
      <c r="EI17" s="229">
        <v>0.56840000000000002</v>
      </c>
      <c r="EJ17" s="231">
        <v>76753.58</v>
      </c>
      <c r="EK17" s="231">
        <v>24379.89</v>
      </c>
      <c r="EL17" s="231">
        <v>29009.59</v>
      </c>
      <c r="EM17" s="231">
        <v>3440</v>
      </c>
      <c r="EN17" s="231">
        <v>130143.06</v>
      </c>
      <c r="EO17" s="231">
        <v>65065.4</v>
      </c>
      <c r="EP17" s="231">
        <v>65077.66</v>
      </c>
      <c r="EQ17" s="229">
        <v>1.0002</v>
      </c>
      <c r="ER17" s="231">
        <v>43569</v>
      </c>
      <c r="ES17" s="231">
        <v>19053</v>
      </c>
      <c r="ET17" s="231">
        <v>124822</v>
      </c>
      <c r="EU17" s="231">
        <v>18495534</v>
      </c>
      <c r="EV17" s="231">
        <v>187444</v>
      </c>
      <c r="EW17" s="231">
        <v>181033</v>
      </c>
      <c r="EX17" s="231">
        <v>6411</v>
      </c>
      <c r="EY17" s="229">
        <v>3.5400000000000001E-2</v>
      </c>
      <c r="EZ17" s="229">
        <v>0.70379999999999998</v>
      </c>
      <c r="FA17" s="227" t="s">
        <v>555</v>
      </c>
      <c r="FB17" s="161">
        <f t="shared" si="0"/>
        <v>271150</v>
      </c>
    </row>
    <row r="18" spans="1:158" ht="17.25" hidden="1" thickBot="1" x14ac:dyDescent="0.3">
      <c r="A18" s="226">
        <v>45940</v>
      </c>
      <c r="B18" s="227" t="s">
        <v>172</v>
      </c>
      <c r="C18" s="227" t="s">
        <v>495</v>
      </c>
      <c r="D18" s="228">
        <v>1000</v>
      </c>
      <c r="E18" s="228">
        <v>767.6</v>
      </c>
      <c r="F18" s="228">
        <v>762.65</v>
      </c>
      <c r="G18" s="228">
        <v>4.95</v>
      </c>
      <c r="H18" s="229">
        <v>6.4999999999999997E-3</v>
      </c>
      <c r="I18" s="228">
        <v>763.25</v>
      </c>
      <c r="J18" s="228">
        <v>760</v>
      </c>
      <c r="K18" s="228">
        <v>3.25</v>
      </c>
      <c r="L18" s="229">
        <v>4.3E-3</v>
      </c>
      <c r="M18" s="228">
        <v>767.6</v>
      </c>
      <c r="N18" s="228">
        <v>762.65</v>
      </c>
      <c r="O18" s="228">
        <v>4.95</v>
      </c>
      <c r="P18" s="229">
        <v>6.4999999999999997E-3</v>
      </c>
      <c r="Q18" s="228">
        <v>769.35</v>
      </c>
      <c r="R18" s="228">
        <v>764.65</v>
      </c>
      <c r="S18" s="228">
        <v>4.7</v>
      </c>
      <c r="T18" s="229">
        <v>6.1000000000000004E-3</v>
      </c>
      <c r="U18" s="228">
        <v>770.65</v>
      </c>
      <c r="V18" s="228">
        <v>764</v>
      </c>
      <c r="W18" s="228">
        <v>6.65</v>
      </c>
      <c r="X18" s="229">
        <v>8.6999999999999994E-3</v>
      </c>
      <c r="Y18" s="228">
        <v>4.3499999999999996</v>
      </c>
      <c r="Z18" s="228">
        <v>2.65</v>
      </c>
      <c r="AA18" s="228">
        <v>1.7</v>
      </c>
      <c r="AB18" s="229">
        <v>5.7000000000000002E-3</v>
      </c>
      <c r="AC18" s="228">
        <v>4.3499999999999996</v>
      </c>
      <c r="AD18" s="228">
        <v>2.65</v>
      </c>
      <c r="AE18" s="228">
        <v>1.7</v>
      </c>
      <c r="AF18" s="229">
        <v>5.7000000000000002E-3</v>
      </c>
      <c r="AG18" s="228">
        <v>6.1</v>
      </c>
      <c r="AH18" s="228">
        <v>4.6500000000000004</v>
      </c>
      <c r="AI18" s="228">
        <v>1.45</v>
      </c>
      <c r="AJ18" s="229">
        <v>8.0000000000000002E-3</v>
      </c>
      <c r="AK18" s="228">
        <v>7.4</v>
      </c>
      <c r="AL18" s="228">
        <v>4</v>
      </c>
      <c r="AM18" s="228">
        <v>3.4</v>
      </c>
      <c r="AN18" s="229">
        <v>9.7000000000000003E-3</v>
      </c>
      <c r="AO18" s="228">
        <v>764.92</v>
      </c>
      <c r="AP18" s="228">
        <v>765.38</v>
      </c>
      <c r="AQ18" s="228">
        <v>0</v>
      </c>
      <c r="AR18" s="230">
        <v>3376000</v>
      </c>
      <c r="AS18" s="230">
        <v>2984000</v>
      </c>
      <c r="AT18" s="230">
        <v>392000</v>
      </c>
      <c r="AU18" s="229">
        <v>0.13139999999999999</v>
      </c>
      <c r="AV18" s="230">
        <v>3140000</v>
      </c>
      <c r="AW18" s="230">
        <v>2838000</v>
      </c>
      <c r="AX18" s="230">
        <v>302000</v>
      </c>
      <c r="AY18" s="229">
        <v>0.10639999999999999</v>
      </c>
      <c r="AZ18" s="230">
        <v>226000</v>
      </c>
      <c r="BA18" s="230">
        <v>133000</v>
      </c>
      <c r="BB18" s="230">
        <v>93000</v>
      </c>
      <c r="BC18" s="229">
        <v>0.69920000000000004</v>
      </c>
      <c r="BD18" s="230">
        <v>10000</v>
      </c>
      <c r="BE18" s="230">
        <v>13000</v>
      </c>
      <c r="BF18" s="230">
        <v>-3000</v>
      </c>
      <c r="BG18" s="229">
        <v>-0.23080000000000001</v>
      </c>
      <c r="BH18" s="230">
        <v>11638000</v>
      </c>
      <c r="BI18" s="230">
        <v>6578000</v>
      </c>
      <c r="BJ18" s="230">
        <v>5060000</v>
      </c>
      <c r="BK18" s="229">
        <v>0.76919999999999999</v>
      </c>
      <c r="BL18" s="230">
        <v>3513000</v>
      </c>
      <c r="BM18" s="230">
        <v>2915000</v>
      </c>
      <c r="BN18" s="230">
        <v>598000</v>
      </c>
      <c r="BO18" s="229">
        <v>0.2051</v>
      </c>
      <c r="BP18" s="230">
        <v>18527000</v>
      </c>
      <c r="BQ18" s="230">
        <v>12477000</v>
      </c>
      <c r="BR18" s="230">
        <v>6050000</v>
      </c>
      <c r="BS18" s="229">
        <v>0.4849</v>
      </c>
      <c r="BT18" s="230">
        <v>985804</v>
      </c>
      <c r="BU18" s="230">
        <v>2021680</v>
      </c>
      <c r="BV18" s="230">
        <v>-1035876</v>
      </c>
      <c r="BW18" s="229">
        <v>-0.51239999999999997</v>
      </c>
      <c r="BX18" s="230">
        <v>20940000</v>
      </c>
      <c r="BY18" s="230">
        <v>20455000</v>
      </c>
      <c r="BZ18" s="230">
        <v>485000</v>
      </c>
      <c r="CA18" s="229">
        <v>2.3699999999999999E-2</v>
      </c>
      <c r="CB18" s="230">
        <v>20532000</v>
      </c>
      <c r="CC18" s="230">
        <v>20077000</v>
      </c>
      <c r="CD18" s="230">
        <v>455000</v>
      </c>
      <c r="CE18" s="229">
        <v>2.2700000000000001E-2</v>
      </c>
      <c r="CF18" s="230">
        <v>359000</v>
      </c>
      <c r="CG18" s="230">
        <v>327000</v>
      </c>
      <c r="CH18" s="230">
        <v>32000</v>
      </c>
      <c r="CI18" s="229">
        <v>9.7900000000000001E-2</v>
      </c>
      <c r="CJ18" s="230">
        <v>49000</v>
      </c>
      <c r="CK18" s="230">
        <v>51000</v>
      </c>
      <c r="CL18" s="230">
        <v>-2000</v>
      </c>
      <c r="CM18" s="229">
        <v>-3.9199999999999999E-2</v>
      </c>
      <c r="CN18" s="230">
        <v>7527000</v>
      </c>
      <c r="CO18" s="230">
        <v>5527000</v>
      </c>
      <c r="CP18" s="230">
        <v>2000000</v>
      </c>
      <c r="CQ18" s="229">
        <v>0.3619</v>
      </c>
      <c r="CR18" s="230">
        <v>4327000</v>
      </c>
      <c r="CS18" s="230">
        <v>4124000</v>
      </c>
      <c r="CT18" s="230">
        <v>203000</v>
      </c>
      <c r="CU18" s="229">
        <v>4.9200000000000001E-2</v>
      </c>
      <c r="CV18" s="230">
        <v>32794000</v>
      </c>
      <c r="CW18" s="230">
        <v>30106000</v>
      </c>
      <c r="CX18" s="230">
        <v>2688000</v>
      </c>
      <c r="CY18" s="229">
        <v>8.9300000000000004E-2</v>
      </c>
      <c r="CZ18" s="228">
        <v>33.46</v>
      </c>
      <c r="DA18" s="228">
        <v>30.69</v>
      </c>
      <c r="DB18" s="228">
        <v>2.77</v>
      </c>
      <c r="DC18" s="228">
        <v>2.77</v>
      </c>
      <c r="DD18" s="228">
        <v>36.020000000000003</v>
      </c>
      <c r="DE18" s="228">
        <v>36.1</v>
      </c>
      <c r="DF18" s="228">
        <v>-2.56</v>
      </c>
      <c r="DG18" s="228">
        <v>-0.08</v>
      </c>
      <c r="DH18" s="228">
        <v>33.61</v>
      </c>
      <c r="DI18" s="228">
        <v>30.42</v>
      </c>
      <c r="DJ18" s="228">
        <v>3.19</v>
      </c>
      <c r="DK18" s="228">
        <v>3.19</v>
      </c>
      <c r="DL18" s="228">
        <v>32.97</v>
      </c>
      <c r="DM18" s="228">
        <v>31.31</v>
      </c>
      <c r="DN18" s="228">
        <v>1.66</v>
      </c>
      <c r="DO18" s="228">
        <v>1.66</v>
      </c>
      <c r="DP18" s="228">
        <v>0.56999999999999995</v>
      </c>
      <c r="DQ18" s="228">
        <v>0.75</v>
      </c>
      <c r="DR18" s="228">
        <v>-0.18</v>
      </c>
      <c r="DS18" s="229">
        <v>-0.24</v>
      </c>
      <c r="DT18" s="228">
        <v>800</v>
      </c>
      <c r="DU18" s="228">
        <v>720</v>
      </c>
      <c r="DV18" s="228">
        <v>0.3</v>
      </c>
      <c r="DW18" s="228">
        <v>0.44</v>
      </c>
      <c r="DX18" s="228">
        <v>-0.14000000000000001</v>
      </c>
      <c r="DY18" s="229">
        <v>-0.31819999999999998</v>
      </c>
      <c r="DZ18" s="229">
        <v>1.95E-2</v>
      </c>
      <c r="EA18" s="230">
        <v>378000</v>
      </c>
      <c r="EB18" s="229">
        <v>2.3E-3</v>
      </c>
      <c r="EC18" s="229">
        <v>1.95E-2</v>
      </c>
      <c r="ED18" s="228">
        <v>0.46</v>
      </c>
      <c r="EE18" s="229">
        <v>5.9999999999999995E-4</v>
      </c>
      <c r="EF18" s="230">
        <v>507107</v>
      </c>
      <c r="EG18" s="230">
        <v>1254746</v>
      </c>
      <c r="EH18" s="229">
        <v>-0.5958</v>
      </c>
      <c r="EI18" s="229">
        <v>0.51439999999999997</v>
      </c>
      <c r="EJ18" s="231">
        <v>93333.14</v>
      </c>
      <c r="EK18" s="231">
        <v>26646.17</v>
      </c>
      <c r="EL18" s="231">
        <v>25824.95</v>
      </c>
      <c r="EM18" s="231">
        <v>4704</v>
      </c>
      <c r="EN18" s="231">
        <v>145804.26</v>
      </c>
      <c r="EO18" s="231">
        <v>97517.98</v>
      </c>
      <c r="EP18" s="231">
        <v>48286.28</v>
      </c>
      <c r="EQ18" s="229">
        <v>0.49519999999999997</v>
      </c>
      <c r="ER18" s="231">
        <v>58901</v>
      </c>
      <c r="ES18" s="231">
        <v>31094</v>
      </c>
      <c r="ET18" s="231">
        <v>160743</v>
      </c>
      <c r="EU18" s="231">
        <v>86234186</v>
      </c>
      <c r="EV18" s="231">
        <v>250739</v>
      </c>
      <c r="EW18" s="231">
        <v>228638</v>
      </c>
      <c r="EX18" s="231">
        <v>22101</v>
      </c>
      <c r="EY18" s="229">
        <v>9.6699999999999994E-2</v>
      </c>
      <c r="EZ18" s="229">
        <v>0.38030000000000003</v>
      </c>
      <c r="FA18" s="227" t="s">
        <v>555</v>
      </c>
      <c r="FB18" s="161">
        <f t="shared" si="0"/>
        <v>408000</v>
      </c>
    </row>
    <row r="19" spans="1:158" ht="17.25" hidden="1" thickBot="1" x14ac:dyDescent="0.3">
      <c r="A19" s="226">
        <v>45940</v>
      </c>
      <c r="B19" s="227" t="s">
        <v>170</v>
      </c>
      <c r="C19" s="227" t="s">
        <v>171</v>
      </c>
      <c r="D19" s="228">
        <v>550</v>
      </c>
      <c r="E19" s="231">
        <v>1136.5</v>
      </c>
      <c r="F19" s="231">
        <v>1126.9000000000001</v>
      </c>
      <c r="G19" s="228">
        <v>9.6</v>
      </c>
      <c r="H19" s="229">
        <v>8.5000000000000006E-3</v>
      </c>
      <c r="I19" s="231">
        <v>1130.3</v>
      </c>
      <c r="J19" s="231">
        <v>1119.9000000000001</v>
      </c>
      <c r="K19" s="228">
        <v>10.4</v>
      </c>
      <c r="L19" s="229">
        <v>9.2999999999999992E-3</v>
      </c>
      <c r="M19" s="231">
        <v>1136.5</v>
      </c>
      <c r="N19" s="231">
        <v>1126.9000000000001</v>
      </c>
      <c r="O19" s="228">
        <v>9.6</v>
      </c>
      <c r="P19" s="229">
        <v>8.5000000000000006E-3</v>
      </c>
      <c r="Q19" s="231">
        <v>1141.4000000000001</v>
      </c>
      <c r="R19" s="231">
        <v>1131.2</v>
      </c>
      <c r="S19" s="228">
        <v>10.199999999999999</v>
      </c>
      <c r="T19" s="229">
        <v>8.9999999999999993E-3</v>
      </c>
      <c r="U19" s="231">
        <v>1148.4000000000001</v>
      </c>
      <c r="V19" s="231">
        <v>1142</v>
      </c>
      <c r="W19" s="228">
        <v>6.4</v>
      </c>
      <c r="X19" s="229">
        <v>5.5999999999999999E-3</v>
      </c>
      <c r="Y19" s="228">
        <v>6.2</v>
      </c>
      <c r="Z19" s="228">
        <v>7</v>
      </c>
      <c r="AA19" s="228">
        <v>-0.8</v>
      </c>
      <c r="AB19" s="229">
        <v>5.4999999999999997E-3</v>
      </c>
      <c r="AC19" s="228">
        <v>6.2</v>
      </c>
      <c r="AD19" s="228">
        <v>7</v>
      </c>
      <c r="AE19" s="228">
        <v>-0.8</v>
      </c>
      <c r="AF19" s="229">
        <v>5.4999999999999997E-3</v>
      </c>
      <c r="AG19" s="228">
        <v>11.1</v>
      </c>
      <c r="AH19" s="228">
        <v>11.3</v>
      </c>
      <c r="AI19" s="228">
        <v>-0.2</v>
      </c>
      <c r="AJ19" s="229">
        <v>9.7999999999999997E-3</v>
      </c>
      <c r="AK19" s="228">
        <v>18.100000000000001</v>
      </c>
      <c r="AL19" s="228">
        <v>22.1</v>
      </c>
      <c r="AM19" s="228">
        <v>-4</v>
      </c>
      <c r="AN19" s="229">
        <v>1.6E-2</v>
      </c>
      <c r="AO19" s="231">
        <v>1137.9000000000001</v>
      </c>
      <c r="AP19" s="231">
        <v>1141.45</v>
      </c>
      <c r="AQ19" s="228">
        <v>0</v>
      </c>
      <c r="AR19" s="230">
        <v>3195500</v>
      </c>
      <c r="AS19" s="230">
        <v>6831000</v>
      </c>
      <c r="AT19" s="230">
        <v>-3635500</v>
      </c>
      <c r="AU19" s="229">
        <v>-0.53220000000000001</v>
      </c>
      <c r="AV19" s="230">
        <v>3032700</v>
      </c>
      <c r="AW19" s="230">
        <v>6514200</v>
      </c>
      <c r="AX19" s="230">
        <v>-3481500</v>
      </c>
      <c r="AY19" s="229">
        <v>-0.53439999999999999</v>
      </c>
      <c r="AZ19" s="230">
        <v>153450</v>
      </c>
      <c r="BA19" s="230">
        <v>292600</v>
      </c>
      <c r="BB19" s="230">
        <v>-139150</v>
      </c>
      <c r="BC19" s="229">
        <v>-0.47560000000000002</v>
      </c>
      <c r="BD19" s="230">
        <v>9350</v>
      </c>
      <c r="BE19" s="230">
        <v>24200</v>
      </c>
      <c r="BF19" s="230">
        <v>-14850</v>
      </c>
      <c r="BG19" s="229">
        <v>-0.61360000000000003</v>
      </c>
      <c r="BH19" s="230">
        <v>9753700</v>
      </c>
      <c r="BI19" s="230">
        <v>24354550</v>
      </c>
      <c r="BJ19" s="230">
        <v>-14600850</v>
      </c>
      <c r="BK19" s="229">
        <v>-0.59950000000000003</v>
      </c>
      <c r="BL19" s="230">
        <v>4426950</v>
      </c>
      <c r="BM19" s="230">
        <v>11607750</v>
      </c>
      <c r="BN19" s="230">
        <v>-7180800</v>
      </c>
      <c r="BO19" s="229">
        <v>-0.61860000000000004</v>
      </c>
      <c r="BP19" s="230">
        <v>17376150</v>
      </c>
      <c r="BQ19" s="230">
        <v>42793300</v>
      </c>
      <c r="BR19" s="230">
        <v>-25417150</v>
      </c>
      <c r="BS19" s="229">
        <v>-0.59399999999999997</v>
      </c>
      <c r="BT19" s="230">
        <v>1495208</v>
      </c>
      <c r="BU19" s="230">
        <v>5051361</v>
      </c>
      <c r="BV19" s="230">
        <v>-3556153</v>
      </c>
      <c r="BW19" s="229">
        <v>-0.70399999999999996</v>
      </c>
      <c r="BX19" s="230">
        <v>20353850</v>
      </c>
      <c r="BY19" s="230">
        <v>20111300</v>
      </c>
      <c r="BZ19" s="230">
        <v>242550</v>
      </c>
      <c r="CA19" s="229">
        <v>1.21E-2</v>
      </c>
      <c r="CB19" s="230">
        <v>19962800</v>
      </c>
      <c r="CC19" s="230">
        <v>19739500</v>
      </c>
      <c r="CD19" s="230">
        <v>223300</v>
      </c>
      <c r="CE19" s="229">
        <v>1.1299999999999999E-2</v>
      </c>
      <c r="CF19" s="230">
        <v>369600</v>
      </c>
      <c r="CG19" s="230">
        <v>355850</v>
      </c>
      <c r="CH19" s="230">
        <v>13750</v>
      </c>
      <c r="CI19" s="229">
        <v>3.8600000000000002E-2</v>
      </c>
      <c r="CJ19" s="230">
        <v>21450</v>
      </c>
      <c r="CK19" s="230">
        <v>15950</v>
      </c>
      <c r="CL19" s="230">
        <v>5500</v>
      </c>
      <c r="CM19" s="229">
        <v>0.3448</v>
      </c>
      <c r="CN19" s="230">
        <v>3762550</v>
      </c>
      <c r="CO19" s="230">
        <v>3369850</v>
      </c>
      <c r="CP19" s="230">
        <v>392700</v>
      </c>
      <c r="CQ19" s="229">
        <v>0.11650000000000001</v>
      </c>
      <c r="CR19" s="230">
        <v>2856700</v>
      </c>
      <c r="CS19" s="230">
        <v>2742300</v>
      </c>
      <c r="CT19" s="230">
        <v>114400</v>
      </c>
      <c r="CU19" s="229">
        <v>4.1700000000000001E-2</v>
      </c>
      <c r="CV19" s="230">
        <v>26973100</v>
      </c>
      <c r="CW19" s="230">
        <v>26223450</v>
      </c>
      <c r="CX19" s="230">
        <v>749650</v>
      </c>
      <c r="CY19" s="229">
        <v>2.86E-2</v>
      </c>
      <c r="CZ19" s="228">
        <v>28.02</v>
      </c>
      <c r="DA19" s="228">
        <v>29.15</v>
      </c>
      <c r="DB19" s="228">
        <v>-1.1299999999999999</v>
      </c>
      <c r="DC19" s="228">
        <v>-1.1299999999999999</v>
      </c>
      <c r="DD19" s="228">
        <v>35.06</v>
      </c>
      <c r="DE19" s="228">
        <v>35.130000000000003</v>
      </c>
      <c r="DF19" s="228">
        <v>-7.04</v>
      </c>
      <c r="DG19" s="228">
        <v>-7.0000000000000007E-2</v>
      </c>
      <c r="DH19" s="228">
        <v>27.56</v>
      </c>
      <c r="DI19" s="228">
        <v>28.97</v>
      </c>
      <c r="DJ19" s="228">
        <v>-1.41</v>
      </c>
      <c r="DK19" s="228">
        <v>-1.41</v>
      </c>
      <c r="DL19" s="228">
        <v>29.03</v>
      </c>
      <c r="DM19" s="228">
        <v>29.54</v>
      </c>
      <c r="DN19" s="228">
        <v>-0.51</v>
      </c>
      <c r="DO19" s="228">
        <v>-0.51</v>
      </c>
      <c r="DP19" s="228">
        <v>0.76</v>
      </c>
      <c r="DQ19" s="228">
        <v>0.81</v>
      </c>
      <c r="DR19" s="228">
        <v>-0.05</v>
      </c>
      <c r="DS19" s="229">
        <v>-6.1699999999999998E-2</v>
      </c>
      <c r="DT19" s="231">
        <v>1100</v>
      </c>
      <c r="DU19" s="231">
        <v>1100</v>
      </c>
      <c r="DV19" s="228">
        <v>0.45</v>
      </c>
      <c r="DW19" s="228">
        <v>0.48</v>
      </c>
      <c r="DX19" s="228">
        <v>-0.03</v>
      </c>
      <c r="DY19" s="229">
        <v>-6.25E-2</v>
      </c>
      <c r="DZ19" s="229">
        <v>1.9199999999999998E-2</v>
      </c>
      <c r="EA19" s="230">
        <v>371800</v>
      </c>
      <c r="EB19" s="229">
        <v>4.3E-3</v>
      </c>
      <c r="EC19" s="229">
        <v>1.9199999999999998E-2</v>
      </c>
      <c r="ED19" s="228">
        <v>3.55</v>
      </c>
      <c r="EE19" s="229">
        <v>3.0999999999999999E-3</v>
      </c>
      <c r="EF19" s="230">
        <v>624426</v>
      </c>
      <c r="EG19" s="230">
        <v>1940023</v>
      </c>
      <c r="EH19" s="229">
        <v>-0.67810000000000004</v>
      </c>
      <c r="EI19" s="229">
        <v>0.41760000000000003</v>
      </c>
      <c r="EJ19" s="231">
        <v>115239.05</v>
      </c>
      <c r="EK19" s="231">
        <v>49178.87</v>
      </c>
      <c r="EL19" s="231">
        <v>36368.04</v>
      </c>
      <c r="EM19" s="231">
        <v>4590</v>
      </c>
      <c r="EN19" s="231">
        <v>200785.96</v>
      </c>
      <c r="EO19" s="231">
        <v>487761.5</v>
      </c>
      <c r="EP19" s="231">
        <v>-286975.53999999998</v>
      </c>
      <c r="EQ19" s="229">
        <v>-0.58840000000000003</v>
      </c>
      <c r="ER19" s="231">
        <v>43478</v>
      </c>
      <c r="ES19" s="231">
        <v>30517</v>
      </c>
      <c r="ET19" s="231">
        <v>231342</v>
      </c>
      <c r="EU19" s="231">
        <v>41977935</v>
      </c>
      <c r="EV19" s="231">
        <v>305337</v>
      </c>
      <c r="EW19" s="231">
        <v>294699</v>
      </c>
      <c r="EX19" s="231">
        <v>10638</v>
      </c>
      <c r="EY19" s="229">
        <v>3.61E-2</v>
      </c>
      <c r="EZ19" s="229">
        <v>0.64259999999999995</v>
      </c>
      <c r="FA19" s="227" t="s">
        <v>555</v>
      </c>
      <c r="FB19" s="161">
        <f t="shared" si="0"/>
        <v>391050</v>
      </c>
    </row>
    <row r="20" spans="1:158" ht="17.25" hidden="1" thickBot="1" x14ac:dyDescent="0.3">
      <c r="A20" s="226">
        <v>45940</v>
      </c>
      <c r="B20" s="227" t="s">
        <v>172</v>
      </c>
      <c r="C20" s="227" t="s">
        <v>173</v>
      </c>
      <c r="D20" s="228">
        <v>625</v>
      </c>
      <c r="E20" s="231">
        <v>1183.8</v>
      </c>
      <c r="F20" s="231">
        <v>1173.0999999999999</v>
      </c>
      <c r="G20" s="228">
        <v>10.7</v>
      </c>
      <c r="H20" s="229">
        <v>9.1000000000000004E-3</v>
      </c>
      <c r="I20" s="231">
        <v>1180.4000000000001</v>
      </c>
      <c r="J20" s="231">
        <v>1167.4000000000001</v>
      </c>
      <c r="K20" s="228">
        <v>13</v>
      </c>
      <c r="L20" s="229">
        <v>1.11E-2</v>
      </c>
      <c r="M20" s="231">
        <v>1183.8</v>
      </c>
      <c r="N20" s="231">
        <v>1173.0999999999999</v>
      </c>
      <c r="O20" s="228">
        <v>10.7</v>
      </c>
      <c r="P20" s="229">
        <v>9.1000000000000004E-3</v>
      </c>
      <c r="Q20" s="231">
        <v>1190.5999999999999</v>
      </c>
      <c r="R20" s="231">
        <v>1179.0999999999999</v>
      </c>
      <c r="S20" s="228">
        <v>11.5</v>
      </c>
      <c r="T20" s="229">
        <v>9.7999999999999997E-3</v>
      </c>
      <c r="U20" s="231">
        <v>1198.3</v>
      </c>
      <c r="V20" s="231">
        <v>1185.9000000000001</v>
      </c>
      <c r="W20" s="228">
        <v>12.4</v>
      </c>
      <c r="X20" s="229">
        <v>1.0500000000000001E-2</v>
      </c>
      <c r="Y20" s="228">
        <v>3.4</v>
      </c>
      <c r="Z20" s="228">
        <v>5.7</v>
      </c>
      <c r="AA20" s="228">
        <v>-2.2999999999999998</v>
      </c>
      <c r="AB20" s="229">
        <v>2.8999999999999998E-3</v>
      </c>
      <c r="AC20" s="228">
        <v>3.4</v>
      </c>
      <c r="AD20" s="228">
        <v>5.7</v>
      </c>
      <c r="AE20" s="228">
        <v>-2.2999999999999998</v>
      </c>
      <c r="AF20" s="229">
        <v>2.8999999999999998E-3</v>
      </c>
      <c r="AG20" s="228">
        <v>10.199999999999999</v>
      </c>
      <c r="AH20" s="228">
        <v>11.7</v>
      </c>
      <c r="AI20" s="228">
        <v>-1.5</v>
      </c>
      <c r="AJ20" s="229">
        <v>8.6E-3</v>
      </c>
      <c r="AK20" s="228">
        <v>17.899999999999999</v>
      </c>
      <c r="AL20" s="228">
        <v>18.5</v>
      </c>
      <c r="AM20" s="228">
        <v>-0.6</v>
      </c>
      <c r="AN20" s="229">
        <v>1.52E-2</v>
      </c>
      <c r="AO20" s="231">
        <v>1188.2</v>
      </c>
      <c r="AP20" s="231">
        <v>1193.92</v>
      </c>
      <c r="AQ20" s="228">
        <v>0</v>
      </c>
      <c r="AR20" s="230">
        <v>13829375</v>
      </c>
      <c r="AS20" s="230">
        <v>12896875</v>
      </c>
      <c r="AT20" s="230">
        <v>932500</v>
      </c>
      <c r="AU20" s="229">
        <v>7.2300000000000003E-2</v>
      </c>
      <c r="AV20" s="230">
        <v>13154375</v>
      </c>
      <c r="AW20" s="230">
        <v>12404375</v>
      </c>
      <c r="AX20" s="230">
        <v>750000</v>
      </c>
      <c r="AY20" s="229">
        <v>6.0499999999999998E-2</v>
      </c>
      <c r="AZ20" s="230">
        <v>546250</v>
      </c>
      <c r="BA20" s="230">
        <v>440625</v>
      </c>
      <c r="BB20" s="230">
        <v>105625</v>
      </c>
      <c r="BC20" s="229">
        <v>0.2397</v>
      </c>
      <c r="BD20" s="230">
        <v>128750</v>
      </c>
      <c r="BE20" s="230">
        <v>51875</v>
      </c>
      <c r="BF20" s="230">
        <v>76875</v>
      </c>
      <c r="BG20" s="229">
        <v>1.4819</v>
      </c>
      <c r="BH20" s="230">
        <v>28633750</v>
      </c>
      <c r="BI20" s="230">
        <v>34111250</v>
      </c>
      <c r="BJ20" s="230">
        <v>-5477500</v>
      </c>
      <c r="BK20" s="229">
        <v>-0.16059999999999999</v>
      </c>
      <c r="BL20" s="230">
        <v>16760000</v>
      </c>
      <c r="BM20" s="230">
        <v>18225000</v>
      </c>
      <c r="BN20" s="230">
        <v>-1465000</v>
      </c>
      <c r="BO20" s="229">
        <v>-8.0399999999999999E-2</v>
      </c>
      <c r="BP20" s="230">
        <v>59223125</v>
      </c>
      <c r="BQ20" s="230">
        <v>65233125</v>
      </c>
      <c r="BR20" s="230">
        <v>-6010000</v>
      </c>
      <c r="BS20" s="229">
        <v>-9.2100000000000001E-2</v>
      </c>
      <c r="BT20" s="230">
        <v>7048509</v>
      </c>
      <c r="BU20" s="230">
        <v>7490388</v>
      </c>
      <c r="BV20" s="230">
        <v>-441879</v>
      </c>
      <c r="BW20" s="229">
        <v>-5.8999999999999997E-2</v>
      </c>
      <c r="BX20" s="230">
        <v>82467500</v>
      </c>
      <c r="BY20" s="230">
        <v>83480000</v>
      </c>
      <c r="BZ20" s="230">
        <v>-1012500</v>
      </c>
      <c r="CA20" s="229">
        <v>-1.21E-2</v>
      </c>
      <c r="CB20" s="230">
        <v>80983125</v>
      </c>
      <c r="CC20" s="230">
        <v>82093750</v>
      </c>
      <c r="CD20" s="230">
        <v>-1110625</v>
      </c>
      <c r="CE20" s="229">
        <v>-1.35E-2</v>
      </c>
      <c r="CF20" s="230">
        <v>1312500</v>
      </c>
      <c r="CG20" s="230">
        <v>1287500</v>
      </c>
      <c r="CH20" s="230">
        <v>25000</v>
      </c>
      <c r="CI20" s="229">
        <v>1.9400000000000001E-2</v>
      </c>
      <c r="CJ20" s="230">
        <v>171875</v>
      </c>
      <c r="CK20" s="230">
        <v>98750</v>
      </c>
      <c r="CL20" s="230">
        <v>73125</v>
      </c>
      <c r="CM20" s="229">
        <v>0.74050000000000005</v>
      </c>
      <c r="CN20" s="230">
        <v>28375000</v>
      </c>
      <c r="CO20" s="230">
        <v>29771250</v>
      </c>
      <c r="CP20" s="230">
        <v>-1396250</v>
      </c>
      <c r="CQ20" s="229">
        <v>-4.6899999999999997E-2</v>
      </c>
      <c r="CR20" s="230">
        <v>12871875</v>
      </c>
      <c r="CS20" s="230">
        <v>12216875</v>
      </c>
      <c r="CT20" s="230">
        <v>655000</v>
      </c>
      <c r="CU20" s="229">
        <v>5.3600000000000002E-2</v>
      </c>
      <c r="CV20" s="230">
        <v>123714375</v>
      </c>
      <c r="CW20" s="230">
        <v>125468125</v>
      </c>
      <c r="CX20" s="230">
        <v>-1753750</v>
      </c>
      <c r="CY20" s="229">
        <v>-1.4E-2</v>
      </c>
      <c r="CZ20" s="228">
        <v>23.44</v>
      </c>
      <c r="DA20" s="228">
        <v>24.17</v>
      </c>
      <c r="DB20" s="228">
        <v>-0.73</v>
      </c>
      <c r="DC20" s="228">
        <v>-0.73</v>
      </c>
      <c r="DD20" s="228">
        <v>27.01</v>
      </c>
      <c r="DE20" s="228">
        <v>27.04</v>
      </c>
      <c r="DF20" s="228">
        <v>-3.57</v>
      </c>
      <c r="DG20" s="228">
        <v>-0.03</v>
      </c>
      <c r="DH20" s="228">
        <v>23.48</v>
      </c>
      <c r="DI20" s="228">
        <v>24.18</v>
      </c>
      <c r="DJ20" s="228">
        <v>-0.7</v>
      </c>
      <c r="DK20" s="228">
        <v>-0.7</v>
      </c>
      <c r="DL20" s="228">
        <v>23.37</v>
      </c>
      <c r="DM20" s="228">
        <v>24.17</v>
      </c>
      <c r="DN20" s="228">
        <v>-0.8</v>
      </c>
      <c r="DO20" s="228">
        <v>-0.8</v>
      </c>
      <c r="DP20" s="228">
        <v>0.45</v>
      </c>
      <c r="DQ20" s="228">
        <v>0.41</v>
      </c>
      <c r="DR20" s="228">
        <v>0.04</v>
      </c>
      <c r="DS20" s="229">
        <v>9.7600000000000006E-2</v>
      </c>
      <c r="DT20" s="231">
        <v>1250</v>
      </c>
      <c r="DU20" s="231">
        <v>1180</v>
      </c>
      <c r="DV20" s="228">
        <v>0.59</v>
      </c>
      <c r="DW20" s="228">
        <v>0.53</v>
      </c>
      <c r="DX20" s="228">
        <v>0.06</v>
      </c>
      <c r="DY20" s="229">
        <v>0.1132</v>
      </c>
      <c r="DZ20" s="229">
        <v>1.7999999999999999E-2</v>
      </c>
      <c r="EA20" s="230">
        <v>1386250</v>
      </c>
      <c r="EB20" s="229">
        <v>5.7000000000000002E-3</v>
      </c>
      <c r="EC20" s="229">
        <v>1.7999999999999999E-2</v>
      </c>
      <c r="ED20" s="228">
        <v>5.72</v>
      </c>
      <c r="EE20" s="229">
        <v>4.7999999999999996E-3</v>
      </c>
      <c r="EF20" s="230">
        <v>4892235</v>
      </c>
      <c r="EG20" s="230">
        <v>3993815</v>
      </c>
      <c r="EH20" s="229">
        <v>0.22500000000000001</v>
      </c>
      <c r="EI20" s="229">
        <v>0.69410000000000005</v>
      </c>
      <c r="EJ20" s="231">
        <v>351494.19</v>
      </c>
      <c r="EK20" s="231">
        <v>196226.92</v>
      </c>
      <c r="EL20" s="231">
        <v>164371.51</v>
      </c>
      <c r="EM20" s="231">
        <v>21876</v>
      </c>
      <c r="EN20" s="231">
        <v>712092.62</v>
      </c>
      <c r="EO20" s="231">
        <v>784359.03</v>
      </c>
      <c r="EP20" s="231">
        <v>-72266.41</v>
      </c>
      <c r="EQ20" s="229">
        <v>-9.2100000000000001E-2</v>
      </c>
      <c r="ER20" s="231">
        <v>343554</v>
      </c>
      <c r="ES20" s="231">
        <v>147063</v>
      </c>
      <c r="ET20" s="231">
        <v>976364</v>
      </c>
      <c r="EU20" s="231">
        <v>316147681</v>
      </c>
      <c r="EV20" s="231">
        <v>1466981</v>
      </c>
      <c r="EW20" s="231">
        <v>1478913</v>
      </c>
      <c r="EX20" s="231">
        <v>-11932</v>
      </c>
      <c r="EY20" s="229">
        <v>-8.0999999999999996E-3</v>
      </c>
      <c r="EZ20" s="229">
        <v>0.39129999999999998</v>
      </c>
      <c r="FA20" s="227" t="s">
        <v>556</v>
      </c>
      <c r="FB20" s="161">
        <f t="shared" si="0"/>
        <v>1484375</v>
      </c>
    </row>
    <row r="21" spans="1:158" ht="17.25" hidden="1" thickBot="1" x14ac:dyDescent="0.3">
      <c r="A21" s="226">
        <v>45940</v>
      </c>
      <c r="B21" s="227" t="s">
        <v>162</v>
      </c>
      <c r="C21" s="227" t="s">
        <v>174</v>
      </c>
      <c r="D21" s="228">
        <v>75</v>
      </c>
      <c r="E21" s="231">
        <v>8993.5</v>
      </c>
      <c r="F21" s="231">
        <v>8851</v>
      </c>
      <c r="G21" s="228">
        <v>142.5</v>
      </c>
      <c r="H21" s="229">
        <v>1.61E-2</v>
      </c>
      <c r="I21" s="231">
        <v>8946.5</v>
      </c>
      <c r="J21" s="231">
        <v>8810</v>
      </c>
      <c r="K21" s="228">
        <v>136.5</v>
      </c>
      <c r="L21" s="229">
        <v>1.55E-2</v>
      </c>
      <c r="M21" s="231">
        <v>8993.5</v>
      </c>
      <c r="N21" s="231">
        <v>8851</v>
      </c>
      <c r="O21" s="228">
        <v>142.5</v>
      </c>
      <c r="P21" s="229">
        <v>1.61E-2</v>
      </c>
      <c r="Q21" s="231">
        <v>9021.5</v>
      </c>
      <c r="R21" s="231">
        <v>8875.5</v>
      </c>
      <c r="S21" s="228">
        <v>146</v>
      </c>
      <c r="T21" s="229">
        <v>1.6400000000000001E-2</v>
      </c>
      <c r="U21" s="231">
        <v>9056</v>
      </c>
      <c r="V21" s="231">
        <v>8860</v>
      </c>
      <c r="W21" s="228">
        <v>196</v>
      </c>
      <c r="X21" s="229">
        <v>2.2100000000000002E-2</v>
      </c>
      <c r="Y21" s="228">
        <v>47</v>
      </c>
      <c r="Z21" s="228">
        <v>41</v>
      </c>
      <c r="AA21" s="228">
        <v>6</v>
      </c>
      <c r="AB21" s="229">
        <v>5.3E-3</v>
      </c>
      <c r="AC21" s="228">
        <v>47</v>
      </c>
      <c r="AD21" s="228">
        <v>41</v>
      </c>
      <c r="AE21" s="228">
        <v>6</v>
      </c>
      <c r="AF21" s="229">
        <v>5.3E-3</v>
      </c>
      <c r="AG21" s="228">
        <v>75</v>
      </c>
      <c r="AH21" s="228">
        <v>65.5</v>
      </c>
      <c r="AI21" s="228">
        <v>9.5</v>
      </c>
      <c r="AJ21" s="229">
        <v>8.3999999999999995E-3</v>
      </c>
      <c r="AK21" s="228">
        <v>109.5</v>
      </c>
      <c r="AL21" s="228">
        <v>50</v>
      </c>
      <c r="AM21" s="228">
        <v>59.5</v>
      </c>
      <c r="AN21" s="229">
        <v>1.2200000000000001E-2</v>
      </c>
      <c r="AO21" s="231">
        <v>8953.86</v>
      </c>
      <c r="AP21" s="231">
        <v>8969.58</v>
      </c>
      <c r="AQ21" s="228">
        <v>0</v>
      </c>
      <c r="AR21" s="230">
        <v>607725</v>
      </c>
      <c r="AS21" s="230">
        <v>333750</v>
      </c>
      <c r="AT21" s="230">
        <v>273975</v>
      </c>
      <c r="AU21" s="229">
        <v>0.82089999999999996</v>
      </c>
      <c r="AV21" s="230">
        <v>561975</v>
      </c>
      <c r="AW21" s="230">
        <v>311775</v>
      </c>
      <c r="AX21" s="230">
        <v>250200</v>
      </c>
      <c r="AY21" s="229">
        <v>0.80249999999999999</v>
      </c>
      <c r="AZ21" s="230">
        <v>37875</v>
      </c>
      <c r="BA21" s="230">
        <v>21600</v>
      </c>
      <c r="BB21" s="230">
        <v>16275</v>
      </c>
      <c r="BC21" s="229">
        <v>0.75349999999999995</v>
      </c>
      <c r="BD21" s="230">
        <v>7875</v>
      </c>
      <c r="BE21" s="228">
        <v>375</v>
      </c>
      <c r="BF21" s="230">
        <v>7500</v>
      </c>
      <c r="BG21" s="229">
        <v>20</v>
      </c>
      <c r="BH21" s="230">
        <v>3448350</v>
      </c>
      <c r="BI21" s="230">
        <v>1506375</v>
      </c>
      <c r="BJ21" s="230">
        <v>1941975</v>
      </c>
      <c r="BK21" s="229">
        <v>1.2891999999999999</v>
      </c>
      <c r="BL21" s="230">
        <v>1261800</v>
      </c>
      <c r="BM21" s="230">
        <v>735600</v>
      </c>
      <c r="BN21" s="230">
        <v>526200</v>
      </c>
      <c r="BO21" s="229">
        <v>0.71530000000000005</v>
      </c>
      <c r="BP21" s="230">
        <v>5317875</v>
      </c>
      <c r="BQ21" s="230">
        <v>2575725</v>
      </c>
      <c r="BR21" s="230">
        <v>2742150</v>
      </c>
      <c r="BS21" s="229">
        <v>1.0646</v>
      </c>
      <c r="BT21" s="230">
        <v>239842</v>
      </c>
      <c r="BU21" s="230">
        <v>222350</v>
      </c>
      <c r="BV21" s="230">
        <v>17492</v>
      </c>
      <c r="BW21" s="229">
        <v>7.8700000000000006E-2</v>
      </c>
      <c r="BX21" s="230">
        <v>3117975</v>
      </c>
      <c r="BY21" s="230">
        <v>3111300</v>
      </c>
      <c r="BZ21" s="230">
        <v>6675</v>
      </c>
      <c r="CA21" s="229">
        <v>2.0999999999999999E-3</v>
      </c>
      <c r="CB21" s="230">
        <v>3018375</v>
      </c>
      <c r="CC21" s="230">
        <v>3021300</v>
      </c>
      <c r="CD21" s="230">
        <v>-2925</v>
      </c>
      <c r="CE21" s="229">
        <v>-1E-3</v>
      </c>
      <c r="CF21" s="230">
        <v>88425</v>
      </c>
      <c r="CG21" s="230">
        <v>81450</v>
      </c>
      <c r="CH21" s="230">
        <v>6975</v>
      </c>
      <c r="CI21" s="229">
        <v>8.5599999999999996E-2</v>
      </c>
      <c r="CJ21" s="230">
        <v>11175</v>
      </c>
      <c r="CK21" s="230">
        <v>8550</v>
      </c>
      <c r="CL21" s="230">
        <v>2625</v>
      </c>
      <c r="CM21" s="229">
        <v>0.307</v>
      </c>
      <c r="CN21" s="230">
        <v>1573350</v>
      </c>
      <c r="CO21" s="230">
        <v>1622700</v>
      </c>
      <c r="CP21" s="230">
        <v>-49350</v>
      </c>
      <c r="CQ21" s="229">
        <v>-3.04E-2</v>
      </c>
      <c r="CR21" s="230">
        <v>1056450</v>
      </c>
      <c r="CS21" s="230">
        <v>944925</v>
      </c>
      <c r="CT21" s="230">
        <v>111525</v>
      </c>
      <c r="CU21" s="229">
        <v>0.11799999999999999</v>
      </c>
      <c r="CV21" s="230">
        <v>5747775</v>
      </c>
      <c r="CW21" s="230">
        <v>5678925</v>
      </c>
      <c r="CX21" s="230">
        <v>68850</v>
      </c>
      <c r="CY21" s="229">
        <v>1.21E-2</v>
      </c>
      <c r="CZ21" s="228">
        <v>24.57</v>
      </c>
      <c r="DA21" s="228">
        <v>24.4</v>
      </c>
      <c r="DB21" s="228">
        <v>0.17</v>
      </c>
      <c r="DC21" s="228">
        <v>0.17</v>
      </c>
      <c r="DD21" s="228">
        <v>30.65</v>
      </c>
      <c r="DE21" s="228">
        <v>30.65</v>
      </c>
      <c r="DF21" s="228">
        <v>-6.08</v>
      </c>
      <c r="DG21" s="228">
        <v>0</v>
      </c>
      <c r="DH21" s="228">
        <v>24.5</v>
      </c>
      <c r="DI21" s="228">
        <v>24.41</v>
      </c>
      <c r="DJ21" s="228">
        <v>0.09</v>
      </c>
      <c r="DK21" s="228">
        <v>0.09</v>
      </c>
      <c r="DL21" s="228">
        <v>24.77</v>
      </c>
      <c r="DM21" s="228">
        <v>24.39</v>
      </c>
      <c r="DN21" s="228">
        <v>0.38</v>
      </c>
      <c r="DO21" s="228">
        <v>0.38</v>
      </c>
      <c r="DP21" s="228">
        <v>0.67</v>
      </c>
      <c r="DQ21" s="228">
        <v>0.57999999999999996</v>
      </c>
      <c r="DR21" s="228">
        <v>0.09</v>
      </c>
      <c r="DS21" s="229">
        <v>0.1552</v>
      </c>
      <c r="DT21" s="231">
        <v>9000</v>
      </c>
      <c r="DU21" s="231">
        <v>8500</v>
      </c>
      <c r="DV21" s="228">
        <v>0.37</v>
      </c>
      <c r="DW21" s="228">
        <v>0.49</v>
      </c>
      <c r="DX21" s="228">
        <v>-0.12</v>
      </c>
      <c r="DY21" s="229">
        <v>-0.24490000000000001</v>
      </c>
      <c r="DZ21" s="229">
        <v>3.1899999999999998E-2</v>
      </c>
      <c r="EA21" s="230">
        <v>90000</v>
      </c>
      <c r="EB21" s="229">
        <v>3.0999999999999999E-3</v>
      </c>
      <c r="EC21" s="229">
        <v>3.1899999999999998E-2</v>
      </c>
      <c r="ED21" s="228">
        <v>15.72</v>
      </c>
      <c r="EE21" s="229">
        <v>1.8E-3</v>
      </c>
      <c r="EF21" s="230">
        <v>109474</v>
      </c>
      <c r="EG21" s="230">
        <v>108669</v>
      </c>
      <c r="EH21" s="229">
        <v>7.4000000000000003E-3</v>
      </c>
      <c r="EI21" s="229">
        <v>0.45639999999999997</v>
      </c>
      <c r="EJ21" s="231">
        <v>320590.55</v>
      </c>
      <c r="EK21" s="231">
        <v>110424.97</v>
      </c>
      <c r="EL21" s="231">
        <v>54426.66</v>
      </c>
      <c r="EM21" s="231">
        <v>7217</v>
      </c>
      <c r="EN21" s="231">
        <v>485442.18</v>
      </c>
      <c r="EO21" s="231">
        <v>231943.02</v>
      </c>
      <c r="EP21" s="231">
        <v>253499.16</v>
      </c>
      <c r="EQ21" s="229">
        <v>1.0929</v>
      </c>
      <c r="ER21" s="231">
        <v>145910</v>
      </c>
      <c r="ES21" s="231">
        <v>89660</v>
      </c>
      <c r="ET21" s="231">
        <v>280447</v>
      </c>
      <c r="EU21" s="231">
        <v>12547731</v>
      </c>
      <c r="EV21" s="231">
        <v>516017</v>
      </c>
      <c r="EW21" s="231">
        <v>505556</v>
      </c>
      <c r="EX21" s="231">
        <v>10461</v>
      </c>
      <c r="EY21" s="229">
        <v>2.07E-2</v>
      </c>
      <c r="EZ21" s="229">
        <v>0.45810000000000001</v>
      </c>
      <c r="FA21" s="227" t="s">
        <v>555</v>
      </c>
      <c r="FB21" s="161">
        <f t="shared" si="0"/>
        <v>99600</v>
      </c>
    </row>
    <row r="22" spans="1:158" ht="17.25" hidden="1" thickBot="1" x14ac:dyDescent="0.3">
      <c r="A22" s="226">
        <v>45940</v>
      </c>
      <c r="B22" s="227" t="s">
        <v>175</v>
      </c>
      <c r="C22" s="227" t="s">
        <v>176</v>
      </c>
      <c r="D22" s="228">
        <v>500</v>
      </c>
      <c r="E22" s="231">
        <v>2015.7</v>
      </c>
      <c r="F22" s="231">
        <v>2025.1</v>
      </c>
      <c r="G22" s="228">
        <v>-9.4</v>
      </c>
      <c r="H22" s="229">
        <v>-4.5999999999999999E-3</v>
      </c>
      <c r="I22" s="231">
        <v>2004.3</v>
      </c>
      <c r="J22" s="231">
        <v>2014.6</v>
      </c>
      <c r="K22" s="228">
        <v>-10.3</v>
      </c>
      <c r="L22" s="229">
        <v>-5.1000000000000004E-3</v>
      </c>
      <c r="M22" s="231">
        <v>2015.7</v>
      </c>
      <c r="N22" s="231">
        <v>2025.1</v>
      </c>
      <c r="O22" s="228">
        <v>-9.4</v>
      </c>
      <c r="P22" s="229">
        <v>-4.5999999999999999E-3</v>
      </c>
      <c r="Q22" s="231">
        <v>2026.7</v>
      </c>
      <c r="R22" s="231">
        <v>2036.5</v>
      </c>
      <c r="S22" s="228">
        <v>-9.8000000000000007</v>
      </c>
      <c r="T22" s="229">
        <v>-4.7999999999999996E-3</v>
      </c>
      <c r="U22" s="231">
        <v>2041.5</v>
      </c>
      <c r="V22" s="231">
        <v>2045.3</v>
      </c>
      <c r="W22" s="228">
        <v>-3.8</v>
      </c>
      <c r="X22" s="229">
        <v>-1.9E-3</v>
      </c>
      <c r="Y22" s="228">
        <v>11.4</v>
      </c>
      <c r="Z22" s="228">
        <v>10.5</v>
      </c>
      <c r="AA22" s="228">
        <v>0.9</v>
      </c>
      <c r="AB22" s="229">
        <v>5.7000000000000002E-3</v>
      </c>
      <c r="AC22" s="228">
        <v>11.4</v>
      </c>
      <c r="AD22" s="228">
        <v>10.5</v>
      </c>
      <c r="AE22" s="228">
        <v>0.9</v>
      </c>
      <c r="AF22" s="229">
        <v>5.7000000000000002E-3</v>
      </c>
      <c r="AG22" s="228">
        <v>22.4</v>
      </c>
      <c r="AH22" s="228">
        <v>21.9</v>
      </c>
      <c r="AI22" s="228">
        <v>0.5</v>
      </c>
      <c r="AJ22" s="229">
        <v>1.12E-2</v>
      </c>
      <c r="AK22" s="228">
        <v>37.200000000000003</v>
      </c>
      <c r="AL22" s="228">
        <v>30.7</v>
      </c>
      <c r="AM22" s="228">
        <v>6.5</v>
      </c>
      <c r="AN22" s="229">
        <v>1.8599999999999998E-2</v>
      </c>
      <c r="AO22" s="231">
        <v>2021.73</v>
      </c>
      <c r="AP22" s="231">
        <v>2035.43</v>
      </c>
      <c r="AQ22" s="228">
        <v>0</v>
      </c>
      <c r="AR22" s="230">
        <v>1161500</v>
      </c>
      <c r="AS22" s="230">
        <v>931500</v>
      </c>
      <c r="AT22" s="230">
        <v>230000</v>
      </c>
      <c r="AU22" s="229">
        <v>0.24690000000000001</v>
      </c>
      <c r="AV22" s="230">
        <v>1040500</v>
      </c>
      <c r="AW22" s="230">
        <v>863000</v>
      </c>
      <c r="AX22" s="230">
        <v>177500</v>
      </c>
      <c r="AY22" s="229">
        <v>0.20569999999999999</v>
      </c>
      <c r="AZ22" s="230">
        <v>101000</v>
      </c>
      <c r="BA22" s="230">
        <v>65000</v>
      </c>
      <c r="BB22" s="230">
        <v>36000</v>
      </c>
      <c r="BC22" s="229">
        <v>0.55379999999999996</v>
      </c>
      <c r="BD22" s="230">
        <v>20000</v>
      </c>
      <c r="BE22" s="230">
        <v>3500</v>
      </c>
      <c r="BF22" s="230">
        <v>16500</v>
      </c>
      <c r="BG22" s="229">
        <v>4.7142999999999997</v>
      </c>
      <c r="BH22" s="230">
        <v>3517500</v>
      </c>
      <c r="BI22" s="230">
        <v>2611500</v>
      </c>
      <c r="BJ22" s="230">
        <v>906000</v>
      </c>
      <c r="BK22" s="229">
        <v>0.34689999999999999</v>
      </c>
      <c r="BL22" s="230">
        <v>1786000</v>
      </c>
      <c r="BM22" s="230">
        <v>1728000</v>
      </c>
      <c r="BN22" s="230">
        <v>58000</v>
      </c>
      <c r="BO22" s="229">
        <v>3.3599999999999998E-2</v>
      </c>
      <c r="BP22" s="230">
        <v>6465000</v>
      </c>
      <c r="BQ22" s="230">
        <v>5271000</v>
      </c>
      <c r="BR22" s="230">
        <v>1194000</v>
      </c>
      <c r="BS22" s="229">
        <v>0.22650000000000001</v>
      </c>
      <c r="BT22" s="230">
        <v>790184</v>
      </c>
      <c r="BU22" s="230">
        <v>451880</v>
      </c>
      <c r="BV22" s="230">
        <v>338304</v>
      </c>
      <c r="BW22" s="229">
        <v>0.74870000000000003</v>
      </c>
      <c r="BX22" s="230">
        <v>17912500</v>
      </c>
      <c r="BY22" s="230">
        <v>17657000</v>
      </c>
      <c r="BZ22" s="230">
        <v>255500</v>
      </c>
      <c r="CA22" s="229">
        <v>1.4500000000000001E-2</v>
      </c>
      <c r="CB22" s="230">
        <v>17656000</v>
      </c>
      <c r="CC22" s="230">
        <v>17449000</v>
      </c>
      <c r="CD22" s="230">
        <v>207000</v>
      </c>
      <c r="CE22" s="229">
        <v>1.1900000000000001E-2</v>
      </c>
      <c r="CF22" s="230">
        <v>225000</v>
      </c>
      <c r="CG22" s="230">
        <v>194000</v>
      </c>
      <c r="CH22" s="230">
        <v>31000</v>
      </c>
      <c r="CI22" s="229">
        <v>0.1598</v>
      </c>
      <c r="CJ22" s="230">
        <v>31500</v>
      </c>
      <c r="CK22" s="230">
        <v>14000</v>
      </c>
      <c r="CL22" s="230">
        <v>17500</v>
      </c>
      <c r="CM22" s="229">
        <v>1.25</v>
      </c>
      <c r="CN22" s="230">
        <v>5087000</v>
      </c>
      <c r="CO22" s="230">
        <v>4774500</v>
      </c>
      <c r="CP22" s="230">
        <v>312500</v>
      </c>
      <c r="CQ22" s="229">
        <v>6.5500000000000003E-2</v>
      </c>
      <c r="CR22" s="230">
        <v>3152500</v>
      </c>
      <c r="CS22" s="230">
        <v>3073000</v>
      </c>
      <c r="CT22" s="230">
        <v>79500</v>
      </c>
      <c r="CU22" s="229">
        <v>2.5899999999999999E-2</v>
      </c>
      <c r="CV22" s="230">
        <v>26152000</v>
      </c>
      <c r="CW22" s="230">
        <v>25504500</v>
      </c>
      <c r="CX22" s="230">
        <v>647500</v>
      </c>
      <c r="CY22" s="229">
        <v>2.5399999999999999E-2</v>
      </c>
      <c r="CZ22" s="228">
        <v>22.62</v>
      </c>
      <c r="DA22" s="228">
        <v>22.56</v>
      </c>
      <c r="DB22" s="228">
        <v>0.06</v>
      </c>
      <c r="DC22" s="228">
        <v>0.06</v>
      </c>
      <c r="DD22" s="228">
        <v>28.11</v>
      </c>
      <c r="DE22" s="228">
        <v>28.17</v>
      </c>
      <c r="DF22" s="228">
        <v>-5.49</v>
      </c>
      <c r="DG22" s="228">
        <v>-0.06</v>
      </c>
      <c r="DH22" s="228">
        <v>22.53</v>
      </c>
      <c r="DI22" s="228">
        <v>22.26</v>
      </c>
      <c r="DJ22" s="228">
        <v>0.27</v>
      </c>
      <c r="DK22" s="228">
        <v>0.27</v>
      </c>
      <c r="DL22" s="228">
        <v>22.79</v>
      </c>
      <c r="DM22" s="228">
        <v>23.02</v>
      </c>
      <c r="DN22" s="228">
        <v>-0.23</v>
      </c>
      <c r="DO22" s="228">
        <v>-0.23</v>
      </c>
      <c r="DP22" s="228">
        <v>0.62</v>
      </c>
      <c r="DQ22" s="228">
        <v>0.64</v>
      </c>
      <c r="DR22" s="228">
        <v>-0.02</v>
      </c>
      <c r="DS22" s="229">
        <v>-3.1300000000000001E-2</v>
      </c>
      <c r="DT22" s="231">
        <v>2080</v>
      </c>
      <c r="DU22" s="231">
        <v>1800</v>
      </c>
      <c r="DV22" s="228">
        <v>0.51</v>
      </c>
      <c r="DW22" s="228">
        <v>0.66</v>
      </c>
      <c r="DX22" s="228">
        <v>-0.15</v>
      </c>
      <c r="DY22" s="229">
        <v>-0.2273</v>
      </c>
      <c r="DZ22" s="229">
        <v>1.43E-2</v>
      </c>
      <c r="EA22" s="230">
        <v>208000</v>
      </c>
      <c r="EB22" s="229">
        <v>5.4999999999999997E-3</v>
      </c>
      <c r="EC22" s="229">
        <v>1.43E-2</v>
      </c>
      <c r="ED22" s="228">
        <v>13.7</v>
      </c>
      <c r="EE22" s="229">
        <v>6.7999999999999996E-3</v>
      </c>
      <c r="EF22" s="230">
        <v>536869</v>
      </c>
      <c r="EG22" s="230">
        <v>229781</v>
      </c>
      <c r="EH22" s="229">
        <v>1.3364</v>
      </c>
      <c r="EI22" s="229">
        <v>0.6794</v>
      </c>
      <c r="EJ22" s="231">
        <v>73584.27</v>
      </c>
      <c r="EK22" s="231">
        <v>35908.75</v>
      </c>
      <c r="EL22" s="231">
        <v>23501.42</v>
      </c>
      <c r="EM22" s="231">
        <v>2607</v>
      </c>
      <c r="EN22" s="231">
        <v>132994.44</v>
      </c>
      <c r="EO22" s="231">
        <v>108347.34</v>
      </c>
      <c r="EP22" s="231">
        <v>24647.1</v>
      </c>
      <c r="EQ22" s="229">
        <v>0.22750000000000001</v>
      </c>
      <c r="ER22" s="231">
        <v>107113</v>
      </c>
      <c r="ES22" s="231">
        <v>60279</v>
      </c>
      <c r="ET22" s="231">
        <v>361095</v>
      </c>
      <c r="EU22" s="231">
        <v>65659712</v>
      </c>
      <c r="EV22" s="231">
        <v>528487</v>
      </c>
      <c r="EW22" s="231">
        <v>516973</v>
      </c>
      <c r="EX22" s="231">
        <v>11514</v>
      </c>
      <c r="EY22" s="229">
        <v>2.23E-2</v>
      </c>
      <c r="EZ22" s="229">
        <v>0.39829999999999999</v>
      </c>
      <c r="FA22" s="227" t="s">
        <v>567</v>
      </c>
      <c r="FB22" s="161">
        <f t="shared" si="0"/>
        <v>256500</v>
      </c>
    </row>
    <row r="23" spans="1:158" ht="17.25" hidden="1" thickBot="1" x14ac:dyDescent="0.3">
      <c r="A23" s="226">
        <v>45940</v>
      </c>
      <c r="B23" s="227" t="s">
        <v>175</v>
      </c>
      <c r="C23" s="227" t="s">
        <v>177</v>
      </c>
      <c r="D23" s="228">
        <v>750</v>
      </c>
      <c r="E23" s="231">
        <v>1029.3</v>
      </c>
      <c r="F23" s="231">
        <v>1028.3499999999999</v>
      </c>
      <c r="G23" s="228">
        <v>0.95</v>
      </c>
      <c r="H23" s="229">
        <v>8.9999999999999998E-4</v>
      </c>
      <c r="I23" s="231">
        <v>1023.85</v>
      </c>
      <c r="J23" s="231">
        <v>1024.0999999999999</v>
      </c>
      <c r="K23" s="228">
        <v>-0.25</v>
      </c>
      <c r="L23" s="229">
        <v>-2.0000000000000001E-4</v>
      </c>
      <c r="M23" s="231">
        <v>1029.3</v>
      </c>
      <c r="N23" s="231">
        <v>1028.3499999999999</v>
      </c>
      <c r="O23" s="228">
        <v>0.95</v>
      </c>
      <c r="P23" s="229">
        <v>8.9999999999999998E-4</v>
      </c>
      <c r="Q23" s="231">
        <v>1034.8499999999999</v>
      </c>
      <c r="R23" s="231">
        <v>1033.5</v>
      </c>
      <c r="S23" s="228">
        <v>1.35</v>
      </c>
      <c r="T23" s="229">
        <v>1.2999999999999999E-3</v>
      </c>
      <c r="U23" s="231">
        <v>1040.75</v>
      </c>
      <c r="V23" s="231">
        <v>1039.3</v>
      </c>
      <c r="W23" s="228">
        <v>1.45</v>
      </c>
      <c r="X23" s="229">
        <v>1.4E-3</v>
      </c>
      <c r="Y23" s="228">
        <v>5.45</v>
      </c>
      <c r="Z23" s="228">
        <v>4.25</v>
      </c>
      <c r="AA23" s="228">
        <v>1.2</v>
      </c>
      <c r="AB23" s="229">
        <v>5.3E-3</v>
      </c>
      <c r="AC23" s="228">
        <v>5.45</v>
      </c>
      <c r="AD23" s="228">
        <v>4.25</v>
      </c>
      <c r="AE23" s="228">
        <v>1.2</v>
      </c>
      <c r="AF23" s="229">
        <v>5.3E-3</v>
      </c>
      <c r="AG23" s="228">
        <v>11</v>
      </c>
      <c r="AH23" s="228">
        <v>9.4</v>
      </c>
      <c r="AI23" s="228">
        <v>1.6</v>
      </c>
      <c r="AJ23" s="229">
        <v>1.0699999999999999E-2</v>
      </c>
      <c r="AK23" s="228">
        <v>16.899999999999999</v>
      </c>
      <c r="AL23" s="228">
        <v>15.2</v>
      </c>
      <c r="AM23" s="228">
        <v>1.7</v>
      </c>
      <c r="AN23" s="229">
        <v>1.6500000000000001E-2</v>
      </c>
      <c r="AO23" s="231">
        <v>1028.95</v>
      </c>
      <c r="AP23" s="231">
        <v>1034.33</v>
      </c>
      <c r="AQ23" s="228">
        <v>0</v>
      </c>
      <c r="AR23" s="230">
        <v>4181250</v>
      </c>
      <c r="AS23" s="230">
        <v>3951750</v>
      </c>
      <c r="AT23" s="230">
        <v>229500</v>
      </c>
      <c r="AU23" s="229">
        <v>5.8099999999999999E-2</v>
      </c>
      <c r="AV23" s="230">
        <v>3673500</v>
      </c>
      <c r="AW23" s="230">
        <v>3539250</v>
      </c>
      <c r="AX23" s="230">
        <v>134250</v>
      </c>
      <c r="AY23" s="229">
        <v>3.7900000000000003E-2</v>
      </c>
      <c r="AZ23" s="230">
        <v>394500</v>
      </c>
      <c r="BA23" s="230">
        <v>355500</v>
      </c>
      <c r="BB23" s="230">
        <v>39000</v>
      </c>
      <c r="BC23" s="229">
        <v>0.10970000000000001</v>
      </c>
      <c r="BD23" s="230">
        <v>113250</v>
      </c>
      <c r="BE23" s="230">
        <v>57000</v>
      </c>
      <c r="BF23" s="230">
        <v>56250</v>
      </c>
      <c r="BG23" s="229">
        <v>0.98680000000000001</v>
      </c>
      <c r="BH23" s="230">
        <v>16077000</v>
      </c>
      <c r="BI23" s="230">
        <v>11010000</v>
      </c>
      <c r="BJ23" s="230">
        <v>5067000</v>
      </c>
      <c r="BK23" s="229">
        <v>0.4602</v>
      </c>
      <c r="BL23" s="230">
        <v>7588500</v>
      </c>
      <c r="BM23" s="230">
        <v>8331000</v>
      </c>
      <c r="BN23" s="230">
        <v>-742500</v>
      </c>
      <c r="BO23" s="229">
        <v>-8.9099999999999999E-2</v>
      </c>
      <c r="BP23" s="230">
        <v>27846750</v>
      </c>
      <c r="BQ23" s="230">
        <v>23292750</v>
      </c>
      <c r="BR23" s="230">
        <v>4554000</v>
      </c>
      <c r="BS23" s="229">
        <v>0.19550000000000001</v>
      </c>
      <c r="BT23" s="230">
        <v>3901889</v>
      </c>
      <c r="BU23" s="230">
        <v>5050158</v>
      </c>
      <c r="BV23" s="230">
        <v>-1148269</v>
      </c>
      <c r="BW23" s="229">
        <v>-0.22739999999999999</v>
      </c>
      <c r="BX23" s="230">
        <v>91342500</v>
      </c>
      <c r="BY23" s="230">
        <v>91200000</v>
      </c>
      <c r="BZ23" s="230">
        <v>142500</v>
      </c>
      <c r="CA23" s="229">
        <v>1.6000000000000001E-3</v>
      </c>
      <c r="CB23" s="230">
        <v>89922000</v>
      </c>
      <c r="CC23" s="230">
        <v>89942250</v>
      </c>
      <c r="CD23" s="230">
        <v>-20250</v>
      </c>
      <c r="CE23" s="229">
        <v>-2.0000000000000001E-4</v>
      </c>
      <c r="CF23" s="230">
        <v>1245000</v>
      </c>
      <c r="CG23" s="230">
        <v>1153500</v>
      </c>
      <c r="CH23" s="230">
        <v>91500</v>
      </c>
      <c r="CI23" s="229">
        <v>7.9299999999999995E-2</v>
      </c>
      <c r="CJ23" s="230">
        <v>175500</v>
      </c>
      <c r="CK23" s="230">
        <v>104250</v>
      </c>
      <c r="CL23" s="230">
        <v>71250</v>
      </c>
      <c r="CM23" s="229">
        <v>0.6835</v>
      </c>
      <c r="CN23" s="230">
        <v>18580500</v>
      </c>
      <c r="CO23" s="230">
        <v>17291250</v>
      </c>
      <c r="CP23" s="230">
        <v>1289250</v>
      </c>
      <c r="CQ23" s="229">
        <v>7.46E-2</v>
      </c>
      <c r="CR23" s="230">
        <v>13308750</v>
      </c>
      <c r="CS23" s="230">
        <v>12934500</v>
      </c>
      <c r="CT23" s="230">
        <v>374250</v>
      </c>
      <c r="CU23" s="229">
        <v>2.8899999999999999E-2</v>
      </c>
      <c r="CV23" s="230">
        <v>123231750</v>
      </c>
      <c r="CW23" s="230">
        <v>121425750</v>
      </c>
      <c r="CX23" s="230">
        <v>1806000</v>
      </c>
      <c r="CY23" s="229">
        <v>1.49E-2</v>
      </c>
      <c r="CZ23" s="228">
        <v>25.98</v>
      </c>
      <c r="DA23" s="228">
        <v>25.27</v>
      </c>
      <c r="DB23" s="228">
        <v>0.71</v>
      </c>
      <c r="DC23" s="228">
        <v>0.71</v>
      </c>
      <c r="DD23" s="228">
        <v>31.11</v>
      </c>
      <c r="DE23" s="228">
        <v>31.19</v>
      </c>
      <c r="DF23" s="228">
        <v>-5.13</v>
      </c>
      <c r="DG23" s="228">
        <v>-0.08</v>
      </c>
      <c r="DH23" s="228">
        <v>25.71</v>
      </c>
      <c r="DI23" s="228">
        <v>24.93</v>
      </c>
      <c r="DJ23" s="228">
        <v>0.78</v>
      </c>
      <c r="DK23" s="228">
        <v>0.78</v>
      </c>
      <c r="DL23" s="228">
        <v>26.55</v>
      </c>
      <c r="DM23" s="228">
        <v>25.73</v>
      </c>
      <c r="DN23" s="228">
        <v>0.82</v>
      </c>
      <c r="DO23" s="228">
        <v>0.82</v>
      </c>
      <c r="DP23" s="228">
        <v>0.72</v>
      </c>
      <c r="DQ23" s="228">
        <v>0.75</v>
      </c>
      <c r="DR23" s="228">
        <v>-0.03</v>
      </c>
      <c r="DS23" s="229">
        <v>-0.04</v>
      </c>
      <c r="DT23" s="231">
        <v>1020</v>
      </c>
      <c r="DU23" s="231">
        <v>1020</v>
      </c>
      <c r="DV23" s="228">
        <v>0.47</v>
      </c>
      <c r="DW23" s="228">
        <v>0.76</v>
      </c>
      <c r="DX23" s="228">
        <v>-0.28999999999999998</v>
      </c>
      <c r="DY23" s="229">
        <v>-0.38159999999999999</v>
      </c>
      <c r="DZ23" s="229">
        <v>1.5599999999999999E-2</v>
      </c>
      <c r="EA23" s="230">
        <v>1257750</v>
      </c>
      <c r="EB23" s="229">
        <v>5.4000000000000003E-3</v>
      </c>
      <c r="EC23" s="229">
        <v>1.5599999999999999E-2</v>
      </c>
      <c r="ED23" s="228">
        <v>5.38</v>
      </c>
      <c r="EE23" s="229">
        <v>5.1999999999999998E-3</v>
      </c>
      <c r="EF23" s="230">
        <v>2225878</v>
      </c>
      <c r="EG23" s="230">
        <v>2322329</v>
      </c>
      <c r="EH23" s="229">
        <v>-4.1500000000000002E-2</v>
      </c>
      <c r="EI23" s="229">
        <v>0.57050000000000001</v>
      </c>
      <c r="EJ23" s="231">
        <v>170924.25</v>
      </c>
      <c r="EK23" s="231">
        <v>76984.87</v>
      </c>
      <c r="EL23" s="231">
        <v>43057.97</v>
      </c>
      <c r="EM23" s="231">
        <v>11215</v>
      </c>
      <c r="EN23" s="231">
        <v>290967.09000000003</v>
      </c>
      <c r="EO23" s="231">
        <v>241873.62</v>
      </c>
      <c r="EP23" s="231">
        <v>49093.47</v>
      </c>
      <c r="EQ23" s="229">
        <v>0.20300000000000001</v>
      </c>
      <c r="ER23" s="231">
        <v>194814</v>
      </c>
      <c r="ES23" s="231">
        <v>129265</v>
      </c>
      <c r="ET23" s="231">
        <v>940278</v>
      </c>
      <c r="EU23" s="231">
        <v>281116345</v>
      </c>
      <c r="EV23" s="231">
        <v>1264357</v>
      </c>
      <c r="EW23" s="231">
        <v>1244855</v>
      </c>
      <c r="EX23" s="231">
        <v>19502</v>
      </c>
      <c r="EY23" s="229">
        <v>1.5699999999999999E-2</v>
      </c>
      <c r="EZ23" s="229">
        <v>0.43840000000000001</v>
      </c>
      <c r="FA23" s="227" t="s">
        <v>555</v>
      </c>
      <c r="FB23" s="161">
        <f t="shared" si="0"/>
        <v>1420500</v>
      </c>
    </row>
    <row r="24" spans="1:158" ht="17.25" hidden="1" thickBot="1" x14ac:dyDescent="0.3">
      <c r="A24" s="226">
        <v>45940</v>
      </c>
      <c r="B24" s="227" t="s">
        <v>172</v>
      </c>
      <c r="C24" s="227" t="s">
        <v>179</v>
      </c>
      <c r="D24" s="228">
        <v>3600</v>
      </c>
      <c r="E24" s="228">
        <v>170.24</v>
      </c>
      <c r="F24" s="228">
        <v>164.19</v>
      </c>
      <c r="G24" s="228">
        <v>6.05</v>
      </c>
      <c r="H24" s="229">
        <v>3.6799999999999999E-2</v>
      </c>
      <c r="I24" s="228">
        <v>169.32</v>
      </c>
      <c r="J24" s="228">
        <v>163.30000000000001</v>
      </c>
      <c r="K24" s="228">
        <v>6.02</v>
      </c>
      <c r="L24" s="229">
        <v>3.6900000000000002E-2</v>
      </c>
      <c r="M24" s="228">
        <v>170.24</v>
      </c>
      <c r="N24" s="228">
        <v>164.19</v>
      </c>
      <c r="O24" s="228">
        <v>6.05</v>
      </c>
      <c r="P24" s="229">
        <v>3.6799999999999999E-2</v>
      </c>
      <c r="Q24" s="228">
        <v>171.02</v>
      </c>
      <c r="R24" s="228">
        <v>165.11</v>
      </c>
      <c r="S24" s="228">
        <v>5.91</v>
      </c>
      <c r="T24" s="229">
        <v>3.5799999999999998E-2</v>
      </c>
      <c r="U24" s="228">
        <v>171.89</v>
      </c>
      <c r="V24" s="228">
        <v>166.01</v>
      </c>
      <c r="W24" s="228">
        <v>5.88</v>
      </c>
      <c r="X24" s="229">
        <v>3.5400000000000001E-2</v>
      </c>
      <c r="Y24" s="228">
        <v>0.92</v>
      </c>
      <c r="Z24" s="228">
        <v>0.89</v>
      </c>
      <c r="AA24" s="228">
        <v>0.03</v>
      </c>
      <c r="AB24" s="229">
        <v>5.4000000000000003E-3</v>
      </c>
      <c r="AC24" s="228">
        <v>0.92</v>
      </c>
      <c r="AD24" s="228">
        <v>0.89</v>
      </c>
      <c r="AE24" s="228">
        <v>0.03</v>
      </c>
      <c r="AF24" s="229">
        <v>5.4000000000000003E-3</v>
      </c>
      <c r="AG24" s="228">
        <v>1.7</v>
      </c>
      <c r="AH24" s="228">
        <v>1.81</v>
      </c>
      <c r="AI24" s="228">
        <v>-0.11</v>
      </c>
      <c r="AJ24" s="229">
        <v>0.01</v>
      </c>
      <c r="AK24" s="228">
        <v>2.57</v>
      </c>
      <c r="AL24" s="228">
        <v>2.71</v>
      </c>
      <c r="AM24" s="228">
        <v>-0.14000000000000001</v>
      </c>
      <c r="AN24" s="229">
        <v>1.52E-2</v>
      </c>
      <c r="AO24" s="228">
        <v>168.27</v>
      </c>
      <c r="AP24" s="228">
        <v>168.73</v>
      </c>
      <c r="AQ24" s="228">
        <v>0</v>
      </c>
      <c r="AR24" s="230">
        <v>28461600</v>
      </c>
      <c r="AS24" s="230">
        <v>11052000</v>
      </c>
      <c r="AT24" s="230">
        <v>17409600</v>
      </c>
      <c r="AU24" s="229">
        <v>1.5751999999999999</v>
      </c>
      <c r="AV24" s="230">
        <v>25552800</v>
      </c>
      <c r="AW24" s="230">
        <v>9853200</v>
      </c>
      <c r="AX24" s="230">
        <v>15699600</v>
      </c>
      <c r="AY24" s="229">
        <v>1.5933999999999999</v>
      </c>
      <c r="AZ24" s="230">
        <v>2584800</v>
      </c>
      <c r="BA24" s="230">
        <v>1087200</v>
      </c>
      <c r="BB24" s="230">
        <v>1497600</v>
      </c>
      <c r="BC24" s="229">
        <v>1.3774999999999999</v>
      </c>
      <c r="BD24" s="230">
        <v>324000</v>
      </c>
      <c r="BE24" s="230">
        <v>111600</v>
      </c>
      <c r="BF24" s="230">
        <v>212400</v>
      </c>
      <c r="BG24" s="229">
        <v>1.9032</v>
      </c>
      <c r="BH24" s="230">
        <v>59752800</v>
      </c>
      <c r="BI24" s="230">
        <v>18194400</v>
      </c>
      <c r="BJ24" s="230">
        <v>41558400</v>
      </c>
      <c r="BK24" s="229">
        <v>2.2841</v>
      </c>
      <c r="BL24" s="230">
        <v>29030400</v>
      </c>
      <c r="BM24" s="230">
        <v>7318800</v>
      </c>
      <c r="BN24" s="230">
        <v>21711600</v>
      </c>
      <c r="BO24" s="229">
        <v>2.9666000000000001</v>
      </c>
      <c r="BP24" s="230">
        <v>117244800</v>
      </c>
      <c r="BQ24" s="230">
        <v>36565200</v>
      </c>
      <c r="BR24" s="230">
        <v>80679600</v>
      </c>
      <c r="BS24" s="229">
        <v>2.2065000000000001</v>
      </c>
      <c r="BT24" s="230">
        <v>10977244</v>
      </c>
      <c r="BU24" s="230">
        <v>4867413</v>
      </c>
      <c r="BV24" s="230">
        <v>6109831</v>
      </c>
      <c r="BW24" s="229">
        <v>1.2553000000000001</v>
      </c>
      <c r="BX24" s="230">
        <v>96710400</v>
      </c>
      <c r="BY24" s="230">
        <v>97498800</v>
      </c>
      <c r="BZ24" s="230">
        <v>-788400</v>
      </c>
      <c r="CA24" s="229">
        <v>-8.0999999999999996E-3</v>
      </c>
      <c r="CB24" s="230">
        <v>90586800</v>
      </c>
      <c r="CC24" s="230">
        <v>91245600</v>
      </c>
      <c r="CD24" s="230">
        <v>-658800</v>
      </c>
      <c r="CE24" s="229">
        <v>-7.1999999999999998E-3</v>
      </c>
      <c r="CF24" s="230">
        <v>5598000</v>
      </c>
      <c r="CG24" s="230">
        <v>5770800</v>
      </c>
      <c r="CH24" s="230">
        <v>-172800</v>
      </c>
      <c r="CI24" s="229">
        <v>-2.9899999999999999E-2</v>
      </c>
      <c r="CJ24" s="230">
        <v>525600</v>
      </c>
      <c r="CK24" s="230">
        <v>482400</v>
      </c>
      <c r="CL24" s="230">
        <v>43200</v>
      </c>
      <c r="CM24" s="229">
        <v>8.9599999999999999E-2</v>
      </c>
      <c r="CN24" s="230">
        <v>31734000</v>
      </c>
      <c r="CO24" s="230">
        <v>31129200</v>
      </c>
      <c r="CP24" s="230">
        <v>604800</v>
      </c>
      <c r="CQ24" s="229">
        <v>1.9400000000000001E-2</v>
      </c>
      <c r="CR24" s="230">
        <v>26917200</v>
      </c>
      <c r="CS24" s="230">
        <v>25455600</v>
      </c>
      <c r="CT24" s="230">
        <v>1461600</v>
      </c>
      <c r="CU24" s="229">
        <v>5.74E-2</v>
      </c>
      <c r="CV24" s="230">
        <v>155361600</v>
      </c>
      <c r="CW24" s="230">
        <v>154083600</v>
      </c>
      <c r="CX24" s="230">
        <v>1278000</v>
      </c>
      <c r="CY24" s="229">
        <v>8.3000000000000001E-3</v>
      </c>
      <c r="CZ24" s="228">
        <v>35.71</v>
      </c>
      <c r="DA24" s="228">
        <v>35.590000000000003</v>
      </c>
      <c r="DB24" s="228">
        <v>0.12</v>
      </c>
      <c r="DC24" s="228">
        <v>0.12</v>
      </c>
      <c r="DD24" s="228">
        <v>42.14</v>
      </c>
      <c r="DE24" s="228">
        <v>41.96</v>
      </c>
      <c r="DF24" s="228">
        <v>-6.43</v>
      </c>
      <c r="DG24" s="228">
        <v>0.18</v>
      </c>
      <c r="DH24" s="228">
        <v>35.18</v>
      </c>
      <c r="DI24" s="228">
        <v>35.51</v>
      </c>
      <c r="DJ24" s="228">
        <v>-0.33</v>
      </c>
      <c r="DK24" s="228">
        <v>-0.33</v>
      </c>
      <c r="DL24" s="228">
        <v>36.79</v>
      </c>
      <c r="DM24" s="228">
        <v>35.79</v>
      </c>
      <c r="DN24" s="228">
        <v>1</v>
      </c>
      <c r="DO24" s="228">
        <v>1</v>
      </c>
      <c r="DP24" s="228">
        <v>0.85</v>
      </c>
      <c r="DQ24" s="228">
        <v>0.82</v>
      </c>
      <c r="DR24" s="228">
        <v>0.03</v>
      </c>
      <c r="DS24" s="229">
        <v>3.6600000000000001E-2</v>
      </c>
      <c r="DT24" s="228">
        <v>170</v>
      </c>
      <c r="DU24" s="228">
        <v>150</v>
      </c>
      <c r="DV24" s="228">
        <v>0.49</v>
      </c>
      <c r="DW24" s="228">
        <v>0.4</v>
      </c>
      <c r="DX24" s="228">
        <v>0.09</v>
      </c>
      <c r="DY24" s="229">
        <v>0.22500000000000001</v>
      </c>
      <c r="DZ24" s="229">
        <v>6.3299999999999995E-2</v>
      </c>
      <c r="EA24" s="230">
        <v>6253200</v>
      </c>
      <c r="EB24" s="229">
        <v>4.5999999999999999E-3</v>
      </c>
      <c r="EC24" s="229">
        <v>6.3299999999999995E-2</v>
      </c>
      <c r="ED24" s="228">
        <v>0.46</v>
      </c>
      <c r="EE24" s="229">
        <v>2.7000000000000001E-3</v>
      </c>
      <c r="EF24" s="230">
        <v>5295362</v>
      </c>
      <c r="EG24" s="230">
        <v>2213822</v>
      </c>
      <c r="EH24" s="229">
        <v>1.3919999999999999</v>
      </c>
      <c r="EI24" s="229">
        <v>0.4824</v>
      </c>
      <c r="EJ24" s="231">
        <v>105062.94</v>
      </c>
      <c r="EK24" s="231">
        <v>47705.4</v>
      </c>
      <c r="EL24" s="231">
        <v>47908.09</v>
      </c>
      <c r="EM24" s="231">
        <v>4258</v>
      </c>
      <c r="EN24" s="231">
        <v>200676.43</v>
      </c>
      <c r="EO24" s="231">
        <v>61088.38</v>
      </c>
      <c r="EP24" s="231">
        <v>139588.04999999999</v>
      </c>
      <c r="EQ24" s="229">
        <v>2.2850000000000001</v>
      </c>
      <c r="ER24" s="231">
        <v>54607</v>
      </c>
      <c r="ES24" s="231">
        <v>42830</v>
      </c>
      <c r="ET24" s="231">
        <v>164692</v>
      </c>
      <c r="EU24" s="231">
        <v>142752962</v>
      </c>
      <c r="EV24" s="231">
        <v>262129</v>
      </c>
      <c r="EW24" s="231">
        <v>253646</v>
      </c>
      <c r="EX24" s="231">
        <v>8483</v>
      </c>
      <c r="EY24" s="229">
        <v>3.3399999999999999E-2</v>
      </c>
      <c r="EZ24" s="229">
        <v>1.0883</v>
      </c>
      <c r="FA24" s="227" t="s">
        <v>556</v>
      </c>
      <c r="FB24" s="161">
        <f t="shared" si="0"/>
        <v>6123600</v>
      </c>
    </row>
    <row r="25" spans="1:158" ht="17.25" hidden="1" thickBot="1" x14ac:dyDescent="0.3">
      <c r="A25" s="226">
        <v>45940</v>
      </c>
      <c r="B25" s="227" t="s">
        <v>172</v>
      </c>
      <c r="C25" s="227" t="s">
        <v>180</v>
      </c>
      <c r="D25" s="228">
        <v>2925</v>
      </c>
      <c r="E25" s="228">
        <v>267.64999999999998</v>
      </c>
      <c r="F25" s="228">
        <v>264.95</v>
      </c>
      <c r="G25" s="228">
        <v>2.7</v>
      </c>
      <c r="H25" s="229">
        <v>1.0200000000000001E-2</v>
      </c>
      <c r="I25" s="228">
        <v>266.95</v>
      </c>
      <c r="J25" s="228">
        <v>264.14999999999998</v>
      </c>
      <c r="K25" s="228">
        <v>2.8</v>
      </c>
      <c r="L25" s="229">
        <v>1.06E-2</v>
      </c>
      <c r="M25" s="228">
        <v>267.64999999999998</v>
      </c>
      <c r="N25" s="228">
        <v>264.95</v>
      </c>
      <c r="O25" s="228">
        <v>2.7</v>
      </c>
      <c r="P25" s="229">
        <v>1.0200000000000001E-2</v>
      </c>
      <c r="Q25" s="228">
        <v>269.10000000000002</v>
      </c>
      <c r="R25" s="228">
        <v>266.25</v>
      </c>
      <c r="S25" s="228">
        <v>2.85</v>
      </c>
      <c r="T25" s="229">
        <v>1.0699999999999999E-2</v>
      </c>
      <c r="U25" s="228">
        <v>270.85000000000002</v>
      </c>
      <c r="V25" s="228">
        <v>268</v>
      </c>
      <c r="W25" s="228">
        <v>2.85</v>
      </c>
      <c r="X25" s="229">
        <v>1.06E-2</v>
      </c>
      <c r="Y25" s="228">
        <v>0.7</v>
      </c>
      <c r="Z25" s="228">
        <v>0.8</v>
      </c>
      <c r="AA25" s="228">
        <v>-0.1</v>
      </c>
      <c r="AB25" s="229">
        <v>2.5999999999999999E-3</v>
      </c>
      <c r="AC25" s="228">
        <v>0.7</v>
      </c>
      <c r="AD25" s="228">
        <v>0.8</v>
      </c>
      <c r="AE25" s="228">
        <v>-0.1</v>
      </c>
      <c r="AF25" s="229">
        <v>2.5999999999999999E-3</v>
      </c>
      <c r="AG25" s="228">
        <v>2.15</v>
      </c>
      <c r="AH25" s="228">
        <v>2.1</v>
      </c>
      <c r="AI25" s="228">
        <v>0.05</v>
      </c>
      <c r="AJ25" s="229">
        <v>8.0999999999999996E-3</v>
      </c>
      <c r="AK25" s="228">
        <v>3.9</v>
      </c>
      <c r="AL25" s="228">
        <v>3.85</v>
      </c>
      <c r="AM25" s="228">
        <v>0.05</v>
      </c>
      <c r="AN25" s="229">
        <v>1.46E-2</v>
      </c>
      <c r="AO25" s="228">
        <v>267.89</v>
      </c>
      <c r="AP25" s="228">
        <v>269.07</v>
      </c>
      <c r="AQ25" s="228">
        <v>0</v>
      </c>
      <c r="AR25" s="230">
        <v>23078250</v>
      </c>
      <c r="AS25" s="230">
        <v>16850925</v>
      </c>
      <c r="AT25" s="230">
        <v>6227325</v>
      </c>
      <c r="AU25" s="229">
        <v>0.36959999999999998</v>
      </c>
      <c r="AV25" s="230">
        <v>21469500</v>
      </c>
      <c r="AW25" s="230">
        <v>16186950</v>
      </c>
      <c r="AX25" s="230">
        <v>5282550</v>
      </c>
      <c r="AY25" s="229">
        <v>0.32629999999999998</v>
      </c>
      <c r="AZ25" s="230">
        <v>1494675</v>
      </c>
      <c r="BA25" s="230">
        <v>596700</v>
      </c>
      <c r="BB25" s="230">
        <v>897975</v>
      </c>
      <c r="BC25" s="229">
        <v>1.5048999999999999</v>
      </c>
      <c r="BD25" s="230">
        <v>114075</v>
      </c>
      <c r="BE25" s="230">
        <v>67275</v>
      </c>
      <c r="BF25" s="230">
        <v>46800</v>
      </c>
      <c r="BG25" s="229">
        <v>0.69569999999999999</v>
      </c>
      <c r="BH25" s="230">
        <v>81487575</v>
      </c>
      <c r="BI25" s="230">
        <v>43231500</v>
      </c>
      <c r="BJ25" s="230">
        <v>38256075</v>
      </c>
      <c r="BK25" s="229">
        <v>0.88490000000000002</v>
      </c>
      <c r="BL25" s="230">
        <v>33748650</v>
      </c>
      <c r="BM25" s="230">
        <v>19498050</v>
      </c>
      <c r="BN25" s="230">
        <v>14250600</v>
      </c>
      <c r="BO25" s="229">
        <v>0.73089999999999999</v>
      </c>
      <c r="BP25" s="230">
        <v>138314475</v>
      </c>
      <c r="BQ25" s="230">
        <v>79580475</v>
      </c>
      <c r="BR25" s="230">
        <v>58734000</v>
      </c>
      <c r="BS25" s="229">
        <v>0.73799999999999999</v>
      </c>
      <c r="BT25" s="230">
        <v>10278296</v>
      </c>
      <c r="BU25" s="230">
        <v>5584868</v>
      </c>
      <c r="BV25" s="230">
        <v>4693428</v>
      </c>
      <c r="BW25" s="229">
        <v>0.84040000000000004</v>
      </c>
      <c r="BX25" s="230">
        <v>127854675</v>
      </c>
      <c r="BY25" s="230">
        <v>129729600</v>
      </c>
      <c r="BZ25" s="230">
        <v>-1874925</v>
      </c>
      <c r="CA25" s="229">
        <v>-1.4500000000000001E-2</v>
      </c>
      <c r="CB25" s="230">
        <v>125377200</v>
      </c>
      <c r="CC25" s="230">
        <v>127284300</v>
      </c>
      <c r="CD25" s="230">
        <v>-1907100</v>
      </c>
      <c r="CE25" s="229">
        <v>-1.4999999999999999E-2</v>
      </c>
      <c r="CF25" s="230">
        <v>2275650</v>
      </c>
      <c r="CG25" s="230">
        <v>2243475</v>
      </c>
      <c r="CH25" s="230">
        <v>32175</v>
      </c>
      <c r="CI25" s="229">
        <v>1.43E-2</v>
      </c>
      <c r="CJ25" s="230">
        <v>201825</v>
      </c>
      <c r="CK25" s="230">
        <v>201825</v>
      </c>
      <c r="CL25" s="228">
        <v>0</v>
      </c>
      <c r="CM25" s="229">
        <v>0</v>
      </c>
      <c r="CN25" s="230">
        <v>42005925</v>
      </c>
      <c r="CO25" s="230">
        <v>41061150</v>
      </c>
      <c r="CP25" s="230">
        <v>944775</v>
      </c>
      <c r="CQ25" s="229">
        <v>2.3E-2</v>
      </c>
      <c r="CR25" s="230">
        <v>32169150</v>
      </c>
      <c r="CS25" s="230">
        <v>31449600</v>
      </c>
      <c r="CT25" s="230">
        <v>719550</v>
      </c>
      <c r="CU25" s="229">
        <v>2.29E-2</v>
      </c>
      <c r="CV25" s="230">
        <v>202029750</v>
      </c>
      <c r="CW25" s="230">
        <v>202240350</v>
      </c>
      <c r="CX25" s="230">
        <v>-210600</v>
      </c>
      <c r="CY25" s="229">
        <v>-1E-3</v>
      </c>
      <c r="CZ25" s="228">
        <v>26.2</v>
      </c>
      <c r="DA25" s="228">
        <v>26.44</v>
      </c>
      <c r="DB25" s="228">
        <v>-0.24</v>
      </c>
      <c r="DC25" s="228">
        <v>-0.24</v>
      </c>
      <c r="DD25" s="228">
        <v>35.58</v>
      </c>
      <c r="DE25" s="228">
        <v>35.64</v>
      </c>
      <c r="DF25" s="228">
        <v>-9.3800000000000008</v>
      </c>
      <c r="DG25" s="228">
        <v>-0.06</v>
      </c>
      <c r="DH25" s="228">
        <v>26.25</v>
      </c>
      <c r="DI25" s="228">
        <v>26.38</v>
      </c>
      <c r="DJ25" s="228">
        <v>-0.13</v>
      </c>
      <c r="DK25" s="228">
        <v>-0.13</v>
      </c>
      <c r="DL25" s="228">
        <v>26.06</v>
      </c>
      <c r="DM25" s="228">
        <v>26.58</v>
      </c>
      <c r="DN25" s="228">
        <v>-0.52</v>
      </c>
      <c r="DO25" s="228">
        <v>-0.52</v>
      </c>
      <c r="DP25" s="228">
        <v>0.77</v>
      </c>
      <c r="DQ25" s="228">
        <v>0.77</v>
      </c>
      <c r="DR25" s="228">
        <v>0</v>
      </c>
      <c r="DS25" s="229">
        <v>0</v>
      </c>
      <c r="DT25" s="228">
        <v>285</v>
      </c>
      <c r="DU25" s="228">
        <v>240</v>
      </c>
      <c r="DV25" s="228">
        <v>0.41</v>
      </c>
      <c r="DW25" s="228">
        <v>0.45</v>
      </c>
      <c r="DX25" s="228">
        <v>-0.04</v>
      </c>
      <c r="DY25" s="229">
        <v>-8.8900000000000007E-2</v>
      </c>
      <c r="DZ25" s="229">
        <v>1.9400000000000001E-2</v>
      </c>
      <c r="EA25" s="230">
        <v>2445300</v>
      </c>
      <c r="EB25" s="229">
        <v>5.4000000000000003E-3</v>
      </c>
      <c r="EC25" s="229">
        <v>1.9400000000000001E-2</v>
      </c>
      <c r="ED25" s="228">
        <v>1.18</v>
      </c>
      <c r="EE25" s="229">
        <v>4.4000000000000003E-3</v>
      </c>
      <c r="EF25" s="230">
        <v>4546342</v>
      </c>
      <c r="EG25" s="230">
        <v>2541468</v>
      </c>
      <c r="EH25" s="229">
        <v>0.78890000000000005</v>
      </c>
      <c r="EI25" s="229">
        <v>0.44230000000000003</v>
      </c>
      <c r="EJ25" s="231">
        <v>226803.99</v>
      </c>
      <c r="EK25" s="231">
        <v>89525.69</v>
      </c>
      <c r="EL25" s="231">
        <v>61845.27</v>
      </c>
      <c r="EM25" s="231">
        <v>7922</v>
      </c>
      <c r="EN25" s="231">
        <v>378174.95</v>
      </c>
      <c r="EO25" s="231">
        <v>214461.58</v>
      </c>
      <c r="EP25" s="231">
        <v>163713.37</v>
      </c>
      <c r="EQ25" s="229">
        <v>0.76339999999999997</v>
      </c>
      <c r="ER25" s="231">
        <v>113057</v>
      </c>
      <c r="ES25" s="231">
        <v>81839</v>
      </c>
      <c r="ET25" s="231">
        <v>342242</v>
      </c>
      <c r="EU25" s="231">
        <v>257509827</v>
      </c>
      <c r="EV25" s="231">
        <v>537139</v>
      </c>
      <c r="EW25" s="231">
        <v>533449</v>
      </c>
      <c r="EX25" s="231">
        <v>3690</v>
      </c>
      <c r="EY25" s="229">
        <v>6.8999999999999999E-3</v>
      </c>
      <c r="EZ25" s="229">
        <v>0.78459999999999996</v>
      </c>
      <c r="FA25" s="227" t="s">
        <v>556</v>
      </c>
      <c r="FB25" s="161">
        <f t="shared" si="0"/>
        <v>2477475</v>
      </c>
    </row>
    <row r="26" spans="1:158" ht="17.25" hidden="1" thickBot="1" x14ac:dyDescent="0.3">
      <c r="A26" s="226">
        <v>45940</v>
      </c>
      <c r="B26" s="227" t="s">
        <v>172</v>
      </c>
      <c r="C26" s="227" t="s">
        <v>603</v>
      </c>
      <c r="D26" s="228">
        <v>5200</v>
      </c>
      <c r="E26" s="228">
        <v>127.3</v>
      </c>
      <c r="F26" s="228">
        <v>126.53</v>
      </c>
      <c r="G26" s="228">
        <v>0.77</v>
      </c>
      <c r="H26" s="229">
        <v>6.1000000000000004E-3</v>
      </c>
      <c r="I26" s="228">
        <v>126.77</v>
      </c>
      <c r="J26" s="228">
        <v>125.79</v>
      </c>
      <c r="K26" s="228">
        <v>0.98</v>
      </c>
      <c r="L26" s="229">
        <v>7.7999999999999996E-3</v>
      </c>
      <c r="M26" s="228">
        <v>127.3</v>
      </c>
      <c r="N26" s="228">
        <v>126.53</v>
      </c>
      <c r="O26" s="228">
        <v>0.77</v>
      </c>
      <c r="P26" s="229">
        <v>6.1000000000000004E-3</v>
      </c>
      <c r="Q26" s="228">
        <v>128.07</v>
      </c>
      <c r="R26" s="228">
        <v>127.19</v>
      </c>
      <c r="S26" s="228">
        <v>0.88</v>
      </c>
      <c r="T26" s="229">
        <v>6.8999999999999999E-3</v>
      </c>
      <c r="U26" s="228">
        <v>128.77000000000001</v>
      </c>
      <c r="V26" s="228">
        <v>127.98</v>
      </c>
      <c r="W26" s="228">
        <v>0.79</v>
      </c>
      <c r="X26" s="229">
        <v>6.1999999999999998E-3</v>
      </c>
      <c r="Y26" s="228">
        <v>0.53</v>
      </c>
      <c r="Z26" s="228">
        <v>0.74</v>
      </c>
      <c r="AA26" s="228">
        <v>-0.21</v>
      </c>
      <c r="AB26" s="229">
        <v>4.1999999999999997E-3</v>
      </c>
      <c r="AC26" s="228">
        <v>0.53</v>
      </c>
      <c r="AD26" s="228">
        <v>0.74</v>
      </c>
      <c r="AE26" s="228">
        <v>-0.21</v>
      </c>
      <c r="AF26" s="229">
        <v>4.1999999999999997E-3</v>
      </c>
      <c r="AG26" s="228">
        <v>1.3</v>
      </c>
      <c r="AH26" s="228">
        <v>1.4</v>
      </c>
      <c r="AI26" s="228">
        <v>-0.1</v>
      </c>
      <c r="AJ26" s="229">
        <v>1.03E-2</v>
      </c>
      <c r="AK26" s="228">
        <v>2</v>
      </c>
      <c r="AL26" s="228">
        <v>2.19</v>
      </c>
      <c r="AM26" s="228">
        <v>-0.19</v>
      </c>
      <c r="AN26" s="229">
        <v>1.5800000000000002E-2</v>
      </c>
      <c r="AO26" s="228">
        <v>127.6</v>
      </c>
      <c r="AP26" s="228">
        <v>128.33000000000001</v>
      </c>
      <c r="AQ26" s="228">
        <v>0</v>
      </c>
      <c r="AR26" s="230">
        <v>16343600</v>
      </c>
      <c r="AS26" s="230">
        <v>7446400</v>
      </c>
      <c r="AT26" s="230">
        <v>8897200</v>
      </c>
      <c r="AU26" s="229">
        <v>1.1948000000000001</v>
      </c>
      <c r="AV26" s="230">
        <v>14778400</v>
      </c>
      <c r="AW26" s="230">
        <v>6832800</v>
      </c>
      <c r="AX26" s="230">
        <v>7945600</v>
      </c>
      <c r="AY26" s="229">
        <v>1.1629</v>
      </c>
      <c r="AZ26" s="230">
        <v>1393600</v>
      </c>
      <c r="BA26" s="230">
        <v>551200</v>
      </c>
      <c r="BB26" s="230">
        <v>842400</v>
      </c>
      <c r="BC26" s="229">
        <v>1.5283</v>
      </c>
      <c r="BD26" s="230">
        <v>171600</v>
      </c>
      <c r="BE26" s="230">
        <v>62400</v>
      </c>
      <c r="BF26" s="230">
        <v>109200</v>
      </c>
      <c r="BG26" s="229">
        <v>1.75</v>
      </c>
      <c r="BH26" s="230">
        <v>26260000</v>
      </c>
      <c r="BI26" s="230">
        <v>13213200</v>
      </c>
      <c r="BJ26" s="230">
        <v>13046800</v>
      </c>
      <c r="BK26" s="229">
        <v>0.98740000000000006</v>
      </c>
      <c r="BL26" s="230">
        <v>9016800</v>
      </c>
      <c r="BM26" s="230">
        <v>4347200</v>
      </c>
      <c r="BN26" s="230">
        <v>4669600</v>
      </c>
      <c r="BO26" s="229">
        <v>1.0742</v>
      </c>
      <c r="BP26" s="230">
        <v>51620400</v>
      </c>
      <c r="BQ26" s="230">
        <v>25006800</v>
      </c>
      <c r="BR26" s="230">
        <v>26613600</v>
      </c>
      <c r="BS26" s="229">
        <v>1.0643</v>
      </c>
      <c r="BT26" s="230">
        <v>9051785</v>
      </c>
      <c r="BU26" s="230">
        <v>4773959</v>
      </c>
      <c r="BV26" s="230">
        <v>4277826</v>
      </c>
      <c r="BW26" s="229">
        <v>0.89610000000000001</v>
      </c>
      <c r="BX26" s="230">
        <v>70917600</v>
      </c>
      <c r="BY26" s="230">
        <v>71011200</v>
      </c>
      <c r="BZ26" s="230">
        <v>-93600</v>
      </c>
      <c r="CA26" s="229">
        <v>-1.2999999999999999E-3</v>
      </c>
      <c r="CB26" s="230">
        <v>67724800</v>
      </c>
      <c r="CC26" s="230">
        <v>68114800</v>
      </c>
      <c r="CD26" s="230">
        <v>-390000</v>
      </c>
      <c r="CE26" s="229">
        <v>-5.7000000000000002E-3</v>
      </c>
      <c r="CF26" s="230">
        <v>2865200</v>
      </c>
      <c r="CG26" s="230">
        <v>2579200</v>
      </c>
      <c r="CH26" s="230">
        <v>286000</v>
      </c>
      <c r="CI26" s="229">
        <v>0.1109</v>
      </c>
      <c r="CJ26" s="230">
        <v>327600</v>
      </c>
      <c r="CK26" s="230">
        <v>317200</v>
      </c>
      <c r="CL26" s="230">
        <v>10400</v>
      </c>
      <c r="CM26" s="229">
        <v>3.2800000000000003E-2</v>
      </c>
      <c r="CN26" s="230">
        <v>25927200</v>
      </c>
      <c r="CO26" s="230">
        <v>24554400</v>
      </c>
      <c r="CP26" s="230">
        <v>1372800</v>
      </c>
      <c r="CQ26" s="229">
        <v>5.5899999999999998E-2</v>
      </c>
      <c r="CR26" s="230">
        <v>16775200</v>
      </c>
      <c r="CS26" s="230">
        <v>15501200</v>
      </c>
      <c r="CT26" s="230">
        <v>1274000</v>
      </c>
      <c r="CU26" s="229">
        <v>8.2199999999999995E-2</v>
      </c>
      <c r="CV26" s="230">
        <v>113620000</v>
      </c>
      <c r="CW26" s="230">
        <v>111066800</v>
      </c>
      <c r="CX26" s="230">
        <v>2553200</v>
      </c>
      <c r="CY26" s="229">
        <v>2.3E-2</v>
      </c>
      <c r="CZ26" s="228">
        <v>27.7</v>
      </c>
      <c r="DA26" s="228">
        <v>28.95</v>
      </c>
      <c r="DB26" s="228">
        <v>-1.25</v>
      </c>
      <c r="DC26" s="228">
        <v>-1.25</v>
      </c>
      <c r="DD26" s="228">
        <v>39.53</v>
      </c>
      <c r="DE26" s="228">
        <v>39.619999999999997</v>
      </c>
      <c r="DF26" s="228">
        <v>-11.83</v>
      </c>
      <c r="DG26" s="228">
        <v>-0.09</v>
      </c>
      <c r="DH26" s="228">
        <v>27.61</v>
      </c>
      <c r="DI26" s="228">
        <v>28.96</v>
      </c>
      <c r="DJ26" s="228">
        <v>-1.35</v>
      </c>
      <c r="DK26" s="228">
        <v>-1.35</v>
      </c>
      <c r="DL26" s="228">
        <v>27.97</v>
      </c>
      <c r="DM26" s="228">
        <v>28.93</v>
      </c>
      <c r="DN26" s="228">
        <v>-0.96</v>
      </c>
      <c r="DO26" s="228">
        <v>-0.96</v>
      </c>
      <c r="DP26" s="228">
        <v>0.65</v>
      </c>
      <c r="DQ26" s="228">
        <v>0.63</v>
      </c>
      <c r="DR26" s="228">
        <v>0.02</v>
      </c>
      <c r="DS26" s="229">
        <v>3.1699999999999999E-2</v>
      </c>
      <c r="DT26" s="228">
        <v>130</v>
      </c>
      <c r="DU26" s="228">
        <v>125</v>
      </c>
      <c r="DV26" s="228">
        <v>0.34</v>
      </c>
      <c r="DW26" s="228">
        <v>0.33</v>
      </c>
      <c r="DX26" s="228">
        <v>0.01</v>
      </c>
      <c r="DY26" s="229">
        <v>3.0300000000000001E-2</v>
      </c>
      <c r="DZ26" s="229">
        <v>4.4999999999999998E-2</v>
      </c>
      <c r="EA26" s="230">
        <v>2896400</v>
      </c>
      <c r="EB26" s="229">
        <v>6.0000000000000001E-3</v>
      </c>
      <c r="EC26" s="229">
        <v>4.4999999999999998E-2</v>
      </c>
      <c r="ED26" s="228">
        <v>0.73</v>
      </c>
      <c r="EE26" s="229">
        <v>5.7000000000000002E-3</v>
      </c>
      <c r="EF26" s="230">
        <v>4189291</v>
      </c>
      <c r="EG26" s="230">
        <v>2145993</v>
      </c>
      <c r="EH26" s="229">
        <v>0.95209999999999995</v>
      </c>
      <c r="EI26" s="229">
        <v>0.46279999999999999</v>
      </c>
      <c r="EJ26" s="231">
        <v>34617.74</v>
      </c>
      <c r="EK26" s="231">
        <v>11375.57</v>
      </c>
      <c r="EL26" s="231">
        <v>20867.32</v>
      </c>
      <c r="EM26" s="231">
        <v>2732</v>
      </c>
      <c r="EN26" s="231">
        <v>66860.63</v>
      </c>
      <c r="EO26" s="231">
        <v>32183.47</v>
      </c>
      <c r="EP26" s="231">
        <v>34677.160000000003</v>
      </c>
      <c r="EQ26" s="229">
        <v>1.0774999999999999</v>
      </c>
      <c r="ER26" s="231">
        <v>33439</v>
      </c>
      <c r="ES26" s="231">
        <v>20039</v>
      </c>
      <c r="ET26" s="231">
        <v>90305</v>
      </c>
      <c r="EU26" s="231">
        <v>181770921</v>
      </c>
      <c r="EV26" s="231">
        <v>143783</v>
      </c>
      <c r="EW26" s="231">
        <v>139867</v>
      </c>
      <c r="EX26" s="231">
        <v>3916</v>
      </c>
      <c r="EY26" s="229">
        <v>2.8000000000000001E-2</v>
      </c>
      <c r="EZ26" s="229">
        <v>0.62509999999999999</v>
      </c>
      <c r="FA26" s="227" t="s">
        <v>556</v>
      </c>
      <c r="FB26" s="161">
        <f t="shared" si="0"/>
        <v>3192800</v>
      </c>
    </row>
    <row r="27" spans="1:158" ht="17.25" hidden="1" thickBot="1" x14ac:dyDescent="0.3">
      <c r="A27" s="226">
        <v>45940</v>
      </c>
      <c r="B27" s="227" t="s">
        <v>181</v>
      </c>
      <c r="C27" s="227" t="s">
        <v>182</v>
      </c>
      <c r="D27" s="228">
        <v>35</v>
      </c>
      <c r="E27" s="231">
        <v>56862.2</v>
      </c>
      <c r="F27" s="231">
        <v>56413.2</v>
      </c>
      <c r="G27" s="228">
        <v>449</v>
      </c>
      <c r="H27" s="229">
        <v>8.0000000000000002E-3</v>
      </c>
      <c r="I27" s="231">
        <v>56609.75</v>
      </c>
      <c r="J27" s="231">
        <v>56192.05</v>
      </c>
      <c r="K27" s="228">
        <v>417.7</v>
      </c>
      <c r="L27" s="229">
        <v>7.4000000000000003E-3</v>
      </c>
      <c r="M27" s="231">
        <v>56862.2</v>
      </c>
      <c r="N27" s="231">
        <v>56413.2</v>
      </c>
      <c r="O27" s="228">
        <v>449</v>
      </c>
      <c r="P27" s="229">
        <v>8.0000000000000002E-3</v>
      </c>
      <c r="Q27" s="231">
        <v>57152</v>
      </c>
      <c r="R27" s="231">
        <v>56714.8</v>
      </c>
      <c r="S27" s="228">
        <v>437.2</v>
      </c>
      <c r="T27" s="229">
        <v>7.7000000000000002E-3</v>
      </c>
      <c r="U27" s="231">
        <v>57500.2</v>
      </c>
      <c r="V27" s="231">
        <v>57061.2</v>
      </c>
      <c r="W27" s="228">
        <v>439</v>
      </c>
      <c r="X27" s="229">
        <v>7.7000000000000002E-3</v>
      </c>
      <c r="Y27" s="228">
        <v>252.45</v>
      </c>
      <c r="Z27" s="228">
        <v>221.15</v>
      </c>
      <c r="AA27" s="228">
        <v>31.3</v>
      </c>
      <c r="AB27" s="229">
        <v>4.4999999999999997E-3</v>
      </c>
      <c r="AC27" s="228">
        <v>252.45</v>
      </c>
      <c r="AD27" s="228">
        <v>221.15</v>
      </c>
      <c r="AE27" s="228">
        <v>31.3</v>
      </c>
      <c r="AF27" s="229">
        <v>4.4999999999999997E-3</v>
      </c>
      <c r="AG27" s="228">
        <v>542.25</v>
      </c>
      <c r="AH27" s="228">
        <v>522.75</v>
      </c>
      <c r="AI27" s="228">
        <v>19.5</v>
      </c>
      <c r="AJ27" s="229">
        <v>9.5999999999999992E-3</v>
      </c>
      <c r="AK27" s="228">
        <v>890.45</v>
      </c>
      <c r="AL27" s="228">
        <v>869.15</v>
      </c>
      <c r="AM27" s="228">
        <v>21.3</v>
      </c>
      <c r="AN27" s="229">
        <v>1.5699999999999999E-2</v>
      </c>
      <c r="AO27" s="231">
        <v>56825.26</v>
      </c>
      <c r="AP27" s="231">
        <v>57104.19</v>
      </c>
      <c r="AQ27" s="228">
        <v>0</v>
      </c>
      <c r="AR27" s="230">
        <v>1092595</v>
      </c>
      <c r="AS27" s="230">
        <v>765100</v>
      </c>
      <c r="AT27" s="230">
        <v>327495</v>
      </c>
      <c r="AU27" s="229">
        <v>0.42799999999999999</v>
      </c>
      <c r="AV27" s="230">
        <v>948430</v>
      </c>
      <c r="AW27" s="230">
        <v>705985</v>
      </c>
      <c r="AX27" s="230">
        <v>242445</v>
      </c>
      <c r="AY27" s="229">
        <v>0.34339999999999998</v>
      </c>
      <c r="AZ27" s="230">
        <v>96495</v>
      </c>
      <c r="BA27" s="230">
        <v>45570</v>
      </c>
      <c r="BB27" s="230">
        <v>50925</v>
      </c>
      <c r="BC27" s="229">
        <v>1.1174999999999999</v>
      </c>
      <c r="BD27" s="230">
        <v>47670</v>
      </c>
      <c r="BE27" s="230">
        <v>13545</v>
      </c>
      <c r="BF27" s="230">
        <v>34125</v>
      </c>
      <c r="BG27" s="229">
        <v>2.5194000000000001</v>
      </c>
      <c r="BH27" s="230">
        <v>65441705</v>
      </c>
      <c r="BI27" s="230">
        <v>44573830</v>
      </c>
      <c r="BJ27" s="230">
        <v>20867875</v>
      </c>
      <c r="BK27" s="229">
        <v>0.46820000000000001</v>
      </c>
      <c r="BL27" s="230">
        <v>53644465</v>
      </c>
      <c r="BM27" s="230">
        <v>39749325</v>
      </c>
      <c r="BN27" s="230">
        <v>13895140</v>
      </c>
      <c r="BO27" s="229">
        <v>0.34960000000000002</v>
      </c>
      <c r="BP27" s="230">
        <v>120178765</v>
      </c>
      <c r="BQ27" s="230">
        <v>85088255</v>
      </c>
      <c r="BR27" s="230">
        <v>35090510</v>
      </c>
      <c r="BS27" s="229">
        <v>0.41239999999999999</v>
      </c>
      <c r="BT27" s="228">
        <v>0</v>
      </c>
      <c r="BU27" s="228">
        <v>0</v>
      </c>
      <c r="BV27" s="228">
        <v>0</v>
      </c>
      <c r="BW27" s="229">
        <v>0</v>
      </c>
      <c r="BX27" s="230">
        <v>1970150</v>
      </c>
      <c r="BY27" s="230">
        <v>1896300</v>
      </c>
      <c r="BZ27" s="230">
        <v>73850</v>
      </c>
      <c r="CA27" s="229">
        <v>3.8899999999999997E-2</v>
      </c>
      <c r="CB27" s="230">
        <v>1739640</v>
      </c>
      <c r="CC27" s="230">
        <v>1681330</v>
      </c>
      <c r="CD27" s="230">
        <v>58310</v>
      </c>
      <c r="CE27" s="229">
        <v>3.4700000000000002E-2</v>
      </c>
      <c r="CF27" s="230">
        <v>186165</v>
      </c>
      <c r="CG27" s="230">
        <v>172270</v>
      </c>
      <c r="CH27" s="230">
        <v>13895</v>
      </c>
      <c r="CI27" s="229">
        <v>8.0699999999999994E-2</v>
      </c>
      <c r="CJ27" s="230">
        <v>44345</v>
      </c>
      <c r="CK27" s="230">
        <v>42700</v>
      </c>
      <c r="CL27" s="230">
        <v>1645</v>
      </c>
      <c r="CM27" s="229">
        <v>3.85E-2</v>
      </c>
      <c r="CN27" s="230">
        <v>17927470</v>
      </c>
      <c r="CO27" s="230">
        <v>17534315</v>
      </c>
      <c r="CP27" s="230">
        <v>393155</v>
      </c>
      <c r="CQ27" s="229">
        <v>2.24E-2</v>
      </c>
      <c r="CR27" s="230">
        <v>20510690</v>
      </c>
      <c r="CS27" s="230">
        <v>18894115</v>
      </c>
      <c r="CT27" s="230">
        <v>1616575</v>
      </c>
      <c r="CU27" s="229">
        <v>8.5599999999999996E-2</v>
      </c>
      <c r="CV27" s="230">
        <v>40408310</v>
      </c>
      <c r="CW27" s="230">
        <v>38324730</v>
      </c>
      <c r="CX27" s="230">
        <v>2083580</v>
      </c>
      <c r="CY27" s="229">
        <v>5.4399999999999997E-2</v>
      </c>
      <c r="CZ27" s="228">
        <v>11.23</v>
      </c>
      <c r="DA27" s="228">
        <v>11.13</v>
      </c>
      <c r="DB27" s="228">
        <v>0.1</v>
      </c>
      <c r="DC27" s="228">
        <v>0.1</v>
      </c>
      <c r="DD27" s="228">
        <v>17.32</v>
      </c>
      <c r="DE27" s="228">
        <v>17.329999999999998</v>
      </c>
      <c r="DF27" s="228">
        <v>-6.09</v>
      </c>
      <c r="DG27" s="228">
        <v>-0.01</v>
      </c>
      <c r="DH27" s="228">
        <v>10.26</v>
      </c>
      <c r="DI27" s="228">
        <v>10.41</v>
      </c>
      <c r="DJ27" s="228">
        <v>-0.15</v>
      </c>
      <c r="DK27" s="228">
        <v>-0.15</v>
      </c>
      <c r="DL27" s="228">
        <v>12.4</v>
      </c>
      <c r="DM27" s="228">
        <v>11.93</v>
      </c>
      <c r="DN27" s="228">
        <v>0.47</v>
      </c>
      <c r="DO27" s="228">
        <v>0.47</v>
      </c>
      <c r="DP27" s="228">
        <v>1.1399999999999999</v>
      </c>
      <c r="DQ27" s="228">
        <v>1.08</v>
      </c>
      <c r="DR27" s="228">
        <v>0.06</v>
      </c>
      <c r="DS27" s="229">
        <v>5.5599999999999997E-2</v>
      </c>
      <c r="DT27" s="231">
        <v>57000</v>
      </c>
      <c r="DU27" s="231">
        <v>55000</v>
      </c>
      <c r="DV27" s="228">
        <v>0.82</v>
      </c>
      <c r="DW27" s="228">
        <v>0.89</v>
      </c>
      <c r="DX27" s="228">
        <v>-7.0000000000000007E-2</v>
      </c>
      <c r="DY27" s="229">
        <v>-7.8700000000000006E-2</v>
      </c>
      <c r="DZ27" s="229">
        <v>0.11700000000000001</v>
      </c>
      <c r="EA27" s="230">
        <v>214970</v>
      </c>
      <c r="EB27" s="229">
        <v>5.1000000000000004E-3</v>
      </c>
      <c r="EC27" s="229">
        <v>0.11700000000000001</v>
      </c>
      <c r="ED27" s="228">
        <v>278.93</v>
      </c>
      <c r="EE27" s="229">
        <v>4.8999999999999998E-3</v>
      </c>
      <c r="EF27" s="228">
        <v>0</v>
      </c>
      <c r="EG27" s="228">
        <v>0</v>
      </c>
      <c r="EH27" s="229">
        <v>0</v>
      </c>
      <c r="EI27" s="229">
        <v>0</v>
      </c>
      <c r="EJ27" s="231">
        <v>37957322.299999997</v>
      </c>
      <c r="EK27" s="231">
        <v>29791221.920000002</v>
      </c>
      <c r="EL27" s="231">
        <v>621435.06999999995</v>
      </c>
      <c r="EM27" s="228">
        <v>0</v>
      </c>
      <c r="EN27" s="231">
        <v>68369979.290000007</v>
      </c>
      <c r="EO27" s="231">
        <v>48109028.719999999</v>
      </c>
      <c r="EP27" s="231">
        <v>20260950.57</v>
      </c>
      <c r="EQ27" s="229">
        <v>0.42109999999999997</v>
      </c>
      <c r="ER27" s="231">
        <v>10298407</v>
      </c>
      <c r="ES27" s="231">
        <v>11183984</v>
      </c>
      <c r="ET27" s="231">
        <v>1121093</v>
      </c>
      <c r="EU27" s="228">
        <v>0</v>
      </c>
      <c r="EV27" s="231">
        <v>22603484</v>
      </c>
      <c r="EW27" s="231">
        <v>21390972</v>
      </c>
      <c r="EX27" s="231">
        <v>1212512</v>
      </c>
      <c r="EY27" s="229">
        <v>5.67E-2</v>
      </c>
      <c r="EZ27" s="229">
        <v>0</v>
      </c>
      <c r="FA27" s="227" t="s">
        <v>555</v>
      </c>
      <c r="FB27" s="161">
        <f t="shared" si="0"/>
        <v>230510</v>
      </c>
    </row>
    <row r="28" spans="1:158" ht="17.25" hidden="1" thickBot="1" x14ac:dyDescent="0.3">
      <c r="A28" s="226">
        <v>45940</v>
      </c>
      <c r="B28" s="227" t="s">
        <v>184</v>
      </c>
      <c r="C28" s="227" t="s">
        <v>673</v>
      </c>
      <c r="D28" s="228">
        <v>325</v>
      </c>
      <c r="E28" s="231">
        <v>1539.7</v>
      </c>
      <c r="F28" s="231">
        <v>1524.9</v>
      </c>
      <c r="G28" s="228">
        <v>14.8</v>
      </c>
      <c r="H28" s="229">
        <v>9.7000000000000003E-3</v>
      </c>
      <c r="I28" s="231">
        <v>1537.1</v>
      </c>
      <c r="J28" s="231">
        <v>1520.3</v>
      </c>
      <c r="K28" s="228">
        <v>16.8</v>
      </c>
      <c r="L28" s="229">
        <v>1.11E-2</v>
      </c>
      <c r="M28" s="231">
        <v>1539.7</v>
      </c>
      <c r="N28" s="231">
        <v>1524.9</v>
      </c>
      <c r="O28" s="228">
        <v>14.8</v>
      </c>
      <c r="P28" s="229">
        <v>9.7000000000000003E-3</v>
      </c>
      <c r="Q28" s="231">
        <v>1547.6</v>
      </c>
      <c r="R28" s="231">
        <v>1532.8</v>
      </c>
      <c r="S28" s="228">
        <v>14.8</v>
      </c>
      <c r="T28" s="229">
        <v>9.7000000000000003E-3</v>
      </c>
      <c r="U28" s="231">
        <v>1554.8</v>
      </c>
      <c r="V28" s="231">
        <v>1540.8</v>
      </c>
      <c r="W28" s="228">
        <v>14</v>
      </c>
      <c r="X28" s="229">
        <v>9.1000000000000004E-3</v>
      </c>
      <c r="Y28" s="228">
        <v>2.6</v>
      </c>
      <c r="Z28" s="228">
        <v>4.5999999999999996</v>
      </c>
      <c r="AA28" s="228">
        <v>-2</v>
      </c>
      <c r="AB28" s="229">
        <v>1.6999999999999999E-3</v>
      </c>
      <c r="AC28" s="228">
        <v>2.6</v>
      </c>
      <c r="AD28" s="228">
        <v>4.5999999999999996</v>
      </c>
      <c r="AE28" s="228">
        <v>-2</v>
      </c>
      <c r="AF28" s="229">
        <v>1.6999999999999999E-3</v>
      </c>
      <c r="AG28" s="228">
        <v>10.5</v>
      </c>
      <c r="AH28" s="228">
        <v>12.5</v>
      </c>
      <c r="AI28" s="228">
        <v>-2</v>
      </c>
      <c r="AJ28" s="229">
        <v>6.7999999999999996E-3</v>
      </c>
      <c r="AK28" s="228">
        <v>17.7</v>
      </c>
      <c r="AL28" s="228">
        <v>20.5</v>
      </c>
      <c r="AM28" s="228">
        <v>-2.8</v>
      </c>
      <c r="AN28" s="229">
        <v>1.15E-2</v>
      </c>
      <c r="AO28" s="231">
        <v>1534.78</v>
      </c>
      <c r="AP28" s="231">
        <v>1541.49</v>
      </c>
      <c r="AQ28" s="228">
        <v>0</v>
      </c>
      <c r="AR28" s="230">
        <v>932425</v>
      </c>
      <c r="AS28" s="230">
        <v>982800</v>
      </c>
      <c r="AT28" s="230">
        <v>-50375</v>
      </c>
      <c r="AU28" s="229">
        <v>-5.1299999999999998E-2</v>
      </c>
      <c r="AV28" s="230">
        <v>855400</v>
      </c>
      <c r="AW28" s="230">
        <v>915200</v>
      </c>
      <c r="AX28" s="230">
        <v>-59800</v>
      </c>
      <c r="AY28" s="229">
        <v>-6.5299999999999997E-2</v>
      </c>
      <c r="AZ28" s="230">
        <v>68250</v>
      </c>
      <c r="BA28" s="230">
        <v>65325</v>
      </c>
      <c r="BB28" s="230">
        <v>2925</v>
      </c>
      <c r="BC28" s="229">
        <v>4.48E-2</v>
      </c>
      <c r="BD28" s="230">
        <v>8775</v>
      </c>
      <c r="BE28" s="230">
        <v>2275</v>
      </c>
      <c r="BF28" s="230">
        <v>6500</v>
      </c>
      <c r="BG28" s="229">
        <v>2.8571</v>
      </c>
      <c r="BH28" s="230">
        <v>3936725</v>
      </c>
      <c r="BI28" s="230">
        <v>3493750</v>
      </c>
      <c r="BJ28" s="230">
        <v>442975</v>
      </c>
      <c r="BK28" s="229">
        <v>0.1268</v>
      </c>
      <c r="BL28" s="230">
        <v>1255150</v>
      </c>
      <c r="BM28" s="230">
        <v>768300</v>
      </c>
      <c r="BN28" s="230">
        <v>486850</v>
      </c>
      <c r="BO28" s="229">
        <v>0.63370000000000004</v>
      </c>
      <c r="BP28" s="230">
        <v>6124300</v>
      </c>
      <c r="BQ28" s="230">
        <v>5244850</v>
      </c>
      <c r="BR28" s="230">
        <v>879450</v>
      </c>
      <c r="BS28" s="229">
        <v>0.16769999999999999</v>
      </c>
      <c r="BT28" s="230">
        <v>1263803</v>
      </c>
      <c r="BU28" s="230">
        <v>878013</v>
      </c>
      <c r="BV28" s="230">
        <v>385790</v>
      </c>
      <c r="BW28" s="229">
        <v>0.43940000000000001</v>
      </c>
      <c r="BX28" s="230">
        <v>4496375</v>
      </c>
      <c r="BY28" s="230">
        <v>4590950</v>
      </c>
      <c r="BZ28" s="230">
        <v>-94575</v>
      </c>
      <c r="CA28" s="229">
        <v>-2.06E-2</v>
      </c>
      <c r="CB28" s="230">
        <v>4232150</v>
      </c>
      <c r="CC28" s="230">
        <v>4334525</v>
      </c>
      <c r="CD28" s="230">
        <v>-102375</v>
      </c>
      <c r="CE28" s="229">
        <v>-2.3599999999999999E-2</v>
      </c>
      <c r="CF28" s="230">
        <v>235625</v>
      </c>
      <c r="CG28" s="230">
        <v>229450</v>
      </c>
      <c r="CH28" s="230">
        <v>6175</v>
      </c>
      <c r="CI28" s="229">
        <v>2.69E-2</v>
      </c>
      <c r="CJ28" s="230">
        <v>28600</v>
      </c>
      <c r="CK28" s="230">
        <v>26975</v>
      </c>
      <c r="CL28" s="230">
        <v>1625</v>
      </c>
      <c r="CM28" s="229">
        <v>6.0199999999999997E-2</v>
      </c>
      <c r="CN28" s="230">
        <v>3340350</v>
      </c>
      <c r="CO28" s="230">
        <v>3499600</v>
      </c>
      <c r="CP28" s="230">
        <v>-159250</v>
      </c>
      <c r="CQ28" s="229">
        <v>-4.5499999999999999E-2</v>
      </c>
      <c r="CR28" s="230">
        <v>1975350</v>
      </c>
      <c r="CS28" s="230">
        <v>1951300</v>
      </c>
      <c r="CT28" s="230">
        <v>24050</v>
      </c>
      <c r="CU28" s="229">
        <v>1.23E-2</v>
      </c>
      <c r="CV28" s="230">
        <v>9812075</v>
      </c>
      <c r="CW28" s="230">
        <v>10041850</v>
      </c>
      <c r="CX28" s="230">
        <v>-229775</v>
      </c>
      <c r="CY28" s="229">
        <v>-2.29E-2</v>
      </c>
      <c r="CZ28" s="228">
        <v>33.97</v>
      </c>
      <c r="DA28" s="228">
        <v>34.97</v>
      </c>
      <c r="DB28" s="228">
        <v>-1</v>
      </c>
      <c r="DC28" s="228">
        <v>-1</v>
      </c>
      <c r="DD28" s="228">
        <v>53.33</v>
      </c>
      <c r="DE28" s="228">
        <v>53.45</v>
      </c>
      <c r="DF28" s="228">
        <v>-19.36</v>
      </c>
      <c r="DG28" s="228">
        <v>-0.12</v>
      </c>
      <c r="DH28" s="228">
        <v>34.270000000000003</v>
      </c>
      <c r="DI28" s="228">
        <v>35.130000000000003</v>
      </c>
      <c r="DJ28" s="228">
        <v>-0.86</v>
      </c>
      <c r="DK28" s="228">
        <v>-0.86</v>
      </c>
      <c r="DL28" s="228">
        <v>33.020000000000003</v>
      </c>
      <c r="DM28" s="228">
        <v>34.25</v>
      </c>
      <c r="DN28" s="228">
        <v>-1.23</v>
      </c>
      <c r="DO28" s="228">
        <v>-1.23</v>
      </c>
      <c r="DP28" s="228">
        <v>0.59</v>
      </c>
      <c r="DQ28" s="228">
        <v>0.56000000000000005</v>
      </c>
      <c r="DR28" s="228">
        <v>0.03</v>
      </c>
      <c r="DS28" s="229">
        <v>5.3600000000000002E-2</v>
      </c>
      <c r="DT28" s="231">
        <v>1600</v>
      </c>
      <c r="DU28" s="231">
        <v>1450</v>
      </c>
      <c r="DV28" s="228">
        <v>0.32</v>
      </c>
      <c r="DW28" s="228">
        <v>0.22</v>
      </c>
      <c r="DX28" s="228">
        <v>0.1</v>
      </c>
      <c r="DY28" s="229">
        <v>0.45450000000000002</v>
      </c>
      <c r="DZ28" s="229">
        <v>5.8799999999999998E-2</v>
      </c>
      <c r="EA28" s="230">
        <v>256425</v>
      </c>
      <c r="EB28" s="229">
        <v>5.1000000000000004E-3</v>
      </c>
      <c r="EC28" s="229">
        <v>5.8799999999999998E-2</v>
      </c>
      <c r="ED28" s="228">
        <v>6.71</v>
      </c>
      <c r="EE28" s="229">
        <v>4.4000000000000003E-3</v>
      </c>
      <c r="EF28" s="230">
        <v>534084</v>
      </c>
      <c r="EG28" s="230">
        <v>272380</v>
      </c>
      <c r="EH28" s="229">
        <v>0.96079999999999999</v>
      </c>
      <c r="EI28" s="229">
        <v>0.42259999999999998</v>
      </c>
      <c r="EJ28" s="231">
        <v>63798.16</v>
      </c>
      <c r="EK28" s="231">
        <v>19079.66</v>
      </c>
      <c r="EL28" s="231">
        <v>14316.55</v>
      </c>
      <c r="EM28" s="231">
        <v>3593</v>
      </c>
      <c r="EN28" s="231">
        <v>97194.37</v>
      </c>
      <c r="EO28" s="231">
        <v>82567.63</v>
      </c>
      <c r="EP28" s="231">
        <v>14626.74</v>
      </c>
      <c r="EQ28" s="229">
        <v>0.17710000000000001</v>
      </c>
      <c r="ER28" s="231">
        <v>54369</v>
      </c>
      <c r="ES28" s="231">
        <v>29647</v>
      </c>
      <c r="ET28" s="231">
        <v>69254</v>
      </c>
      <c r="EU28" s="231">
        <v>13786716</v>
      </c>
      <c r="EV28" s="231">
        <v>153270</v>
      </c>
      <c r="EW28" s="231">
        <v>156231</v>
      </c>
      <c r="EX28" s="231">
        <v>-2961</v>
      </c>
      <c r="EY28" s="229">
        <v>-1.9E-2</v>
      </c>
      <c r="EZ28" s="229">
        <v>0.7117</v>
      </c>
      <c r="FA28" s="227" t="s">
        <v>556</v>
      </c>
      <c r="FB28" s="161">
        <f t="shared" si="0"/>
        <v>264225</v>
      </c>
    </row>
    <row r="29" spans="1:158" ht="17.25" thickBot="1" x14ac:dyDescent="0.3">
      <c r="A29" s="226">
        <v>45940</v>
      </c>
      <c r="B29" s="227" t="s">
        <v>184</v>
      </c>
      <c r="C29" s="227" t="s">
        <v>185</v>
      </c>
      <c r="D29" s="228">
        <v>2850</v>
      </c>
      <c r="E29" s="228">
        <v>414.95</v>
      </c>
      <c r="F29" s="228">
        <v>411.65</v>
      </c>
      <c r="G29" s="228">
        <v>3.3</v>
      </c>
      <c r="H29" s="229">
        <v>8.0000000000000002E-3</v>
      </c>
      <c r="I29" s="228">
        <v>413.5</v>
      </c>
      <c r="J29" s="228">
        <v>409.35</v>
      </c>
      <c r="K29" s="228">
        <v>4.1500000000000004</v>
      </c>
      <c r="L29" s="229">
        <v>1.01E-2</v>
      </c>
      <c r="M29" s="228">
        <v>414.95</v>
      </c>
      <c r="N29" s="228">
        <v>411.65</v>
      </c>
      <c r="O29" s="228">
        <v>3.3</v>
      </c>
      <c r="P29" s="229">
        <v>8.0000000000000002E-3</v>
      </c>
      <c r="Q29" s="228">
        <v>417.5</v>
      </c>
      <c r="R29" s="228">
        <v>413.65</v>
      </c>
      <c r="S29" s="228">
        <v>3.85</v>
      </c>
      <c r="T29" s="229">
        <v>9.2999999999999992E-3</v>
      </c>
      <c r="U29" s="228">
        <v>419.8</v>
      </c>
      <c r="V29" s="228">
        <v>416.2</v>
      </c>
      <c r="W29" s="228">
        <v>3.6</v>
      </c>
      <c r="X29" s="229">
        <v>8.6E-3</v>
      </c>
      <c r="Y29" s="228">
        <v>1.45</v>
      </c>
      <c r="Z29" s="228">
        <v>2.2999999999999998</v>
      </c>
      <c r="AA29" s="228">
        <v>-0.85</v>
      </c>
      <c r="AB29" s="229">
        <v>3.5000000000000001E-3</v>
      </c>
      <c r="AC29" s="228">
        <v>1.45</v>
      </c>
      <c r="AD29" s="228">
        <v>2.2999999999999998</v>
      </c>
      <c r="AE29" s="228">
        <v>-0.85</v>
      </c>
      <c r="AF29" s="229">
        <v>3.5000000000000001E-3</v>
      </c>
      <c r="AG29" s="228">
        <v>4</v>
      </c>
      <c r="AH29" s="228">
        <v>4.3</v>
      </c>
      <c r="AI29" s="228">
        <v>-0.3</v>
      </c>
      <c r="AJ29" s="229">
        <v>9.7000000000000003E-3</v>
      </c>
      <c r="AK29" s="228">
        <v>6.3</v>
      </c>
      <c r="AL29" s="228">
        <v>6.85</v>
      </c>
      <c r="AM29" s="228">
        <v>-0.55000000000000004</v>
      </c>
      <c r="AN29" s="229">
        <v>1.52E-2</v>
      </c>
      <c r="AO29" s="228">
        <v>415.66</v>
      </c>
      <c r="AP29" s="228">
        <v>417.96</v>
      </c>
      <c r="AQ29" s="228">
        <v>0</v>
      </c>
      <c r="AR29" s="230">
        <v>26311200</v>
      </c>
      <c r="AS29" s="230">
        <v>20015550</v>
      </c>
      <c r="AT29" s="230">
        <v>6295650</v>
      </c>
      <c r="AU29" s="229">
        <v>0.3145</v>
      </c>
      <c r="AV29" s="230">
        <v>23224650</v>
      </c>
      <c r="AW29" s="230">
        <v>17222550</v>
      </c>
      <c r="AX29" s="230">
        <v>6002100</v>
      </c>
      <c r="AY29" s="229">
        <v>0.34849999999999998</v>
      </c>
      <c r="AZ29" s="230">
        <v>2473800</v>
      </c>
      <c r="BA29" s="230">
        <v>2413950</v>
      </c>
      <c r="BB29" s="230">
        <v>59850</v>
      </c>
      <c r="BC29" s="229">
        <v>2.4799999999999999E-2</v>
      </c>
      <c r="BD29" s="230">
        <v>612750</v>
      </c>
      <c r="BE29" s="230">
        <v>379050</v>
      </c>
      <c r="BF29" s="230">
        <v>233700</v>
      </c>
      <c r="BG29" s="229">
        <v>0.61650000000000005</v>
      </c>
      <c r="BH29" s="230">
        <v>100992600</v>
      </c>
      <c r="BI29" s="230">
        <v>72538200</v>
      </c>
      <c r="BJ29" s="230">
        <v>28454400</v>
      </c>
      <c r="BK29" s="229">
        <v>0.39229999999999998</v>
      </c>
      <c r="BL29" s="230">
        <v>49000050</v>
      </c>
      <c r="BM29" s="230">
        <v>36323250</v>
      </c>
      <c r="BN29" s="230">
        <v>12676800</v>
      </c>
      <c r="BO29" s="229">
        <v>0.34899999999999998</v>
      </c>
      <c r="BP29" s="230">
        <v>176303850</v>
      </c>
      <c r="BQ29" s="230">
        <v>128877000</v>
      </c>
      <c r="BR29" s="230">
        <v>47426850</v>
      </c>
      <c r="BS29" s="229">
        <v>0.36799999999999999</v>
      </c>
      <c r="BT29" s="230">
        <v>14753237</v>
      </c>
      <c r="BU29" s="230">
        <v>10034475</v>
      </c>
      <c r="BV29" s="230">
        <v>4718762</v>
      </c>
      <c r="BW29" s="229">
        <v>0.4703</v>
      </c>
      <c r="BX29" s="230">
        <v>109283250</v>
      </c>
      <c r="BY29" s="230">
        <v>110571450</v>
      </c>
      <c r="BZ29" s="230">
        <v>-1288200</v>
      </c>
      <c r="CA29" s="229">
        <v>-1.17E-2</v>
      </c>
      <c r="CB29" s="230">
        <v>102075600</v>
      </c>
      <c r="CC29" s="230">
        <v>103734300</v>
      </c>
      <c r="CD29" s="230">
        <v>-1658700</v>
      </c>
      <c r="CE29" s="229">
        <v>-1.6E-2</v>
      </c>
      <c r="CF29" s="230">
        <v>6044850</v>
      </c>
      <c r="CG29" s="230">
        <v>5848200</v>
      </c>
      <c r="CH29" s="230">
        <v>196650</v>
      </c>
      <c r="CI29" s="229">
        <v>3.3599999999999998E-2</v>
      </c>
      <c r="CJ29" s="230">
        <v>1162800</v>
      </c>
      <c r="CK29" s="230">
        <v>988950</v>
      </c>
      <c r="CL29" s="230">
        <v>173850</v>
      </c>
      <c r="CM29" s="229">
        <v>0.17580000000000001</v>
      </c>
      <c r="CN29" s="230">
        <v>61876350</v>
      </c>
      <c r="CO29" s="230">
        <v>61639800</v>
      </c>
      <c r="CP29" s="230">
        <v>236550</v>
      </c>
      <c r="CQ29" s="229">
        <v>3.8E-3</v>
      </c>
      <c r="CR29" s="230">
        <v>39358500</v>
      </c>
      <c r="CS29" s="230">
        <v>39549450</v>
      </c>
      <c r="CT29" s="230">
        <v>-190950</v>
      </c>
      <c r="CU29" s="229">
        <v>-4.7999999999999996E-3</v>
      </c>
      <c r="CV29" s="230">
        <v>210518100</v>
      </c>
      <c r="CW29" s="230">
        <v>211760700</v>
      </c>
      <c r="CX29" s="230">
        <v>-1242600</v>
      </c>
      <c r="CY29" s="229">
        <v>-5.8999999999999999E-3</v>
      </c>
      <c r="CZ29" s="228">
        <v>22.49</v>
      </c>
      <c r="DA29" s="228">
        <v>23.22</v>
      </c>
      <c r="DB29" s="228">
        <v>-0.73</v>
      </c>
      <c r="DC29" s="228">
        <v>-0.73</v>
      </c>
      <c r="DD29" s="228">
        <v>37.869999999999997</v>
      </c>
      <c r="DE29" s="228">
        <v>37.94</v>
      </c>
      <c r="DF29" s="228">
        <v>-15.38</v>
      </c>
      <c r="DG29" s="228">
        <v>-7.0000000000000007E-2</v>
      </c>
      <c r="DH29" s="228">
        <v>22.62</v>
      </c>
      <c r="DI29" s="228">
        <v>23.15</v>
      </c>
      <c r="DJ29" s="228">
        <v>-0.53</v>
      </c>
      <c r="DK29" s="228">
        <v>-0.53</v>
      </c>
      <c r="DL29" s="228">
        <v>22.22</v>
      </c>
      <c r="DM29" s="228">
        <v>23.35</v>
      </c>
      <c r="DN29" s="228">
        <v>-1.1299999999999999</v>
      </c>
      <c r="DO29" s="228">
        <v>-1.1299999999999999</v>
      </c>
      <c r="DP29" s="228">
        <v>0.64</v>
      </c>
      <c r="DQ29" s="228">
        <v>0.64</v>
      </c>
      <c r="DR29" s="228">
        <v>0</v>
      </c>
      <c r="DS29" s="229">
        <v>0</v>
      </c>
      <c r="DT29" s="228">
        <v>420</v>
      </c>
      <c r="DU29" s="228">
        <v>410</v>
      </c>
      <c r="DV29" s="228">
        <v>0.49</v>
      </c>
      <c r="DW29" s="228">
        <v>0.5</v>
      </c>
      <c r="DX29" s="228">
        <v>-0.01</v>
      </c>
      <c r="DY29" s="229">
        <v>-0.02</v>
      </c>
      <c r="DZ29" s="229">
        <v>6.6000000000000003E-2</v>
      </c>
      <c r="EA29" s="230">
        <v>6837150</v>
      </c>
      <c r="EB29" s="229">
        <v>6.1000000000000004E-3</v>
      </c>
      <c r="EC29" s="229">
        <v>6.6000000000000003E-2</v>
      </c>
      <c r="ED29" s="228">
        <v>2.2999999999999998</v>
      </c>
      <c r="EE29" s="229">
        <v>5.4999999999999997E-3</v>
      </c>
      <c r="EF29" s="230">
        <v>7764795</v>
      </c>
      <c r="EG29" s="230">
        <v>5362559</v>
      </c>
      <c r="EH29" s="229">
        <v>0.44800000000000001</v>
      </c>
      <c r="EI29" s="229">
        <v>0.52629999999999999</v>
      </c>
      <c r="EJ29" s="231">
        <v>433073.67</v>
      </c>
      <c r="EK29" s="231">
        <v>200349.21</v>
      </c>
      <c r="EL29" s="231">
        <v>109452.18</v>
      </c>
      <c r="EM29" s="231">
        <v>7408</v>
      </c>
      <c r="EN29" s="231">
        <v>742875.06</v>
      </c>
      <c r="EO29" s="231">
        <v>536435.99</v>
      </c>
      <c r="EP29" s="231">
        <v>206439.07</v>
      </c>
      <c r="EQ29" s="229">
        <v>0.38479999999999998</v>
      </c>
      <c r="ER29" s="231">
        <v>263044</v>
      </c>
      <c r="ES29" s="231">
        <v>156153</v>
      </c>
      <c r="ET29" s="231">
        <v>453681</v>
      </c>
      <c r="EU29" s="231">
        <v>535778534</v>
      </c>
      <c r="EV29" s="231">
        <v>872878</v>
      </c>
      <c r="EW29" s="231">
        <v>873409</v>
      </c>
      <c r="EX29" s="228">
        <v>-531</v>
      </c>
      <c r="EY29" s="229">
        <v>-5.9999999999999995E-4</v>
      </c>
      <c r="EZ29" s="229">
        <v>0.39290000000000003</v>
      </c>
      <c r="FA29" s="227" t="s">
        <v>556</v>
      </c>
      <c r="FB29" s="161">
        <f t="shared" si="0"/>
        <v>7207650</v>
      </c>
    </row>
    <row r="30" spans="1:158" ht="17.25" hidden="1" thickBot="1" x14ac:dyDescent="0.3">
      <c r="A30" s="226">
        <v>45940</v>
      </c>
      <c r="B30" s="227" t="s">
        <v>162</v>
      </c>
      <c r="C30" s="227" t="s">
        <v>187</v>
      </c>
      <c r="D30" s="228">
        <v>500</v>
      </c>
      <c r="E30" s="231">
        <v>1214.8</v>
      </c>
      <c r="F30" s="231">
        <v>1206.4000000000001</v>
      </c>
      <c r="G30" s="228">
        <v>8.4</v>
      </c>
      <c r="H30" s="229">
        <v>7.0000000000000001E-3</v>
      </c>
      <c r="I30" s="231">
        <v>1220</v>
      </c>
      <c r="J30" s="231">
        <v>1209.3</v>
      </c>
      <c r="K30" s="228">
        <v>10.7</v>
      </c>
      <c r="L30" s="229">
        <v>8.8000000000000005E-3</v>
      </c>
      <c r="M30" s="231">
        <v>1214.8</v>
      </c>
      <c r="N30" s="231">
        <v>1206.4000000000001</v>
      </c>
      <c r="O30" s="228">
        <v>8.4</v>
      </c>
      <c r="P30" s="229">
        <v>7.0000000000000001E-3</v>
      </c>
      <c r="Q30" s="231">
        <v>1213.2</v>
      </c>
      <c r="R30" s="231">
        <v>1204.3</v>
      </c>
      <c r="S30" s="228">
        <v>8.9</v>
      </c>
      <c r="T30" s="229">
        <v>7.4000000000000003E-3</v>
      </c>
      <c r="U30" s="231">
        <v>1207</v>
      </c>
      <c r="V30" s="231">
        <v>1204.2</v>
      </c>
      <c r="W30" s="228">
        <v>2.8</v>
      </c>
      <c r="X30" s="229">
        <v>2.3E-3</v>
      </c>
      <c r="Y30" s="228">
        <v>-5.2</v>
      </c>
      <c r="Z30" s="228">
        <v>-2.9</v>
      </c>
      <c r="AA30" s="228">
        <v>-2.2999999999999998</v>
      </c>
      <c r="AB30" s="229">
        <v>-4.3E-3</v>
      </c>
      <c r="AC30" s="228">
        <v>-5.2</v>
      </c>
      <c r="AD30" s="228">
        <v>-2.9</v>
      </c>
      <c r="AE30" s="228">
        <v>-2.2999999999999998</v>
      </c>
      <c r="AF30" s="229">
        <v>-4.3E-3</v>
      </c>
      <c r="AG30" s="228">
        <v>-6.8</v>
      </c>
      <c r="AH30" s="228">
        <v>-5</v>
      </c>
      <c r="AI30" s="228">
        <v>-1.8</v>
      </c>
      <c r="AJ30" s="229">
        <v>-5.5999999999999999E-3</v>
      </c>
      <c r="AK30" s="228">
        <v>-13</v>
      </c>
      <c r="AL30" s="228">
        <v>-5.0999999999999996</v>
      </c>
      <c r="AM30" s="228">
        <v>-7.9</v>
      </c>
      <c r="AN30" s="229">
        <v>-1.0699999999999999E-2</v>
      </c>
      <c r="AO30" s="231">
        <v>1215.83</v>
      </c>
      <c r="AP30" s="231">
        <v>1212.3599999999999</v>
      </c>
      <c r="AQ30" s="228">
        <v>0</v>
      </c>
      <c r="AR30" s="230">
        <v>1505500</v>
      </c>
      <c r="AS30" s="230">
        <v>1800000</v>
      </c>
      <c r="AT30" s="230">
        <v>-294500</v>
      </c>
      <c r="AU30" s="229">
        <v>-0.1636</v>
      </c>
      <c r="AV30" s="230">
        <v>1339500</v>
      </c>
      <c r="AW30" s="230">
        <v>1673000</v>
      </c>
      <c r="AX30" s="230">
        <v>-333500</v>
      </c>
      <c r="AY30" s="229">
        <v>-0.1993</v>
      </c>
      <c r="AZ30" s="230">
        <v>159500</v>
      </c>
      <c r="BA30" s="230">
        <v>104000</v>
      </c>
      <c r="BB30" s="230">
        <v>55500</v>
      </c>
      <c r="BC30" s="229">
        <v>0.53369999999999995</v>
      </c>
      <c r="BD30" s="230">
        <v>6500</v>
      </c>
      <c r="BE30" s="230">
        <v>23000</v>
      </c>
      <c r="BF30" s="230">
        <v>-16500</v>
      </c>
      <c r="BG30" s="229">
        <v>-0.71740000000000004</v>
      </c>
      <c r="BH30" s="230">
        <v>3293500</v>
      </c>
      <c r="BI30" s="230">
        <v>2759000</v>
      </c>
      <c r="BJ30" s="230">
        <v>534500</v>
      </c>
      <c r="BK30" s="229">
        <v>0.19370000000000001</v>
      </c>
      <c r="BL30" s="230">
        <v>1153000</v>
      </c>
      <c r="BM30" s="230">
        <v>1184000</v>
      </c>
      <c r="BN30" s="230">
        <v>-31000</v>
      </c>
      <c r="BO30" s="229">
        <v>-2.6200000000000001E-2</v>
      </c>
      <c r="BP30" s="230">
        <v>5952000</v>
      </c>
      <c r="BQ30" s="230">
        <v>5743000</v>
      </c>
      <c r="BR30" s="230">
        <v>209000</v>
      </c>
      <c r="BS30" s="229">
        <v>3.6400000000000002E-2</v>
      </c>
      <c r="BT30" s="230">
        <v>435241</v>
      </c>
      <c r="BU30" s="230">
        <v>485835</v>
      </c>
      <c r="BV30" s="230">
        <v>-50594</v>
      </c>
      <c r="BW30" s="229">
        <v>-0.1041</v>
      </c>
      <c r="BX30" s="230">
        <v>11052500</v>
      </c>
      <c r="BY30" s="230">
        <v>10900000</v>
      </c>
      <c r="BZ30" s="230">
        <v>152500</v>
      </c>
      <c r="CA30" s="229">
        <v>1.4E-2</v>
      </c>
      <c r="CB30" s="230">
        <v>10579000</v>
      </c>
      <c r="CC30" s="230">
        <v>10498000</v>
      </c>
      <c r="CD30" s="230">
        <v>81000</v>
      </c>
      <c r="CE30" s="229">
        <v>7.7000000000000002E-3</v>
      </c>
      <c r="CF30" s="230">
        <v>426500</v>
      </c>
      <c r="CG30" s="230">
        <v>359500</v>
      </c>
      <c r="CH30" s="230">
        <v>67000</v>
      </c>
      <c r="CI30" s="229">
        <v>0.18640000000000001</v>
      </c>
      <c r="CJ30" s="230">
        <v>47000</v>
      </c>
      <c r="CK30" s="230">
        <v>42500</v>
      </c>
      <c r="CL30" s="230">
        <v>4500</v>
      </c>
      <c r="CM30" s="229">
        <v>0.10589999999999999</v>
      </c>
      <c r="CN30" s="230">
        <v>3270000</v>
      </c>
      <c r="CO30" s="230">
        <v>3230000</v>
      </c>
      <c r="CP30" s="230">
        <v>40000</v>
      </c>
      <c r="CQ30" s="229">
        <v>1.24E-2</v>
      </c>
      <c r="CR30" s="230">
        <v>2101000</v>
      </c>
      <c r="CS30" s="230">
        <v>2172500</v>
      </c>
      <c r="CT30" s="230">
        <v>-71500</v>
      </c>
      <c r="CU30" s="229">
        <v>-3.2899999999999999E-2</v>
      </c>
      <c r="CV30" s="230">
        <v>16423500</v>
      </c>
      <c r="CW30" s="230">
        <v>16302500</v>
      </c>
      <c r="CX30" s="230">
        <v>121000</v>
      </c>
      <c r="CY30" s="229">
        <v>7.4000000000000003E-3</v>
      </c>
      <c r="CZ30" s="228">
        <v>28.12</v>
      </c>
      <c r="DA30" s="228">
        <v>28.27</v>
      </c>
      <c r="DB30" s="228">
        <v>-0.15</v>
      </c>
      <c r="DC30" s="228">
        <v>-0.15</v>
      </c>
      <c r="DD30" s="228">
        <v>38.65</v>
      </c>
      <c r="DE30" s="228">
        <v>38.729999999999997</v>
      </c>
      <c r="DF30" s="228">
        <v>-10.53</v>
      </c>
      <c r="DG30" s="228">
        <v>-0.08</v>
      </c>
      <c r="DH30" s="228">
        <v>28.07</v>
      </c>
      <c r="DI30" s="228">
        <v>28.17</v>
      </c>
      <c r="DJ30" s="228">
        <v>-0.1</v>
      </c>
      <c r="DK30" s="228">
        <v>-0.1</v>
      </c>
      <c r="DL30" s="228">
        <v>28.25</v>
      </c>
      <c r="DM30" s="228">
        <v>28.5</v>
      </c>
      <c r="DN30" s="228">
        <v>-0.25</v>
      </c>
      <c r="DO30" s="228">
        <v>-0.25</v>
      </c>
      <c r="DP30" s="228">
        <v>0.64</v>
      </c>
      <c r="DQ30" s="228">
        <v>0.67</v>
      </c>
      <c r="DR30" s="228">
        <v>-0.03</v>
      </c>
      <c r="DS30" s="229">
        <v>-4.48E-2</v>
      </c>
      <c r="DT30" s="231">
        <v>1220</v>
      </c>
      <c r="DU30" s="231">
        <v>1200</v>
      </c>
      <c r="DV30" s="228">
        <v>0.35</v>
      </c>
      <c r="DW30" s="228">
        <v>0.43</v>
      </c>
      <c r="DX30" s="228">
        <v>-0.08</v>
      </c>
      <c r="DY30" s="229">
        <v>-0.186</v>
      </c>
      <c r="DZ30" s="229">
        <v>4.2799999999999998E-2</v>
      </c>
      <c r="EA30" s="230">
        <v>402000</v>
      </c>
      <c r="EB30" s="229">
        <v>-1.2999999999999999E-3</v>
      </c>
      <c r="EC30" s="229">
        <v>4.2799999999999998E-2</v>
      </c>
      <c r="ED30" s="228">
        <v>-3.47</v>
      </c>
      <c r="EE30" s="229">
        <v>-2.8999999999999998E-3</v>
      </c>
      <c r="EF30" s="230">
        <v>215037</v>
      </c>
      <c r="EG30" s="230">
        <v>146866</v>
      </c>
      <c r="EH30" s="229">
        <v>0.4642</v>
      </c>
      <c r="EI30" s="229">
        <v>0.49409999999999998</v>
      </c>
      <c r="EJ30" s="231">
        <v>41950.3</v>
      </c>
      <c r="EK30" s="231">
        <v>13794.77</v>
      </c>
      <c r="EL30" s="231">
        <v>18298.43</v>
      </c>
      <c r="EM30" s="231">
        <v>3766</v>
      </c>
      <c r="EN30" s="231">
        <v>74043.5</v>
      </c>
      <c r="EO30" s="231">
        <v>70270.48</v>
      </c>
      <c r="EP30" s="231">
        <v>3773.02</v>
      </c>
      <c r="EQ30" s="229">
        <v>5.3699999999999998E-2</v>
      </c>
      <c r="ER30" s="231">
        <v>41199</v>
      </c>
      <c r="ES30" s="231">
        <v>24895</v>
      </c>
      <c r="ET30" s="231">
        <v>134255</v>
      </c>
      <c r="EU30" s="231">
        <v>35155737</v>
      </c>
      <c r="EV30" s="231">
        <v>200349</v>
      </c>
      <c r="EW30" s="231">
        <v>197853</v>
      </c>
      <c r="EX30" s="231">
        <v>2496</v>
      </c>
      <c r="EY30" s="229">
        <v>1.26E-2</v>
      </c>
      <c r="EZ30" s="229">
        <v>0.4672</v>
      </c>
      <c r="FA30" s="227" t="s">
        <v>555</v>
      </c>
      <c r="FB30" s="161">
        <f t="shared" si="0"/>
        <v>473500</v>
      </c>
    </row>
    <row r="31" spans="1:158" ht="17.25" hidden="1" thickBot="1" x14ac:dyDescent="0.3">
      <c r="A31" s="226">
        <v>45940</v>
      </c>
      <c r="B31" s="227" t="s">
        <v>188</v>
      </c>
      <c r="C31" s="227" t="s">
        <v>189</v>
      </c>
      <c r="D31" s="228">
        <v>475</v>
      </c>
      <c r="E31" s="231">
        <v>1950.5</v>
      </c>
      <c r="F31" s="231">
        <v>1948.7</v>
      </c>
      <c r="G31" s="228">
        <v>1.8</v>
      </c>
      <c r="H31" s="229">
        <v>8.9999999999999998E-4</v>
      </c>
      <c r="I31" s="231">
        <v>1939.9</v>
      </c>
      <c r="J31" s="231">
        <v>1942</v>
      </c>
      <c r="K31" s="228">
        <v>-2.1</v>
      </c>
      <c r="L31" s="229">
        <v>-1.1000000000000001E-3</v>
      </c>
      <c r="M31" s="231">
        <v>1950.5</v>
      </c>
      <c r="N31" s="231">
        <v>1948.7</v>
      </c>
      <c r="O31" s="228">
        <v>1.8</v>
      </c>
      <c r="P31" s="229">
        <v>8.9999999999999998E-4</v>
      </c>
      <c r="Q31" s="231">
        <v>1961.2</v>
      </c>
      <c r="R31" s="231">
        <v>1960.2</v>
      </c>
      <c r="S31" s="228">
        <v>1</v>
      </c>
      <c r="T31" s="229">
        <v>5.0000000000000001E-4</v>
      </c>
      <c r="U31" s="231">
        <v>1971.3</v>
      </c>
      <c r="V31" s="231">
        <v>1970</v>
      </c>
      <c r="W31" s="228">
        <v>1.3</v>
      </c>
      <c r="X31" s="229">
        <v>6.9999999999999999E-4</v>
      </c>
      <c r="Y31" s="228">
        <v>10.6</v>
      </c>
      <c r="Z31" s="228">
        <v>6.7</v>
      </c>
      <c r="AA31" s="228">
        <v>3.9</v>
      </c>
      <c r="AB31" s="229">
        <v>5.4999999999999997E-3</v>
      </c>
      <c r="AC31" s="228">
        <v>10.6</v>
      </c>
      <c r="AD31" s="228">
        <v>6.7</v>
      </c>
      <c r="AE31" s="228">
        <v>3.9</v>
      </c>
      <c r="AF31" s="229">
        <v>5.4999999999999997E-3</v>
      </c>
      <c r="AG31" s="228">
        <v>21.3</v>
      </c>
      <c r="AH31" s="228">
        <v>18.2</v>
      </c>
      <c r="AI31" s="228">
        <v>3.1</v>
      </c>
      <c r="AJ31" s="229">
        <v>1.0999999999999999E-2</v>
      </c>
      <c r="AK31" s="228">
        <v>31.4</v>
      </c>
      <c r="AL31" s="228">
        <v>28</v>
      </c>
      <c r="AM31" s="228">
        <v>3.4</v>
      </c>
      <c r="AN31" s="229">
        <v>1.6199999999999999E-2</v>
      </c>
      <c r="AO31" s="231">
        <v>1951.05</v>
      </c>
      <c r="AP31" s="231">
        <v>1961.69</v>
      </c>
      <c r="AQ31" s="228">
        <v>0</v>
      </c>
      <c r="AR31" s="230">
        <v>4349575</v>
      </c>
      <c r="AS31" s="230">
        <v>4113975</v>
      </c>
      <c r="AT31" s="230">
        <v>235600</v>
      </c>
      <c r="AU31" s="229">
        <v>5.7299999999999997E-2</v>
      </c>
      <c r="AV31" s="230">
        <v>3220025</v>
      </c>
      <c r="AW31" s="230">
        <v>3893575</v>
      </c>
      <c r="AX31" s="230">
        <v>-673550</v>
      </c>
      <c r="AY31" s="229">
        <v>-0.17299999999999999</v>
      </c>
      <c r="AZ31" s="230">
        <v>259825</v>
      </c>
      <c r="BA31" s="230">
        <v>205200</v>
      </c>
      <c r="BB31" s="230">
        <v>54625</v>
      </c>
      <c r="BC31" s="229">
        <v>0.26619999999999999</v>
      </c>
      <c r="BD31" s="230">
        <v>869725</v>
      </c>
      <c r="BE31" s="230">
        <v>15200</v>
      </c>
      <c r="BF31" s="230">
        <v>854525</v>
      </c>
      <c r="BG31" s="229">
        <v>56.218800000000002</v>
      </c>
      <c r="BH31" s="230">
        <v>11038525</v>
      </c>
      <c r="BI31" s="230">
        <v>18059975</v>
      </c>
      <c r="BJ31" s="230">
        <v>-7021450</v>
      </c>
      <c r="BK31" s="229">
        <v>-0.38879999999999998</v>
      </c>
      <c r="BL31" s="230">
        <v>5627325</v>
      </c>
      <c r="BM31" s="230">
        <v>9370800</v>
      </c>
      <c r="BN31" s="230">
        <v>-3743475</v>
      </c>
      <c r="BO31" s="229">
        <v>-0.39950000000000002</v>
      </c>
      <c r="BP31" s="230">
        <v>21015425</v>
      </c>
      <c r="BQ31" s="230">
        <v>31544750</v>
      </c>
      <c r="BR31" s="230">
        <v>-10529325</v>
      </c>
      <c r="BS31" s="229">
        <v>-0.33379999999999999</v>
      </c>
      <c r="BT31" s="230">
        <v>2589697</v>
      </c>
      <c r="BU31" s="230">
        <v>4352327</v>
      </c>
      <c r="BV31" s="230">
        <v>-1762630</v>
      </c>
      <c r="BW31" s="229">
        <v>-0.40500000000000003</v>
      </c>
      <c r="BX31" s="230">
        <v>49790450</v>
      </c>
      <c r="BY31" s="230">
        <v>49104075</v>
      </c>
      <c r="BZ31" s="230">
        <v>686375</v>
      </c>
      <c r="CA31" s="229">
        <v>1.4E-2</v>
      </c>
      <c r="CB31" s="230">
        <v>46668750</v>
      </c>
      <c r="CC31" s="230">
        <v>46921925</v>
      </c>
      <c r="CD31" s="230">
        <v>-253175</v>
      </c>
      <c r="CE31" s="229">
        <v>-5.4000000000000003E-3</v>
      </c>
      <c r="CF31" s="230">
        <v>601350</v>
      </c>
      <c r="CG31" s="230">
        <v>498750</v>
      </c>
      <c r="CH31" s="230">
        <v>102600</v>
      </c>
      <c r="CI31" s="229">
        <v>0.20569999999999999</v>
      </c>
      <c r="CJ31" s="230">
        <v>2520350</v>
      </c>
      <c r="CK31" s="230">
        <v>1683400</v>
      </c>
      <c r="CL31" s="230">
        <v>836950</v>
      </c>
      <c r="CM31" s="229">
        <v>0.49719999999999998</v>
      </c>
      <c r="CN31" s="230">
        <v>12763250</v>
      </c>
      <c r="CO31" s="230">
        <v>11249900</v>
      </c>
      <c r="CP31" s="230">
        <v>1513350</v>
      </c>
      <c r="CQ31" s="229">
        <v>0.13450000000000001</v>
      </c>
      <c r="CR31" s="230">
        <v>6094250</v>
      </c>
      <c r="CS31" s="230">
        <v>5890475</v>
      </c>
      <c r="CT31" s="230">
        <v>203775</v>
      </c>
      <c r="CU31" s="229">
        <v>3.4599999999999999E-2</v>
      </c>
      <c r="CV31" s="230">
        <v>68647950</v>
      </c>
      <c r="CW31" s="230">
        <v>66244450</v>
      </c>
      <c r="CX31" s="230">
        <v>2403500</v>
      </c>
      <c r="CY31" s="229">
        <v>3.6299999999999999E-2</v>
      </c>
      <c r="CZ31" s="228">
        <v>14.25</v>
      </c>
      <c r="DA31" s="228">
        <v>15.07</v>
      </c>
      <c r="DB31" s="228">
        <v>-0.82</v>
      </c>
      <c r="DC31" s="228">
        <v>-0.82</v>
      </c>
      <c r="DD31" s="228">
        <v>24.76</v>
      </c>
      <c r="DE31" s="228">
        <v>24.82</v>
      </c>
      <c r="DF31" s="228">
        <v>-10.51</v>
      </c>
      <c r="DG31" s="228">
        <v>-0.06</v>
      </c>
      <c r="DH31" s="228">
        <v>13.93</v>
      </c>
      <c r="DI31" s="228">
        <v>14.82</v>
      </c>
      <c r="DJ31" s="228">
        <v>-0.89</v>
      </c>
      <c r="DK31" s="228">
        <v>-0.89</v>
      </c>
      <c r="DL31" s="228">
        <v>14.88</v>
      </c>
      <c r="DM31" s="228">
        <v>15.55</v>
      </c>
      <c r="DN31" s="228">
        <v>-0.67</v>
      </c>
      <c r="DO31" s="228">
        <v>-0.67</v>
      </c>
      <c r="DP31" s="228">
        <v>0.48</v>
      </c>
      <c r="DQ31" s="228">
        <v>0.52</v>
      </c>
      <c r="DR31" s="228">
        <v>-0.04</v>
      </c>
      <c r="DS31" s="229">
        <v>-7.6899999999999996E-2</v>
      </c>
      <c r="DT31" s="231">
        <v>1960</v>
      </c>
      <c r="DU31" s="231">
        <v>1900</v>
      </c>
      <c r="DV31" s="228">
        <v>0.51</v>
      </c>
      <c r="DW31" s="228">
        <v>0.52</v>
      </c>
      <c r="DX31" s="228">
        <v>-0.01</v>
      </c>
      <c r="DY31" s="229">
        <v>-1.9199999999999998E-2</v>
      </c>
      <c r="DZ31" s="229">
        <v>6.2700000000000006E-2</v>
      </c>
      <c r="EA31" s="230">
        <v>2182150</v>
      </c>
      <c r="EB31" s="229">
        <v>5.4999999999999997E-3</v>
      </c>
      <c r="EC31" s="229">
        <v>6.2700000000000006E-2</v>
      </c>
      <c r="ED31" s="228">
        <v>10.64</v>
      </c>
      <c r="EE31" s="229">
        <v>5.4999999999999997E-3</v>
      </c>
      <c r="EF31" s="230">
        <v>1725638</v>
      </c>
      <c r="EG31" s="230">
        <v>2480893</v>
      </c>
      <c r="EH31" s="229">
        <v>-0.3044</v>
      </c>
      <c r="EI31" s="229">
        <v>0.6663</v>
      </c>
      <c r="EJ31" s="231">
        <v>220029.62</v>
      </c>
      <c r="EK31" s="231">
        <v>108853.4</v>
      </c>
      <c r="EL31" s="231">
        <v>85085.09</v>
      </c>
      <c r="EM31" s="231">
        <v>12191</v>
      </c>
      <c r="EN31" s="231">
        <v>413968.11</v>
      </c>
      <c r="EO31" s="231">
        <v>622100.98</v>
      </c>
      <c r="EP31" s="231">
        <v>-208132.87</v>
      </c>
      <c r="EQ31" s="229">
        <v>-0.33460000000000001</v>
      </c>
      <c r="ER31" s="231">
        <v>251952</v>
      </c>
      <c r="ES31" s="231">
        <v>114545</v>
      </c>
      <c r="ET31" s="231">
        <v>971751</v>
      </c>
      <c r="EU31" s="231">
        <v>314058656</v>
      </c>
      <c r="EV31" s="231">
        <v>1338248</v>
      </c>
      <c r="EW31" s="231">
        <v>1290073</v>
      </c>
      <c r="EX31" s="231">
        <v>48175</v>
      </c>
      <c r="EY31" s="229">
        <v>3.73E-2</v>
      </c>
      <c r="EZ31" s="229">
        <v>0.21859999999999999</v>
      </c>
      <c r="FA31" s="227" t="s">
        <v>555</v>
      </c>
      <c r="FB31" s="161">
        <f t="shared" si="0"/>
        <v>3121700</v>
      </c>
    </row>
    <row r="32" spans="1:158" ht="17.25" hidden="1" thickBot="1" x14ac:dyDescent="0.3">
      <c r="A32" s="226">
        <v>45940</v>
      </c>
      <c r="B32" s="227" t="s">
        <v>184</v>
      </c>
      <c r="C32" s="227" t="s">
        <v>190</v>
      </c>
      <c r="D32" s="228">
        <v>2625</v>
      </c>
      <c r="E32" s="228">
        <v>240.26</v>
      </c>
      <c r="F32" s="228">
        <v>240.47</v>
      </c>
      <c r="G32" s="228">
        <v>-0.21</v>
      </c>
      <c r="H32" s="229">
        <v>-8.9999999999999998E-4</v>
      </c>
      <c r="I32" s="228">
        <v>239.64</v>
      </c>
      <c r="J32" s="228">
        <v>239.04</v>
      </c>
      <c r="K32" s="228">
        <v>0.6</v>
      </c>
      <c r="L32" s="229">
        <v>2.5000000000000001E-3</v>
      </c>
      <c r="M32" s="228">
        <v>240.26</v>
      </c>
      <c r="N32" s="228">
        <v>240.47</v>
      </c>
      <c r="O32" s="228">
        <v>-0.21</v>
      </c>
      <c r="P32" s="229">
        <v>-8.9999999999999998E-4</v>
      </c>
      <c r="Q32" s="228">
        <v>241.86</v>
      </c>
      <c r="R32" s="228">
        <v>241.87</v>
      </c>
      <c r="S32" s="228">
        <v>-0.01</v>
      </c>
      <c r="T32" s="229">
        <v>0</v>
      </c>
      <c r="U32" s="228">
        <v>243.04</v>
      </c>
      <c r="V32" s="228">
        <v>243.28</v>
      </c>
      <c r="W32" s="228">
        <v>-0.24</v>
      </c>
      <c r="X32" s="229">
        <v>-1E-3</v>
      </c>
      <c r="Y32" s="228">
        <v>0.62</v>
      </c>
      <c r="Z32" s="228">
        <v>1.43</v>
      </c>
      <c r="AA32" s="228">
        <v>-0.81</v>
      </c>
      <c r="AB32" s="229">
        <v>2.5999999999999999E-3</v>
      </c>
      <c r="AC32" s="228">
        <v>0.62</v>
      </c>
      <c r="AD32" s="228">
        <v>1.43</v>
      </c>
      <c r="AE32" s="228">
        <v>-0.81</v>
      </c>
      <c r="AF32" s="229">
        <v>2.5999999999999999E-3</v>
      </c>
      <c r="AG32" s="228">
        <v>2.2200000000000002</v>
      </c>
      <c r="AH32" s="228">
        <v>2.83</v>
      </c>
      <c r="AI32" s="228">
        <v>-0.61</v>
      </c>
      <c r="AJ32" s="229">
        <v>9.2999999999999992E-3</v>
      </c>
      <c r="AK32" s="228">
        <v>3.4</v>
      </c>
      <c r="AL32" s="228">
        <v>4.24</v>
      </c>
      <c r="AM32" s="228">
        <v>-0.84</v>
      </c>
      <c r="AN32" s="229">
        <v>1.4200000000000001E-2</v>
      </c>
      <c r="AO32" s="228">
        <v>241.75</v>
      </c>
      <c r="AP32" s="228">
        <v>243.19</v>
      </c>
      <c r="AQ32" s="228">
        <v>0</v>
      </c>
      <c r="AR32" s="230">
        <v>10263750</v>
      </c>
      <c r="AS32" s="230">
        <v>8184750</v>
      </c>
      <c r="AT32" s="230">
        <v>2079000</v>
      </c>
      <c r="AU32" s="229">
        <v>0.254</v>
      </c>
      <c r="AV32" s="230">
        <v>9749250</v>
      </c>
      <c r="AW32" s="230">
        <v>7801500</v>
      </c>
      <c r="AX32" s="230">
        <v>1947750</v>
      </c>
      <c r="AY32" s="229">
        <v>0.24970000000000001</v>
      </c>
      <c r="AZ32" s="230">
        <v>456750</v>
      </c>
      <c r="BA32" s="230">
        <v>330750</v>
      </c>
      <c r="BB32" s="230">
        <v>126000</v>
      </c>
      <c r="BC32" s="229">
        <v>0.38100000000000001</v>
      </c>
      <c r="BD32" s="230">
        <v>57750</v>
      </c>
      <c r="BE32" s="230">
        <v>52500</v>
      </c>
      <c r="BF32" s="230">
        <v>5250</v>
      </c>
      <c r="BG32" s="229">
        <v>0.1</v>
      </c>
      <c r="BH32" s="230">
        <v>23320500</v>
      </c>
      <c r="BI32" s="230">
        <v>16254000</v>
      </c>
      <c r="BJ32" s="230">
        <v>7066500</v>
      </c>
      <c r="BK32" s="229">
        <v>0.43480000000000002</v>
      </c>
      <c r="BL32" s="230">
        <v>12686625</v>
      </c>
      <c r="BM32" s="230">
        <v>8355375</v>
      </c>
      <c r="BN32" s="230">
        <v>4331250</v>
      </c>
      <c r="BO32" s="229">
        <v>0.51839999999999997</v>
      </c>
      <c r="BP32" s="230">
        <v>46270875</v>
      </c>
      <c r="BQ32" s="230">
        <v>32794125</v>
      </c>
      <c r="BR32" s="230">
        <v>13476750</v>
      </c>
      <c r="BS32" s="229">
        <v>0.41099999999999998</v>
      </c>
      <c r="BT32" s="230">
        <v>7260553</v>
      </c>
      <c r="BU32" s="230">
        <v>4484864</v>
      </c>
      <c r="BV32" s="230">
        <v>2775689</v>
      </c>
      <c r="BW32" s="229">
        <v>0.61890000000000001</v>
      </c>
      <c r="BX32" s="230">
        <v>57498000</v>
      </c>
      <c r="BY32" s="230">
        <v>58099125</v>
      </c>
      <c r="BZ32" s="230">
        <v>-601125</v>
      </c>
      <c r="CA32" s="229">
        <v>-1.03E-2</v>
      </c>
      <c r="CB32" s="230">
        <v>55558125</v>
      </c>
      <c r="CC32" s="230">
        <v>56287875</v>
      </c>
      <c r="CD32" s="230">
        <v>-729750</v>
      </c>
      <c r="CE32" s="229">
        <v>-1.2999999999999999E-2</v>
      </c>
      <c r="CF32" s="230">
        <v>1669500</v>
      </c>
      <c r="CG32" s="230">
        <v>1564500</v>
      </c>
      <c r="CH32" s="230">
        <v>105000</v>
      </c>
      <c r="CI32" s="229">
        <v>6.7100000000000007E-2</v>
      </c>
      <c r="CJ32" s="230">
        <v>270375</v>
      </c>
      <c r="CK32" s="230">
        <v>246750</v>
      </c>
      <c r="CL32" s="230">
        <v>23625</v>
      </c>
      <c r="CM32" s="229">
        <v>9.5699999999999993E-2</v>
      </c>
      <c r="CN32" s="230">
        <v>21401625</v>
      </c>
      <c r="CO32" s="230">
        <v>20939625</v>
      </c>
      <c r="CP32" s="230">
        <v>462000</v>
      </c>
      <c r="CQ32" s="229">
        <v>2.2100000000000002E-2</v>
      </c>
      <c r="CR32" s="230">
        <v>15030750</v>
      </c>
      <c r="CS32" s="230">
        <v>14642250</v>
      </c>
      <c r="CT32" s="230">
        <v>388500</v>
      </c>
      <c r="CU32" s="229">
        <v>2.6499999999999999E-2</v>
      </c>
      <c r="CV32" s="230">
        <v>93930375</v>
      </c>
      <c r="CW32" s="230">
        <v>93681000</v>
      </c>
      <c r="CX32" s="230">
        <v>249375</v>
      </c>
      <c r="CY32" s="229">
        <v>2.7000000000000001E-3</v>
      </c>
      <c r="CZ32" s="228">
        <v>27.9</v>
      </c>
      <c r="DA32" s="228">
        <v>28.74</v>
      </c>
      <c r="DB32" s="228">
        <v>-0.84</v>
      </c>
      <c r="DC32" s="228">
        <v>-0.84</v>
      </c>
      <c r="DD32" s="228">
        <v>46.12</v>
      </c>
      <c r="DE32" s="228">
        <v>46.24</v>
      </c>
      <c r="DF32" s="228">
        <v>-18.22</v>
      </c>
      <c r="DG32" s="228">
        <v>-0.12</v>
      </c>
      <c r="DH32" s="228">
        <v>28.16</v>
      </c>
      <c r="DI32" s="228">
        <v>28.92</v>
      </c>
      <c r="DJ32" s="228">
        <v>-0.76</v>
      </c>
      <c r="DK32" s="228">
        <v>-0.76</v>
      </c>
      <c r="DL32" s="228">
        <v>27.42</v>
      </c>
      <c r="DM32" s="228">
        <v>28.41</v>
      </c>
      <c r="DN32" s="228">
        <v>-0.99</v>
      </c>
      <c r="DO32" s="228">
        <v>-0.99</v>
      </c>
      <c r="DP32" s="228">
        <v>0.7</v>
      </c>
      <c r="DQ32" s="228">
        <v>0.7</v>
      </c>
      <c r="DR32" s="228">
        <v>0</v>
      </c>
      <c r="DS32" s="229">
        <v>0</v>
      </c>
      <c r="DT32" s="228">
        <v>250</v>
      </c>
      <c r="DU32" s="228">
        <v>240</v>
      </c>
      <c r="DV32" s="228">
        <v>0.54</v>
      </c>
      <c r="DW32" s="228">
        <v>0.51</v>
      </c>
      <c r="DX32" s="228">
        <v>0.03</v>
      </c>
      <c r="DY32" s="229">
        <v>5.8799999999999998E-2</v>
      </c>
      <c r="DZ32" s="229">
        <v>3.3700000000000001E-2</v>
      </c>
      <c r="EA32" s="230">
        <v>1811250</v>
      </c>
      <c r="EB32" s="229">
        <v>6.7000000000000002E-3</v>
      </c>
      <c r="EC32" s="229">
        <v>3.3700000000000001E-2</v>
      </c>
      <c r="ED32" s="228">
        <v>1.44</v>
      </c>
      <c r="EE32" s="229">
        <v>6.0000000000000001E-3</v>
      </c>
      <c r="EF32" s="230">
        <v>3535256</v>
      </c>
      <c r="EG32" s="230">
        <v>2175230</v>
      </c>
      <c r="EH32" s="229">
        <v>0.62519999999999998</v>
      </c>
      <c r="EI32" s="229">
        <v>0.4869</v>
      </c>
      <c r="EJ32" s="231">
        <v>58603.29</v>
      </c>
      <c r="EK32" s="231">
        <v>30908.19</v>
      </c>
      <c r="EL32" s="231">
        <v>24821.05</v>
      </c>
      <c r="EM32" s="231">
        <v>3754</v>
      </c>
      <c r="EN32" s="231">
        <v>114332.53</v>
      </c>
      <c r="EO32" s="231">
        <v>80786.98</v>
      </c>
      <c r="EP32" s="231">
        <v>33545.550000000003</v>
      </c>
      <c r="EQ32" s="229">
        <v>0.41520000000000001</v>
      </c>
      <c r="ER32" s="231">
        <v>53345</v>
      </c>
      <c r="ES32" s="231">
        <v>35435</v>
      </c>
      <c r="ET32" s="231">
        <v>138179</v>
      </c>
      <c r="EU32" s="231">
        <v>169029877</v>
      </c>
      <c r="EV32" s="231">
        <v>226959</v>
      </c>
      <c r="EW32" s="231">
        <v>226454</v>
      </c>
      <c r="EX32" s="228">
        <v>505</v>
      </c>
      <c r="EY32" s="229">
        <v>2.2000000000000001E-3</v>
      </c>
      <c r="EZ32" s="229">
        <v>0.55569999999999997</v>
      </c>
      <c r="FA32" s="227" t="s">
        <v>568</v>
      </c>
      <c r="FB32" s="161">
        <f t="shared" si="0"/>
        <v>1939875</v>
      </c>
    </row>
    <row r="33" spans="1:158" ht="17.25" hidden="1" thickBot="1" x14ac:dyDescent="0.3">
      <c r="A33" s="226">
        <v>45940</v>
      </c>
      <c r="B33" s="227" t="s">
        <v>170</v>
      </c>
      <c r="C33" s="227" t="s">
        <v>191</v>
      </c>
      <c r="D33" s="228">
        <v>2500</v>
      </c>
      <c r="E33" s="228">
        <v>354.7</v>
      </c>
      <c r="F33" s="228">
        <v>354.25</v>
      </c>
      <c r="G33" s="228">
        <v>0.45</v>
      </c>
      <c r="H33" s="229">
        <v>1.2999999999999999E-3</v>
      </c>
      <c r="I33" s="228">
        <v>353.45</v>
      </c>
      <c r="J33" s="228">
        <v>352.5</v>
      </c>
      <c r="K33" s="228">
        <v>0.95</v>
      </c>
      <c r="L33" s="229">
        <v>2.7000000000000001E-3</v>
      </c>
      <c r="M33" s="228">
        <v>354.7</v>
      </c>
      <c r="N33" s="228">
        <v>354.25</v>
      </c>
      <c r="O33" s="228">
        <v>0.45</v>
      </c>
      <c r="P33" s="229">
        <v>1.2999999999999999E-3</v>
      </c>
      <c r="Q33" s="228">
        <v>356.8</v>
      </c>
      <c r="R33" s="228">
        <v>356.2</v>
      </c>
      <c r="S33" s="228">
        <v>0.6</v>
      </c>
      <c r="T33" s="229">
        <v>1.6999999999999999E-3</v>
      </c>
      <c r="U33" s="228">
        <v>361</v>
      </c>
      <c r="V33" s="228">
        <v>358.2</v>
      </c>
      <c r="W33" s="228">
        <v>2.8</v>
      </c>
      <c r="X33" s="229">
        <v>7.7999999999999996E-3</v>
      </c>
      <c r="Y33" s="228">
        <v>1.25</v>
      </c>
      <c r="Z33" s="228">
        <v>1.75</v>
      </c>
      <c r="AA33" s="228">
        <v>-0.5</v>
      </c>
      <c r="AB33" s="229">
        <v>3.5000000000000001E-3</v>
      </c>
      <c r="AC33" s="228">
        <v>1.25</v>
      </c>
      <c r="AD33" s="228">
        <v>1.75</v>
      </c>
      <c r="AE33" s="228">
        <v>-0.5</v>
      </c>
      <c r="AF33" s="229">
        <v>3.5000000000000001E-3</v>
      </c>
      <c r="AG33" s="228">
        <v>3.35</v>
      </c>
      <c r="AH33" s="228">
        <v>3.7</v>
      </c>
      <c r="AI33" s="228">
        <v>-0.35</v>
      </c>
      <c r="AJ33" s="229">
        <v>9.4999999999999998E-3</v>
      </c>
      <c r="AK33" s="228">
        <v>7.55</v>
      </c>
      <c r="AL33" s="228">
        <v>5.7</v>
      </c>
      <c r="AM33" s="228">
        <v>1.85</v>
      </c>
      <c r="AN33" s="229">
        <v>2.1399999999999999E-2</v>
      </c>
      <c r="AO33" s="228">
        <v>355.38</v>
      </c>
      <c r="AP33" s="228">
        <v>357.89</v>
      </c>
      <c r="AQ33" s="228">
        <v>0</v>
      </c>
      <c r="AR33" s="230">
        <v>10675000</v>
      </c>
      <c r="AS33" s="230">
        <v>6102500</v>
      </c>
      <c r="AT33" s="230">
        <v>4572500</v>
      </c>
      <c r="AU33" s="229">
        <v>0.74929999999999997</v>
      </c>
      <c r="AV33" s="230">
        <v>9357500</v>
      </c>
      <c r="AW33" s="230">
        <v>5732500</v>
      </c>
      <c r="AX33" s="230">
        <v>3625000</v>
      </c>
      <c r="AY33" s="229">
        <v>0.63239999999999996</v>
      </c>
      <c r="AZ33" s="230">
        <v>1245000</v>
      </c>
      <c r="BA33" s="230">
        <v>307500</v>
      </c>
      <c r="BB33" s="230">
        <v>937500</v>
      </c>
      <c r="BC33" s="229">
        <v>3.0488</v>
      </c>
      <c r="BD33" s="230">
        <v>72500</v>
      </c>
      <c r="BE33" s="230">
        <v>62500</v>
      </c>
      <c r="BF33" s="230">
        <v>10000</v>
      </c>
      <c r="BG33" s="229">
        <v>0.16</v>
      </c>
      <c r="BH33" s="230">
        <v>34452500</v>
      </c>
      <c r="BI33" s="230">
        <v>19295000</v>
      </c>
      <c r="BJ33" s="230">
        <v>15157500</v>
      </c>
      <c r="BK33" s="229">
        <v>0.78559999999999997</v>
      </c>
      <c r="BL33" s="230">
        <v>13580000</v>
      </c>
      <c r="BM33" s="230">
        <v>6355000</v>
      </c>
      <c r="BN33" s="230">
        <v>7225000</v>
      </c>
      <c r="BO33" s="229">
        <v>1.1369</v>
      </c>
      <c r="BP33" s="230">
        <v>58707500</v>
      </c>
      <c r="BQ33" s="230">
        <v>31752500</v>
      </c>
      <c r="BR33" s="230">
        <v>26955000</v>
      </c>
      <c r="BS33" s="229">
        <v>0.84889999999999999</v>
      </c>
      <c r="BT33" s="230">
        <v>2169278</v>
      </c>
      <c r="BU33" s="230">
        <v>2714503</v>
      </c>
      <c r="BV33" s="230">
        <v>-545225</v>
      </c>
      <c r="BW33" s="229">
        <v>-0.2009</v>
      </c>
      <c r="BX33" s="230">
        <v>42307500</v>
      </c>
      <c r="BY33" s="230">
        <v>41257500</v>
      </c>
      <c r="BZ33" s="230">
        <v>1050000</v>
      </c>
      <c r="CA33" s="229">
        <v>2.5399999999999999E-2</v>
      </c>
      <c r="CB33" s="230">
        <v>40650000</v>
      </c>
      <c r="CC33" s="230">
        <v>40072500</v>
      </c>
      <c r="CD33" s="230">
        <v>577500</v>
      </c>
      <c r="CE33" s="229">
        <v>1.44E-2</v>
      </c>
      <c r="CF33" s="230">
        <v>1535000</v>
      </c>
      <c r="CG33" s="230">
        <v>1080000</v>
      </c>
      <c r="CH33" s="230">
        <v>455000</v>
      </c>
      <c r="CI33" s="229">
        <v>0.42130000000000001</v>
      </c>
      <c r="CJ33" s="230">
        <v>122500</v>
      </c>
      <c r="CK33" s="230">
        <v>105000</v>
      </c>
      <c r="CL33" s="230">
        <v>17500</v>
      </c>
      <c r="CM33" s="229">
        <v>0.16669999999999999</v>
      </c>
      <c r="CN33" s="230">
        <v>15197500</v>
      </c>
      <c r="CO33" s="230">
        <v>14565000</v>
      </c>
      <c r="CP33" s="230">
        <v>632500</v>
      </c>
      <c r="CQ33" s="229">
        <v>4.3400000000000001E-2</v>
      </c>
      <c r="CR33" s="230">
        <v>9632500</v>
      </c>
      <c r="CS33" s="230">
        <v>9132500</v>
      </c>
      <c r="CT33" s="230">
        <v>500000</v>
      </c>
      <c r="CU33" s="229">
        <v>5.4699999999999999E-2</v>
      </c>
      <c r="CV33" s="230">
        <v>67137500</v>
      </c>
      <c r="CW33" s="230">
        <v>64955000</v>
      </c>
      <c r="CX33" s="230">
        <v>2182500</v>
      </c>
      <c r="CY33" s="229">
        <v>3.3599999999999998E-2</v>
      </c>
      <c r="CZ33" s="228">
        <v>25.5</v>
      </c>
      <c r="DA33" s="228">
        <v>25.64</v>
      </c>
      <c r="DB33" s="228">
        <v>-0.14000000000000001</v>
      </c>
      <c r="DC33" s="228">
        <v>-0.14000000000000001</v>
      </c>
      <c r="DD33" s="228">
        <v>39.54</v>
      </c>
      <c r="DE33" s="228">
        <v>39.64</v>
      </c>
      <c r="DF33" s="228">
        <v>-14.04</v>
      </c>
      <c r="DG33" s="228">
        <v>-0.1</v>
      </c>
      <c r="DH33" s="228">
        <v>25.37</v>
      </c>
      <c r="DI33" s="228">
        <v>25.38</v>
      </c>
      <c r="DJ33" s="228">
        <v>-0.01</v>
      </c>
      <c r="DK33" s="228">
        <v>-0.01</v>
      </c>
      <c r="DL33" s="228">
        <v>25.8</v>
      </c>
      <c r="DM33" s="228">
        <v>26.44</v>
      </c>
      <c r="DN33" s="228">
        <v>-0.64</v>
      </c>
      <c r="DO33" s="228">
        <v>-0.64</v>
      </c>
      <c r="DP33" s="228">
        <v>0.63</v>
      </c>
      <c r="DQ33" s="228">
        <v>0.63</v>
      </c>
      <c r="DR33" s="228">
        <v>0</v>
      </c>
      <c r="DS33" s="229">
        <v>0</v>
      </c>
      <c r="DT33" s="228">
        <v>360</v>
      </c>
      <c r="DU33" s="228">
        <v>350</v>
      </c>
      <c r="DV33" s="228">
        <v>0.39</v>
      </c>
      <c r="DW33" s="228">
        <v>0.33</v>
      </c>
      <c r="DX33" s="228">
        <v>0.06</v>
      </c>
      <c r="DY33" s="229">
        <v>0.18179999999999999</v>
      </c>
      <c r="DZ33" s="229">
        <v>3.9199999999999999E-2</v>
      </c>
      <c r="EA33" s="230">
        <v>1185000</v>
      </c>
      <c r="EB33" s="229">
        <v>5.8999999999999999E-3</v>
      </c>
      <c r="EC33" s="229">
        <v>3.9199999999999999E-2</v>
      </c>
      <c r="ED33" s="228">
        <v>2.5099999999999998</v>
      </c>
      <c r="EE33" s="229">
        <v>7.1000000000000004E-3</v>
      </c>
      <c r="EF33" s="230">
        <v>811755</v>
      </c>
      <c r="EG33" s="230">
        <v>1160301</v>
      </c>
      <c r="EH33" s="229">
        <v>-0.3004</v>
      </c>
      <c r="EI33" s="229">
        <v>0.37419999999999998</v>
      </c>
      <c r="EJ33" s="231">
        <v>127086.33</v>
      </c>
      <c r="EK33" s="231">
        <v>48018.25</v>
      </c>
      <c r="EL33" s="231">
        <v>37971.85</v>
      </c>
      <c r="EM33" s="231">
        <v>2139</v>
      </c>
      <c r="EN33" s="231">
        <v>213076.43</v>
      </c>
      <c r="EO33" s="231">
        <v>114807.79</v>
      </c>
      <c r="EP33" s="231">
        <v>98268.64</v>
      </c>
      <c r="EQ33" s="229">
        <v>0.85589999999999999</v>
      </c>
      <c r="ER33" s="231">
        <v>56279</v>
      </c>
      <c r="ES33" s="231">
        <v>32936</v>
      </c>
      <c r="ET33" s="231">
        <v>150105</v>
      </c>
      <c r="EU33" s="231">
        <v>90981174</v>
      </c>
      <c r="EV33" s="231">
        <v>239320</v>
      </c>
      <c r="EW33" s="231">
        <v>231319</v>
      </c>
      <c r="EX33" s="231">
        <v>8001</v>
      </c>
      <c r="EY33" s="229">
        <v>3.4599999999999999E-2</v>
      </c>
      <c r="EZ33" s="229">
        <v>0.7379</v>
      </c>
      <c r="FA33" s="227" t="s">
        <v>555</v>
      </c>
      <c r="FB33" s="161">
        <f t="shared" si="0"/>
        <v>1657500</v>
      </c>
    </row>
    <row r="34" spans="1:158" ht="17.25" hidden="1" thickBot="1" x14ac:dyDescent="0.3">
      <c r="A34" s="226">
        <v>45940</v>
      </c>
      <c r="B34" s="227" t="s">
        <v>184</v>
      </c>
      <c r="C34" s="227" t="s">
        <v>681</v>
      </c>
      <c r="D34" s="228">
        <v>325</v>
      </c>
      <c r="E34" s="231">
        <v>1958</v>
      </c>
      <c r="F34" s="231">
        <v>1899</v>
      </c>
      <c r="G34" s="228">
        <v>59</v>
      </c>
      <c r="H34" s="229">
        <v>3.1099999999999999E-2</v>
      </c>
      <c r="I34" s="231">
        <v>1949.1</v>
      </c>
      <c r="J34" s="231">
        <v>1892.3</v>
      </c>
      <c r="K34" s="228">
        <v>56.8</v>
      </c>
      <c r="L34" s="229">
        <v>0.03</v>
      </c>
      <c r="M34" s="231">
        <v>1958</v>
      </c>
      <c r="N34" s="231">
        <v>1899</v>
      </c>
      <c r="O34" s="228">
        <v>59</v>
      </c>
      <c r="P34" s="229">
        <v>3.1099999999999999E-2</v>
      </c>
      <c r="Q34" s="231">
        <v>1957.6</v>
      </c>
      <c r="R34" s="231">
        <v>1891.6</v>
      </c>
      <c r="S34" s="228">
        <v>66</v>
      </c>
      <c r="T34" s="229">
        <v>3.49E-2</v>
      </c>
      <c r="U34" s="231">
        <v>1930.1</v>
      </c>
      <c r="V34" s="231">
        <v>1887</v>
      </c>
      <c r="W34" s="228">
        <v>43.1</v>
      </c>
      <c r="X34" s="229">
        <v>2.2800000000000001E-2</v>
      </c>
      <c r="Y34" s="228">
        <v>8.9</v>
      </c>
      <c r="Z34" s="228">
        <v>6.7</v>
      </c>
      <c r="AA34" s="228">
        <v>2.2000000000000002</v>
      </c>
      <c r="AB34" s="229">
        <v>4.5999999999999999E-3</v>
      </c>
      <c r="AC34" s="228">
        <v>8.9</v>
      </c>
      <c r="AD34" s="228">
        <v>6.7</v>
      </c>
      <c r="AE34" s="228">
        <v>2.2000000000000002</v>
      </c>
      <c r="AF34" s="229">
        <v>4.5999999999999999E-3</v>
      </c>
      <c r="AG34" s="228">
        <v>8.5</v>
      </c>
      <c r="AH34" s="228">
        <v>-0.7</v>
      </c>
      <c r="AI34" s="228">
        <v>9.1999999999999993</v>
      </c>
      <c r="AJ34" s="229">
        <v>4.4000000000000003E-3</v>
      </c>
      <c r="AK34" s="228">
        <v>-19</v>
      </c>
      <c r="AL34" s="228">
        <v>-5.3</v>
      </c>
      <c r="AM34" s="228">
        <v>-13.7</v>
      </c>
      <c r="AN34" s="229">
        <v>-9.7000000000000003E-3</v>
      </c>
      <c r="AO34" s="231">
        <v>1948.18</v>
      </c>
      <c r="AP34" s="231">
        <v>1943.61</v>
      </c>
      <c r="AQ34" s="228">
        <v>0</v>
      </c>
      <c r="AR34" s="230">
        <v>1211275</v>
      </c>
      <c r="AS34" s="230">
        <v>339950</v>
      </c>
      <c r="AT34" s="230">
        <v>871325</v>
      </c>
      <c r="AU34" s="229">
        <v>2.5630999999999999</v>
      </c>
      <c r="AV34" s="230">
        <v>1171950</v>
      </c>
      <c r="AW34" s="230">
        <v>319475</v>
      </c>
      <c r="AX34" s="230">
        <v>852475</v>
      </c>
      <c r="AY34" s="229">
        <v>2.6684000000000001</v>
      </c>
      <c r="AZ34" s="230">
        <v>38675</v>
      </c>
      <c r="BA34" s="230">
        <v>20475</v>
      </c>
      <c r="BB34" s="230">
        <v>18200</v>
      </c>
      <c r="BC34" s="229">
        <v>0.88890000000000002</v>
      </c>
      <c r="BD34" s="228">
        <v>650</v>
      </c>
      <c r="BE34" s="228">
        <v>0</v>
      </c>
      <c r="BF34" s="228">
        <v>650</v>
      </c>
      <c r="BG34" s="229">
        <v>0</v>
      </c>
      <c r="BH34" s="230">
        <v>3421600</v>
      </c>
      <c r="BI34" s="230">
        <v>261950</v>
      </c>
      <c r="BJ34" s="230">
        <v>3159650</v>
      </c>
      <c r="BK34" s="229">
        <v>12.061999999999999</v>
      </c>
      <c r="BL34" s="230">
        <v>989300</v>
      </c>
      <c r="BM34" s="230">
        <v>116350</v>
      </c>
      <c r="BN34" s="230">
        <v>872950</v>
      </c>
      <c r="BO34" s="229">
        <v>7.5027999999999997</v>
      </c>
      <c r="BP34" s="230">
        <v>5622175</v>
      </c>
      <c r="BQ34" s="230">
        <v>718250</v>
      </c>
      <c r="BR34" s="230">
        <v>4903925</v>
      </c>
      <c r="BS34" s="229">
        <v>6.8276000000000003</v>
      </c>
      <c r="BT34" s="230">
        <v>1163805</v>
      </c>
      <c r="BU34" s="230">
        <v>308119</v>
      </c>
      <c r="BV34" s="230">
        <v>855686</v>
      </c>
      <c r="BW34" s="229">
        <v>2.7770999999999999</v>
      </c>
      <c r="BX34" s="230">
        <v>1862250</v>
      </c>
      <c r="BY34" s="230">
        <v>1885325</v>
      </c>
      <c r="BZ34" s="230">
        <v>-23075</v>
      </c>
      <c r="CA34" s="229">
        <v>-1.2200000000000001E-2</v>
      </c>
      <c r="CB34" s="230">
        <v>1820650</v>
      </c>
      <c r="CC34" s="230">
        <v>1850875</v>
      </c>
      <c r="CD34" s="230">
        <v>-30225</v>
      </c>
      <c r="CE34" s="229">
        <v>-1.6299999999999999E-2</v>
      </c>
      <c r="CF34" s="230">
        <v>38025</v>
      </c>
      <c r="CG34" s="230">
        <v>30875</v>
      </c>
      <c r="CH34" s="230">
        <v>7150</v>
      </c>
      <c r="CI34" s="229">
        <v>0.2316</v>
      </c>
      <c r="CJ34" s="230">
        <v>3575</v>
      </c>
      <c r="CK34" s="230">
        <v>3575</v>
      </c>
      <c r="CL34" s="228">
        <v>0</v>
      </c>
      <c r="CM34" s="229">
        <v>0</v>
      </c>
      <c r="CN34" s="230">
        <v>495625</v>
      </c>
      <c r="CO34" s="230">
        <v>360425</v>
      </c>
      <c r="CP34" s="230">
        <v>135200</v>
      </c>
      <c r="CQ34" s="229">
        <v>0.37509999999999999</v>
      </c>
      <c r="CR34" s="230">
        <v>307125</v>
      </c>
      <c r="CS34" s="230">
        <v>260650</v>
      </c>
      <c r="CT34" s="230">
        <v>46475</v>
      </c>
      <c r="CU34" s="229">
        <v>0.17829999999999999</v>
      </c>
      <c r="CV34" s="230">
        <v>2665000</v>
      </c>
      <c r="CW34" s="230">
        <v>2506400</v>
      </c>
      <c r="CX34" s="230">
        <v>158600</v>
      </c>
      <c r="CY34" s="229">
        <v>6.3299999999999995E-2</v>
      </c>
      <c r="CZ34" s="228">
        <v>28.27</v>
      </c>
      <c r="DA34" s="228">
        <v>27.31</v>
      </c>
      <c r="DB34" s="228">
        <v>0.96</v>
      </c>
      <c r="DC34" s="228">
        <v>0.96</v>
      </c>
      <c r="DD34" s="228">
        <v>42.18</v>
      </c>
      <c r="DE34" s="228">
        <v>42.09</v>
      </c>
      <c r="DF34" s="228">
        <v>-13.91</v>
      </c>
      <c r="DG34" s="228">
        <v>0.09</v>
      </c>
      <c r="DH34" s="228">
        <v>28.25</v>
      </c>
      <c r="DI34" s="228">
        <v>27.54</v>
      </c>
      <c r="DJ34" s="228">
        <v>0.71</v>
      </c>
      <c r="DK34" s="228">
        <v>0.71</v>
      </c>
      <c r="DL34" s="228">
        <v>28.35</v>
      </c>
      <c r="DM34" s="228">
        <v>26.79</v>
      </c>
      <c r="DN34" s="228">
        <v>1.56</v>
      </c>
      <c r="DO34" s="228">
        <v>1.56</v>
      </c>
      <c r="DP34" s="228">
        <v>0.62</v>
      </c>
      <c r="DQ34" s="228">
        <v>0.72</v>
      </c>
      <c r="DR34" s="228">
        <v>-0.1</v>
      </c>
      <c r="DS34" s="229">
        <v>-0.1389</v>
      </c>
      <c r="DT34" s="231">
        <v>2000</v>
      </c>
      <c r="DU34" s="231">
        <v>1800</v>
      </c>
      <c r="DV34" s="228">
        <v>0.28999999999999998</v>
      </c>
      <c r="DW34" s="228">
        <v>0.44</v>
      </c>
      <c r="DX34" s="228">
        <v>-0.15</v>
      </c>
      <c r="DY34" s="229">
        <v>-0.34089999999999998</v>
      </c>
      <c r="DZ34" s="229">
        <v>2.23E-2</v>
      </c>
      <c r="EA34" s="230">
        <v>34450</v>
      </c>
      <c r="EB34" s="229">
        <v>-2.0000000000000001E-4</v>
      </c>
      <c r="EC34" s="229">
        <v>2.23E-2</v>
      </c>
      <c r="ED34" s="228">
        <v>-4.57</v>
      </c>
      <c r="EE34" s="229">
        <v>-2.3E-3</v>
      </c>
      <c r="EF34" s="230">
        <v>385265</v>
      </c>
      <c r="EG34" s="230">
        <v>160671</v>
      </c>
      <c r="EH34" s="229">
        <v>1.3978999999999999</v>
      </c>
      <c r="EI34" s="229">
        <v>0.33100000000000002</v>
      </c>
      <c r="EJ34" s="231">
        <v>69200.899999999994</v>
      </c>
      <c r="EK34" s="231">
        <v>19177.79</v>
      </c>
      <c r="EL34" s="231">
        <v>23595.98</v>
      </c>
      <c r="EM34" s="231">
        <v>1023</v>
      </c>
      <c r="EN34" s="231">
        <v>111974.67</v>
      </c>
      <c r="EO34" s="231">
        <v>13745.64</v>
      </c>
      <c r="EP34" s="231">
        <v>98229.03</v>
      </c>
      <c r="EQ34" s="229">
        <v>7.1462000000000003</v>
      </c>
      <c r="ER34" s="231">
        <v>9986</v>
      </c>
      <c r="ES34" s="231">
        <v>5650</v>
      </c>
      <c r="ET34" s="231">
        <v>36462</v>
      </c>
      <c r="EU34" s="231">
        <v>19584741</v>
      </c>
      <c r="EV34" s="231">
        <v>52098</v>
      </c>
      <c r="EW34" s="231">
        <v>47767</v>
      </c>
      <c r="EX34" s="231">
        <v>4331</v>
      </c>
      <c r="EY34" s="229">
        <v>9.0700000000000003E-2</v>
      </c>
      <c r="EZ34" s="229">
        <v>0.1361</v>
      </c>
      <c r="FA34" s="227" t="s">
        <v>556</v>
      </c>
      <c r="FB34" s="161">
        <f t="shared" si="0"/>
        <v>41600</v>
      </c>
    </row>
    <row r="35" spans="1:158" ht="17.25" hidden="1" thickBot="1" x14ac:dyDescent="0.3">
      <c r="A35" s="226">
        <v>45940</v>
      </c>
      <c r="B35" s="227" t="s">
        <v>162</v>
      </c>
      <c r="C35" s="227" t="s">
        <v>192</v>
      </c>
      <c r="D35" s="228">
        <v>25</v>
      </c>
      <c r="E35" s="231">
        <v>38805</v>
      </c>
      <c r="F35" s="231">
        <v>38665</v>
      </c>
      <c r="G35" s="228">
        <v>140</v>
      </c>
      <c r="H35" s="229">
        <v>3.5999999999999999E-3</v>
      </c>
      <c r="I35" s="231">
        <v>38625</v>
      </c>
      <c r="J35" s="231">
        <v>38465</v>
      </c>
      <c r="K35" s="228">
        <v>160</v>
      </c>
      <c r="L35" s="229">
        <v>4.1999999999999997E-3</v>
      </c>
      <c r="M35" s="231">
        <v>38805</v>
      </c>
      <c r="N35" s="231">
        <v>38665</v>
      </c>
      <c r="O35" s="228">
        <v>140</v>
      </c>
      <c r="P35" s="229">
        <v>3.5999999999999999E-3</v>
      </c>
      <c r="Q35" s="231">
        <v>39000</v>
      </c>
      <c r="R35" s="231">
        <v>38860</v>
      </c>
      <c r="S35" s="228">
        <v>140</v>
      </c>
      <c r="T35" s="229">
        <v>3.5999999999999999E-3</v>
      </c>
      <c r="U35" s="228">
        <v>0</v>
      </c>
      <c r="V35" s="228">
        <v>0</v>
      </c>
      <c r="W35" s="228">
        <v>0</v>
      </c>
      <c r="X35" s="229">
        <v>0</v>
      </c>
      <c r="Y35" s="228">
        <v>180</v>
      </c>
      <c r="Z35" s="228">
        <v>200</v>
      </c>
      <c r="AA35" s="228">
        <v>-20</v>
      </c>
      <c r="AB35" s="229">
        <v>4.7000000000000002E-3</v>
      </c>
      <c r="AC35" s="228">
        <v>180</v>
      </c>
      <c r="AD35" s="228">
        <v>200</v>
      </c>
      <c r="AE35" s="228">
        <v>-20</v>
      </c>
      <c r="AF35" s="229">
        <v>4.7000000000000002E-3</v>
      </c>
      <c r="AG35" s="228">
        <v>375</v>
      </c>
      <c r="AH35" s="228">
        <v>395</v>
      </c>
      <c r="AI35" s="228">
        <v>-20</v>
      </c>
      <c r="AJ35" s="229">
        <v>9.7000000000000003E-3</v>
      </c>
      <c r="AK35" s="228">
        <v>0</v>
      </c>
      <c r="AL35" s="228">
        <v>0</v>
      </c>
      <c r="AM35" s="228">
        <v>0</v>
      </c>
      <c r="AN35" s="229">
        <v>0</v>
      </c>
      <c r="AO35" s="231">
        <v>38943.75</v>
      </c>
      <c r="AP35" s="231">
        <v>39177.14</v>
      </c>
      <c r="AQ35" s="228">
        <v>0</v>
      </c>
      <c r="AR35" s="230">
        <v>31750</v>
      </c>
      <c r="AS35" s="230">
        <v>18075</v>
      </c>
      <c r="AT35" s="230">
        <v>13675</v>
      </c>
      <c r="AU35" s="229">
        <v>0.75660000000000005</v>
      </c>
      <c r="AV35" s="230">
        <v>30700</v>
      </c>
      <c r="AW35" s="230">
        <v>17425</v>
      </c>
      <c r="AX35" s="230">
        <v>13275</v>
      </c>
      <c r="AY35" s="229">
        <v>0.76180000000000003</v>
      </c>
      <c r="AZ35" s="230">
        <v>1050</v>
      </c>
      <c r="BA35" s="228">
        <v>650</v>
      </c>
      <c r="BB35" s="228">
        <v>400</v>
      </c>
      <c r="BC35" s="229">
        <v>0.61539999999999995</v>
      </c>
      <c r="BD35" s="228">
        <v>0</v>
      </c>
      <c r="BE35" s="228">
        <v>0</v>
      </c>
      <c r="BF35" s="228">
        <v>0</v>
      </c>
      <c r="BG35" s="229">
        <v>0</v>
      </c>
      <c r="BH35" s="230">
        <v>73425</v>
      </c>
      <c r="BI35" s="230">
        <v>64700</v>
      </c>
      <c r="BJ35" s="230">
        <v>8725</v>
      </c>
      <c r="BK35" s="229">
        <v>0.13489999999999999</v>
      </c>
      <c r="BL35" s="230">
        <v>21400</v>
      </c>
      <c r="BM35" s="230">
        <v>65775</v>
      </c>
      <c r="BN35" s="230">
        <v>-44375</v>
      </c>
      <c r="BO35" s="229">
        <v>-0.67459999999999998</v>
      </c>
      <c r="BP35" s="230">
        <v>126575</v>
      </c>
      <c r="BQ35" s="230">
        <v>148550</v>
      </c>
      <c r="BR35" s="230">
        <v>-21975</v>
      </c>
      <c r="BS35" s="229">
        <v>-0.1479</v>
      </c>
      <c r="BT35" s="230">
        <v>11444</v>
      </c>
      <c r="BU35" s="230">
        <v>17944</v>
      </c>
      <c r="BV35" s="230">
        <v>-6500</v>
      </c>
      <c r="BW35" s="229">
        <v>-0.36220000000000002</v>
      </c>
      <c r="BX35" s="230">
        <v>241525</v>
      </c>
      <c r="BY35" s="230">
        <v>237475</v>
      </c>
      <c r="BZ35" s="230">
        <v>4050</v>
      </c>
      <c r="CA35" s="229">
        <v>1.7100000000000001E-2</v>
      </c>
      <c r="CB35" s="230">
        <v>236300</v>
      </c>
      <c r="CC35" s="230">
        <v>232300</v>
      </c>
      <c r="CD35" s="230">
        <v>4000</v>
      </c>
      <c r="CE35" s="229">
        <v>1.72E-2</v>
      </c>
      <c r="CF35" s="230">
        <v>5225</v>
      </c>
      <c r="CG35" s="230">
        <v>5175</v>
      </c>
      <c r="CH35" s="228">
        <v>50</v>
      </c>
      <c r="CI35" s="229">
        <v>9.7000000000000003E-3</v>
      </c>
      <c r="CJ35" s="228">
        <v>0</v>
      </c>
      <c r="CK35" s="228">
        <v>0</v>
      </c>
      <c r="CL35" s="228">
        <v>0</v>
      </c>
      <c r="CM35" s="229">
        <v>0</v>
      </c>
      <c r="CN35" s="230">
        <v>64025</v>
      </c>
      <c r="CO35" s="230">
        <v>60575</v>
      </c>
      <c r="CP35" s="230">
        <v>3450</v>
      </c>
      <c r="CQ35" s="229">
        <v>5.7000000000000002E-2</v>
      </c>
      <c r="CR35" s="230">
        <v>38400</v>
      </c>
      <c r="CS35" s="230">
        <v>37675</v>
      </c>
      <c r="CT35" s="228">
        <v>725</v>
      </c>
      <c r="CU35" s="229">
        <v>1.9199999999999998E-2</v>
      </c>
      <c r="CV35" s="230">
        <v>343950</v>
      </c>
      <c r="CW35" s="230">
        <v>335725</v>
      </c>
      <c r="CX35" s="230">
        <v>8225</v>
      </c>
      <c r="CY35" s="229">
        <v>2.4500000000000001E-2</v>
      </c>
      <c r="CZ35" s="228">
        <v>19.98</v>
      </c>
      <c r="DA35" s="228">
        <v>20.46</v>
      </c>
      <c r="DB35" s="228">
        <v>-0.48</v>
      </c>
      <c r="DC35" s="228">
        <v>-0.48</v>
      </c>
      <c r="DD35" s="228">
        <v>29.08</v>
      </c>
      <c r="DE35" s="228">
        <v>29.15</v>
      </c>
      <c r="DF35" s="228">
        <v>-9.1</v>
      </c>
      <c r="DG35" s="228">
        <v>-7.0000000000000007E-2</v>
      </c>
      <c r="DH35" s="228">
        <v>20.3</v>
      </c>
      <c r="DI35" s="228">
        <v>20.85</v>
      </c>
      <c r="DJ35" s="228">
        <v>-0.55000000000000004</v>
      </c>
      <c r="DK35" s="228">
        <v>-0.55000000000000004</v>
      </c>
      <c r="DL35" s="228">
        <v>18.899999999999999</v>
      </c>
      <c r="DM35" s="228">
        <v>20.079999999999998</v>
      </c>
      <c r="DN35" s="228">
        <v>-1.18</v>
      </c>
      <c r="DO35" s="228">
        <v>-1.18</v>
      </c>
      <c r="DP35" s="228">
        <v>0.6</v>
      </c>
      <c r="DQ35" s="228">
        <v>0.62</v>
      </c>
      <c r="DR35" s="228">
        <v>-0.02</v>
      </c>
      <c r="DS35" s="229">
        <v>-3.2300000000000002E-2</v>
      </c>
      <c r="DT35" s="231">
        <v>40000</v>
      </c>
      <c r="DU35" s="231">
        <v>38000</v>
      </c>
      <c r="DV35" s="228">
        <v>0.28999999999999998</v>
      </c>
      <c r="DW35" s="228">
        <v>1.02</v>
      </c>
      <c r="DX35" s="228">
        <v>-0.73</v>
      </c>
      <c r="DY35" s="229">
        <v>-0.7157</v>
      </c>
      <c r="DZ35" s="229">
        <v>2.1600000000000001E-2</v>
      </c>
      <c r="EA35" s="230">
        <v>5175</v>
      </c>
      <c r="EB35" s="229">
        <v>5.0000000000000001E-3</v>
      </c>
      <c r="EC35" s="229">
        <v>2.1600000000000001E-2</v>
      </c>
      <c r="ED35" s="228">
        <v>233.39</v>
      </c>
      <c r="EE35" s="229">
        <v>6.0000000000000001E-3</v>
      </c>
      <c r="EF35" s="230">
        <v>4611</v>
      </c>
      <c r="EG35" s="230">
        <v>8746</v>
      </c>
      <c r="EH35" s="229">
        <v>-0.4728</v>
      </c>
      <c r="EI35" s="229">
        <v>0.40289999999999998</v>
      </c>
      <c r="EJ35" s="231">
        <v>29561.47</v>
      </c>
      <c r="EK35" s="231">
        <v>8212.27</v>
      </c>
      <c r="EL35" s="231">
        <v>12367.09</v>
      </c>
      <c r="EM35" s="228">
        <v>943</v>
      </c>
      <c r="EN35" s="231">
        <v>50140.83</v>
      </c>
      <c r="EO35" s="231">
        <v>58878.14</v>
      </c>
      <c r="EP35" s="231">
        <v>-8737.31</v>
      </c>
      <c r="EQ35" s="229">
        <v>-0.1484</v>
      </c>
      <c r="ER35" s="231">
        <v>25887</v>
      </c>
      <c r="ES35" s="231">
        <v>14460</v>
      </c>
      <c r="ET35" s="231">
        <v>93734</v>
      </c>
      <c r="EU35" s="231">
        <v>982526</v>
      </c>
      <c r="EV35" s="231">
        <v>134081</v>
      </c>
      <c r="EW35" s="231">
        <v>130486</v>
      </c>
      <c r="EX35" s="231">
        <v>3595</v>
      </c>
      <c r="EY35" s="229">
        <v>2.76E-2</v>
      </c>
      <c r="EZ35" s="229">
        <v>0.35010000000000002</v>
      </c>
      <c r="FA35" s="227" t="s">
        <v>555</v>
      </c>
      <c r="FB35" s="161">
        <f t="shared" si="0"/>
        <v>5225</v>
      </c>
    </row>
    <row r="36" spans="1:158" ht="17.25" hidden="1" thickBot="1" x14ac:dyDescent="0.3">
      <c r="A36" s="226">
        <v>45940</v>
      </c>
      <c r="B36" s="227" t="s">
        <v>193</v>
      </c>
      <c r="C36" s="227" t="s">
        <v>194</v>
      </c>
      <c r="D36" s="228">
        <v>1975</v>
      </c>
      <c r="E36" s="228">
        <v>339.95</v>
      </c>
      <c r="F36" s="228">
        <v>345.85</v>
      </c>
      <c r="G36" s="228">
        <v>-5.9</v>
      </c>
      <c r="H36" s="229">
        <v>-1.7100000000000001E-2</v>
      </c>
      <c r="I36" s="228">
        <v>338.7</v>
      </c>
      <c r="J36" s="228">
        <v>344</v>
      </c>
      <c r="K36" s="228">
        <v>-5.3</v>
      </c>
      <c r="L36" s="229">
        <v>-1.54E-2</v>
      </c>
      <c r="M36" s="228">
        <v>339.95</v>
      </c>
      <c r="N36" s="228">
        <v>345.85</v>
      </c>
      <c r="O36" s="228">
        <v>-5.9</v>
      </c>
      <c r="P36" s="229">
        <v>-1.7100000000000001E-2</v>
      </c>
      <c r="Q36" s="228">
        <v>341.45</v>
      </c>
      <c r="R36" s="228">
        <v>347.45</v>
      </c>
      <c r="S36" s="228">
        <v>-6</v>
      </c>
      <c r="T36" s="229">
        <v>-1.7299999999999999E-2</v>
      </c>
      <c r="U36" s="228">
        <v>342.8</v>
      </c>
      <c r="V36" s="228">
        <v>348.15</v>
      </c>
      <c r="W36" s="228">
        <v>-5.35</v>
      </c>
      <c r="X36" s="229">
        <v>-1.54E-2</v>
      </c>
      <c r="Y36" s="228">
        <v>1.25</v>
      </c>
      <c r="Z36" s="228">
        <v>1.85</v>
      </c>
      <c r="AA36" s="228">
        <v>-0.6</v>
      </c>
      <c r="AB36" s="229">
        <v>3.7000000000000002E-3</v>
      </c>
      <c r="AC36" s="228">
        <v>1.25</v>
      </c>
      <c r="AD36" s="228">
        <v>1.85</v>
      </c>
      <c r="AE36" s="228">
        <v>-0.6</v>
      </c>
      <c r="AF36" s="229">
        <v>3.7000000000000002E-3</v>
      </c>
      <c r="AG36" s="228">
        <v>2.75</v>
      </c>
      <c r="AH36" s="228">
        <v>3.45</v>
      </c>
      <c r="AI36" s="228">
        <v>-0.7</v>
      </c>
      <c r="AJ36" s="229">
        <v>8.0999999999999996E-3</v>
      </c>
      <c r="AK36" s="228">
        <v>4.0999999999999996</v>
      </c>
      <c r="AL36" s="228">
        <v>4.1500000000000004</v>
      </c>
      <c r="AM36" s="228">
        <v>-0.05</v>
      </c>
      <c r="AN36" s="229">
        <v>1.21E-2</v>
      </c>
      <c r="AO36" s="228">
        <v>343.6</v>
      </c>
      <c r="AP36" s="228">
        <v>344.56</v>
      </c>
      <c r="AQ36" s="228">
        <v>0</v>
      </c>
      <c r="AR36" s="230">
        <v>6829550</v>
      </c>
      <c r="AS36" s="230">
        <v>7143575</v>
      </c>
      <c r="AT36" s="230">
        <v>-314025</v>
      </c>
      <c r="AU36" s="229">
        <v>-4.3999999999999997E-2</v>
      </c>
      <c r="AV36" s="230">
        <v>6381225</v>
      </c>
      <c r="AW36" s="230">
        <v>6649825</v>
      </c>
      <c r="AX36" s="230">
        <v>-268600</v>
      </c>
      <c r="AY36" s="229">
        <v>-4.0399999999999998E-2</v>
      </c>
      <c r="AZ36" s="230">
        <v>391050</v>
      </c>
      <c r="BA36" s="230">
        <v>395000</v>
      </c>
      <c r="BB36" s="230">
        <v>-3950</v>
      </c>
      <c r="BC36" s="229">
        <v>-0.01</v>
      </c>
      <c r="BD36" s="230">
        <v>57275</v>
      </c>
      <c r="BE36" s="230">
        <v>98750</v>
      </c>
      <c r="BF36" s="230">
        <v>-41475</v>
      </c>
      <c r="BG36" s="229">
        <v>-0.42</v>
      </c>
      <c r="BH36" s="230">
        <v>15837525</v>
      </c>
      <c r="BI36" s="230">
        <v>27825775</v>
      </c>
      <c r="BJ36" s="230">
        <v>-11988250</v>
      </c>
      <c r="BK36" s="229">
        <v>-0.43080000000000002</v>
      </c>
      <c r="BL36" s="230">
        <v>8721600</v>
      </c>
      <c r="BM36" s="230">
        <v>11387850</v>
      </c>
      <c r="BN36" s="230">
        <v>-2666250</v>
      </c>
      <c r="BO36" s="229">
        <v>-0.2341</v>
      </c>
      <c r="BP36" s="230">
        <v>31388675</v>
      </c>
      <c r="BQ36" s="230">
        <v>46357200</v>
      </c>
      <c r="BR36" s="230">
        <v>-14968525</v>
      </c>
      <c r="BS36" s="229">
        <v>-0.32290000000000002</v>
      </c>
      <c r="BT36" s="230">
        <v>5832879</v>
      </c>
      <c r="BU36" s="230">
        <v>7253232</v>
      </c>
      <c r="BV36" s="230">
        <v>-1420353</v>
      </c>
      <c r="BW36" s="229">
        <v>-0.1958</v>
      </c>
      <c r="BX36" s="230">
        <v>36687600</v>
      </c>
      <c r="BY36" s="230">
        <v>36590825</v>
      </c>
      <c r="BZ36" s="230">
        <v>96775</v>
      </c>
      <c r="CA36" s="229">
        <v>2.5999999999999999E-3</v>
      </c>
      <c r="CB36" s="230">
        <v>35978575</v>
      </c>
      <c r="CC36" s="230">
        <v>35976600</v>
      </c>
      <c r="CD36" s="230">
        <v>1975</v>
      </c>
      <c r="CE36" s="229">
        <v>1E-4</v>
      </c>
      <c r="CF36" s="230">
        <v>596450</v>
      </c>
      <c r="CG36" s="230">
        <v>529300</v>
      </c>
      <c r="CH36" s="230">
        <v>67150</v>
      </c>
      <c r="CI36" s="229">
        <v>0.12690000000000001</v>
      </c>
      <c r="CJ36" s="230">
        <v>112575</v>
      </c>
      <c r="CK36" s="230">
        <v>84925</v>
      </c>
      <c r="CL36" s="230">
        <v>27650</v>
      </c>
      <c r="CM36" s="229">
        <v>0.3256</v>
      </c>
      <c r="CN36" s="230">
        <v>13283850</v>
      </c>
      <c r="CO36" s="230">
        <v>12403000</v>
      </c>
      <c r="CP36" s="230">
        <v>880850</v>
      </c>
      <c r="CQ36" s="229">
        <v>7.0999999999999994E-2</v>
      </c>
      <c r="CR36" s="230">
        <v>10317400</v>
      </c>
      <c r="CS36" s="230">
        <v>11034325</v>
      </c>
      <c r="CT36" s="230">
        <v>-716925</v>
      </c>
      <c r="CU36" s="229">
        <v>-6.5000000000000002E-2</v>
      </c>
      <c r="CV36" s="230">
        <v>60288850</v>
      </c>
      <c r="CW36" s="230">
        <v>60028150</v>
      </c>
      <c r="CX36" s="230">
        <v>260700</v>
      </c>
      <c r="CY36" s="229">
        <v>4.3E-3</v>
      </c>
      <c r="CZ36" s="228">
        <v>26.56</v>
      </c>
      <c r="DA36" s="228">
        <v>26.95</v>
      </c>
      <c r="DB36" s="228">
        <v>-0.39</v>
      </c>
      <c r="DC36" s="228">
        <v>-0.39</v>
      </c>
      <c r="DD36" s="228">
        <v>33.58</v>
      </c>
      <c r="DE36" s="228">
        <v>33.58</v>
      </c>
      <c r="DF36" s="228">
        <v>-7.02</v>
      </c>
      <c r="DG36" s="228">
        <v>0</v>
      </c>
      <c r="DH36" s="228">
        <v>26.94</v>
      </c>
      <c r="DI36" s="228">
        <v>26.99</v>
      </c>
      <c r="DJ36" s="228">
        <v>-0.05</v>
      </c>
      <c r="DK36" s="228">
        <v>-0.05</v>
      </c>
      <c r="DL36" s="228">
        <v>25.87</v>
      </c>
      <c r="DM36" s="228">
        <v>26.85</v>
      </c>
      <c r="DN36" s="228">
        <v>-0.98</v>
      </c>
      <c r="DO36" s="228">
        <v>-0.98</v>
      </c>
      <c r="DP36" s="228">
        <v>0.78</v>
      </c>
      <c r="DQ36" s="228">
        <v>0.89</v>
      </c>
      <c r="DR36" s="228">
        <v>-0.11</v>
      </c>
      <c r="DS36" s="229">
        <v>-0.1236</v>
      </c>
      <c r="DT36" s="228">
        <v>350</v>
      </c>
      <c r="DU36" s="228">
        <v>335</v>
      </c>
      <c r="DV36" s="228">
        <v>0.55000000000000004</v>
      </c>
      <c r="DW36" s="228">
        <v>0.41</v>
      </c>
      <c r="DX36" s="228">
        <v>0.14000000000000001</v>
      </c>
      <c r="DY36" s="229">
        <v>0.34150000000000003</v>
      </c>
      <c r="DZ36" s="229">
        <v>1.9300000000000001E-2</v>
      </c>
      <c r="EA36" s="230">
        <v>614225</v>
      </c>
      <c r="EB36" s="229">
        <v>4.4000000000000003E-3</v>
      </c>
      <c r="EC36" s="229">
        <v>1.9300000000000001E-2</v>
      </c>
      <c r="ED36" s="228">
        <v>0.96</v>
      </c>
      <c r="EE36" s="229">
        <v>2.8E-3</v>
      </c>
      <c r="EF36" s="230">
        <v>3490654</v>
      </c>
      <c r="EG36" s="230">
        <v>3973014</v>
      </c>
      <c r="EH36" s="229">
        <v>-0.12139999999999999</v>
      </c>
      <c r="EI36" s="229">
        <v>0.59840000000000004</v>
      </c>
      <c r="EJ36" s="231">
        <v>56902.05</v>
      </c>
      <c r="EK36" s="231">
        <v>29960.91</v>
      </c>
      <c r="EL36" s="231">
        <v>23471.32</v>
      </c>
      <c r="EM36" s="231">
        <v>4161</v>
      </c>
      <c r="EN36" s="231">
        <v>110334.28</v>
      </c>
      <c r="EO36" s="231">
        <v>164962.78</v>
      </c>
      <c r="EP36" s="231">
        <v>-54628.5</v>
      </c>
      <c r="EQ36" s="229">
        <v>-0.33119999999999999</v>
      </c>
      <c r="ER36" s="231">
        <v>47162</v>
      </c>
      <c r="ES36" s="231">
        <v>33838</v>
      </c>
      <c r="ET36" s="231">
        <v>124732</v>
      </c>
      <c r="EU36" s="231">
        <v>281577339</v>
      </c>
      <c r="EV36" s="231">
        <v>205731</v>
      </c>
      <c r="EW36" s="231">
        <v>206816</v>
      </c>
      <c r="EX36" s="231">
        <v>-1085</v>
      </c>
      <c r="EY36" s="229">
        <v>-5.1999999999999998E-3</v>
      </c>
      <c r="EZ36" s="229">
        <v>0.21410000000000001</v>
      </c>
      <c r="FA36" s="227" t="s">
        <v>567</v>
      </c>
      <c r="FB36" s="161">
        <f t="shared" si="0"/>
        <v>709025</v>
      </c>
    </row>
    <row r="37" spans="1:158" ht="17.25" hidden="1" thickBot="1" x14ac:dyDescent="0.3">
      <c r="A37" s="226">
        <v>45940</v>
      </c>
      <c r="B37" s="227" t="s">
        <v>168</v>
      </c>
      <c r="C37" s="227" t="s">
        <v>195</v>
      </c>
      <c r="D37" s="228">
        <v>125</v>
      </c>
      <c r="E37" s="231">
        <v>5895.5</v>
      </c>
      <c r="F37" s="231">
        <v>5899.5</v>
      </c>
      <c r="G37" s="228">
        <v>-4</v>
      </c>
      <c r="H37" s="229">
        <v>-6.9999999999999999E-4</v>
      </c>
      <c r="I37" s="231">
        <v>5871.5</v>
      </c>
      <c r="J37" s="231">
        <v>5876</v>
      </c>
      <c r="K37" s="228">
        <v>-4.5</v>
      </c>
      <c r="L37" s="229">
        <v>-8.0000000000000004E-4</v>
      </c>
      <c r="M37" s="231">
        <v>5895.5</v>
      </c>
      <c r="N37" s="231">
        <v>5899.5</v>
      </c>
      <c r="O37" s="228">
        <v>-4</v>
      </c>
      <c r="P37" s="229">
        <v>-6.9999999999999999E-4</v>
      </c>
      <c r="Q37" s="231">
        <v>5922</v>
      </c>
      <c r="R37" s="231">
        <v>5923.5</v>
      </c>
      <c r="S37" s="228">
        <v>-1.5</v>
      </c>
      <c r="T37" s="229">
        <v>-2.9999999999999997E-4</v>
      </c>
      <c r="U37" s="231">
        <v>5948</v>
      </c>
      <c r="V37" s="231">
        <v>5960.5</v>
      </c>
      <c r="W37" s="228">
        <v>-12.5</v>
      </c>
      <c r="X37" s="229">
        <v>-2.0999999999999999E-3</v>
      </c>
      <c r="Y37" s="228">
        <v>24</v>
      </c>
      <c r="Z37" s="228">
        <v>23.5</v>
      </c>
      <c r="AA37" s="228">
        <v>0.5</v>
      </c>
      <c r="AB37" s="229">
        <v>4.1000000000000003E-3</v>
      </c>
      <c r="AC37" s="228">
        <v>24</v>
      </c>
      <c r="AD37" s="228">
        <v>23.5</v>
      </c>
      <c r="AE37" s="228">
        <v>0.5</v>
      </c>
      <c r="AF37" s="229">
        <v>4.1000000000000003E-3</v>
      </c>
      <c r="AG37" s="228">
        <v>50.5</v>
      </c>
      <c r="AH37" s="228">
        <v>47.5</v>
      </c>
      <c r="AI37" s="228">
        <v>3</v>
      </c>
      <c r="AJ37" s="229">
        <v>8.6E-3</v>
      </c>
      <c r="AK37" s="228">
        <v>76.5</v>
      </c>
      <c r="AL37" s="228">
        <v>84.5</v>
      </c>
      <c r="AM37" s="228">
        <v>-8</v>
      </c>
      <c r="AN37" s="229">
        <v>1.2999999999999999E-2</v>
      </c>
      <c r="AO37" s="231">
        <v>5906.5</v>
      </c>
      <c r="AP37" s="231">
        <v>5939.81</v>
      </c>
      <c r="AQ37" s="228">
        <v>0</v>
      </c>
      <c r="AR37" s="230">
        <v>168375</v>
      </c>
      <c r="AS37" s="230">
        <v>208875</v>
      </c>
      <c r="AT37" s="230">
        <v>-40500</v>
      </c>
      <c r="AU37" s="229">
        <v>-0.19389999999999999</v>
      </c>
      <c r="AV37" s="230">
        <v>165000</v>
      </c>
      <c r="AW37" s="230">
        <v>202750</v>
      </c>
      <c r="AX37" s="230">
        <v>-37750</v>
      </c>
      <c r="AY37" s="229">
        <v>-0.1862</v>
      </c>
      <c r="AZ37" s="230">
        <v>2625</v>
      </c>
      <c r="BA37" s="230">
        <v>5625</v>
      </c>
      <c r="BB37" s="230">
        <v>-3000</v>
      </c>
      <c r="BC37" s="229">
        <v>-0.5333</v>
      </c>
      <c r="BD37" s="228">
        <v>750</v>
      </c>
      <c r="BE37" s="228">
        <v>500</v>
      </c>
      <c r="BF37" s="228">
        <v>250</v>
      </c>
      <c r="BG37" s="229">
        <v>0.5</v>
      </c>
      <c r="BH37" s="230">
        <v>515250</v>
      </c>
      <c r="BI37" s="230">
        <v>933250</v>
      </c>
      <c r="BJ37" s="230">
        <v>-418000</v>
      </c>
      <c r="BK37" s="229">
        <v>-0.44790000000000002</v>
      </c>
      <c r="BL37" s="230">
        <v>173125</v>
      </c>
      <c r="BM37" s="230">
        <v>318000</v>
      </c>
      <c r="BN37" s="230">
        <v>-144875</v>
      </c>
      <c r="BO37" s="229">
        <v>-0.4556</v>
      </c>
      <c r="BP37" s="230">
        <v>856750</v>
      </c>
      <c r="BQ37" s="230">
        <v>1460125</v>
      </c>
      <c r="BR37" s="230">
        <v>-603375</v>
      </c>
      <c r="BS37" s="229">
        <v>-0.41320000000000001</v>
      </c>
      <c r="BT37" s="230">
        <v>230442</v>
      </c>
      <c r="BU37" s="230">
        <v>234433</v>
      </c>
      <c r="BV37" s="230">
        <v>-3991</v>
      </c>
      <c r="BW37" s="229">
        <v>-1.7000000000000001E-2</v>
      </c>
      <c r="BX37" s="230">
        <v>3593500</v>
      </c>
      <c r="BY37" s="230">
        <v>3620125</v>
      </c>
      <c r="BZ37" s="230">
        <v>-26625</v>
      </c>
      <c r="CA37" s="229">
        <v>-7.4000000000000003E-3</v>
      </c>
      <c r="CB37" s="230">
        <v>3572375</v>
      </c>
      <c r="CC37" s="230">
        <v>3598875</v>
      </c>
      <c r="CD37" s="230">
        <v>-26500</v>
      </c>
      <c r="CE37" s="229">
        <v>-7.4000000000000003E-3</v>
      </c>
      <c r="CF37" s="230">
        <v>19250</v>
      </c>
      <c r="CG37" s="230">
        <v>19375</v>
      </c>
      <c r="CH37" s="228">
        <v>-125</v>
      </c>
      <c r="CI37" s="229">
        <v>-6.4999999999999997E-3</v>
      </c>
      <c r="CJ37" s="230">
        <v>1875</v>
      </c>
      <c r="CK37" s="230">
        <v>1875</v>
      </c>
      <c r="CL37" s="228">
        <v>0</v>
      </c>
      <c r="CM37" s="229">
        <v>0</v>
      </c>
      <c r="CN37" s="230">
        <v>1074750</v>
      </c>
      <c r="CO37" s="230">
        <v>1053875</v>
      </c>
      <c r="CP37" s="230">
        <v>20875</v>
      </c>
      <c r="CQ37" s="229">
        <v>1.9800000000000002E-2</v>
      </c>
      <c r="CR37" s="230">
        <v>537000</v>
      </c>
      <c r="CS37" s="230">
        <v>537750</v>
      </c>
      <c r="CT37" s="228">
        <v>-750</v>
      </c>
      <c r="CU37" s="229">
        <v>-1.4E-3</v>
      </c>
      <c r="CV37" s="230">
        <v>5205250</v>
      </c>
      <c r="CW37" s="230">
        <v>5211750</v>
      </c>
      <c r="CX37" s="230">
        <v>-6500</v>
      </c>
      <c r="CY37" s="229">
        <v>-1.1999999999999999E-3</v>
      </c>
      <c r="CZ37" s="228">
        <v>20.32</v>
      </c>
      <c r="DA37" s="228">
        <v>20.99</v>
      </c>
      <c r="DB37" s="228">
        <v>-0.67</v>
      </c>
      <c r="DC37" s="228">
        <v>-0.67</v>
      </c>
      <c r="DD37" s="228">
        <v>24.76</v>
      </c>
      <c r="DE37" s="228">
        <v>24.82</v>
      </c>
      <c r="DF37" s="228">
        <v>-4.4400000000000004</v>
      </c>
      <c r="DG37" s="228">
        <v>-0.06</v>
      </c>
      <c r="DH37" s="228">
        <v>20.350000000000001</v>
      </c>
      <c r="DI37" s="228">
        <v>21.07</v>
      </c>
      <c r="DJ37" s="228">
        <v>-0.72</v>
      </c>
      <c r="DK37" s="228">
        <v>-0.72</v>
      </c>
      <c r="DL37" s="228">
        <v>20.21</v>
      </c>
      <c r="DM37" s="228">
        <v>20.77</v>
      </c>
      <c r="DN37" s="228">
        <v>-0.56000000000000005</v>
      </c>
      <c r="DO37" s="228">
        <v>-0.56000000000000005</v>
      </c>
      <c r="DP37" s="228">
        <v>0.5</v>
      </c>
      <c r="DQ37" s="228">
        <v>0.51</v>
      </c>
      <c r="DR37" s="228">
        <v>-0.01</v>
      </c>
      <c r="DS37" s="229">
        <v>-1.9599999999999999E-2</v>
      </c>
      <c r="DT37" s="231">
        <v>6000</v>
      </c>
      <c r="DU37" s="231">
        <v>5500</v>
      </c>
      <c r="DV37" s="228">
        <v>0.34</v>
      </c>
      <c r="DW37" s="228">
        <v>0.34</v>
      </c>
      <c r="DX37" s="228">
        <v>0</v>
      </c>
      <c r="DY37" s="229">
        <v>0</v>
      </c>
      <c r="DZ37" s="229">
        <v>5.8999999999999999E-3</v>
      </c>
      <c r="EA37" s="230">
        <v>21250</v>
      </c>
      <c r="EB37" s="229">
        <v>4.4999999999999997E-3</v>
      </c>
      <c r="EC37" s="229">
        <v>5.8999999999999999E-3</v>
      </c>
      <c r="ED37" s="228">
        <v>33.31</v>
      </c>
      <c r="EE37" s="229">
        <v>5.5999999999999999E-3</v>
      </c>
      <c r="EF37" s="230">
        <v>156928</v>
      </c>
      <c r="EG37" s="230">
        <v>138633</v>
      </c>
      <c r="EH37" s="229">
        <v>0.13200000000000001</v>
      </c>
      <c r="EI37" s="229">
        <v>0.68100000000000005</v>
      </c>
      <c r="EJ37" s="231">
        <v>31493.91</v>
      </c>
      <c r="EK37" s="231">
        <v>9985.64</v>
      </c>
      <c r="EL37" s="231">
        <v>9946.34</v>
      </c>
      <c r="EM37" s="231">
        <v>2240</v>
      </c>
      <c r="EN37" s="231">
        <v>51425.89</v>
      </c>
      <c r="EO37" s="231">
        <v>87936.11</v>
      </c>
      <c r="EP37" s="231">
        <v>-36510.22</v>
      </c>
      <c r="EQ37" s="229">
        <v>-0.41520000000000001</v>
      </c>
      <c r="ER37" s="231">
        <v>66996</v>
      </c>
      <c r="ES37" s="231">
        <v>30671</v>
      </c>
      <c r="ET37" s="231">
        <v>211861</v>
      </c>
      <c r="EU37" s="231">
        <v>13082978</v>
      </c>
      <c r="EV37" s="231">
        <v>309528</v>
      </c>
      <c r="EW37" s="231">
        <v>310007</v>
      </c>
      <c r="EX37" s="228">
        <v>-479</v>
      </c>
      <c r="EY37" s="229">
        <v>-1.5E-3</v>
      </c>
      <c r="EZ37" s="229">
        <v>0.39789999999999998</v>
      </c>
      <c r="FA37" s="227" t="s">
        <v>568</v>
      </c>
      <c r="FB37" s="161">
        <f t="shared" si="0"/>
        <v>21125</v>
      </c>
    </row>
    <row r="38" spans="1:158" ht="17.25" hidden="1" thickBot="1" x14ac:dyDescent="0.3">
      <c r="A38" s="226">
        <v>45940</v>
      </c>
      <c r="B38" s="227" t="s">
        <v>175</v>
      </c>
      <c r="C38" s="227" t="s">
        <v>585</v>
      </c>
      <c r="D38" s="228">
        <v>375</v>
      </c>
      <c r="E38" s="231">
        <v>2393.4</v>
      </c>
      <c r="F38" s="231">
        <v>2344</v>
      </c>
      <c r="G38" s="228">
        <v>49.4</v>
      </c>
      <c r="H38" s="229">
        <v>2.1100000000000001E-2</v>
      </c>
      <c r="I38" s="231">
        <v>2385</v>
      </c>
      <c r="J38" s="231">
        <v>2330.1999999999998</v>
      </c>
      <c r="K38" s="228">
        <v>54.8</v>
      </c>
      <c r="L38" s="229">
        <v>2.35E-2</v>
      </c>
      <c r="M38" s="231">
        <v>2393.4</v>
      </c>
      <c r="N38" s="231">
        <v>2344</v>
      </c>
      <c r="O38" s="228">
        <v>49.4</v>
      </c>
      <c r="P38" s="229">
        <v>2.1100000000000001E-2</v>
      </c>
      <c r="Q38" s="231">
        <v>2404.3000000000002</v>
      </c>
      <c r="R38" s="231">
        <v>2352.3000000000002</v>
      </c>
      <c r="S38" s="228">
        <v>52</v>
      </c>
      <c r="T38" s="229">
        <v>2.2100000000000002E-2</v>
      </c>
      <c r="U38" s="231">
        <v>2415.1999999999998</v>
      </c>
      <c r="V38" s="231">
        <v>2362.5</v>
      </c>
      <c r="W38" s="228">
        <v>52.7</v>
      </c>
      <c r="X38" s="229">
        <v>2.23E-2</v>
      </c>
      <c r="Y38" s="228">
        <v>8.4</v>
      </c>
      <c r="Z38" s="228">
        <v>13.8</v>
      </c>
      <c r="AA38" s="228">
        <v>-5.4</v>
      </c>
      <c r="AB38" s="229">
        <v>3.5000000000000001E-3</v>
      </c>
      <c r="AC38" s="228">
        <v>8.4</v>
      </c>
      <c r="AD38" s="228">
        <v>13.8</v>
      </c>
      <c r="AE38" s="228">
        <v>-5.4</v>
      </c>
      <c r="AF38" s="229">
        <v>3.5000000000000001E-3</v>
      </c>
      <c r="AG38" s="228">
        <v>19.3</v>
      </c>
      <c r="AH38" s="228">
        <v>22.1</v>
      </c>
      <c r="AI38" s="228">
        <v>-2.8</v>
      </c>
      <c r="AJ38" s="229">
        <v>8.0999999999999996E-3</v>
      </c>
      <c r="AK38" s="228">
        <v>30.2</v>
      </c>
      <c r="AL38" s="228">
        <v>32.299999999999997</v>
      </c>
      <c r="AM38" s="228">
        <v>-2.1</v>
      </c>
      <c r="AN38" s="229">
        <v>1.2699999999999999E-2</v>
      </c>
      <c r="AO38" s="231">
        <v>2397.0700000000002</v>
      </c>
      <c r="AP38" s="231">
        <v>2405.52</v>
      </c>
      <c r="AQ38" s="228">
        <v>0</v>
      </c>
      <c r="AR38" s="230">
        <v>5225250</v>
      </c>
      <c r="AS38" s="230">
        <v>6321000</v>
      </c>
      <c r="AT38" s="230">
        <v>-1095750</v>
      </c>
      <c r="AU38" s="229">
        <v>-0.1734</v>
      </c>
      <c r="AV38" s="230">
        <v>4679250</v>
      </c>
      <c r="AW38" s="230">
        <v>5680125</v>
      </c>
      <c r="AX38" s="230">
        <v>-1000875</v>
      </c>
      <c r="AY38" s="229">
        <v>-0.1762</v>
      </c>
      <c r="AZ38" s="230">
        <v>431250</v>
      </c>
      <c r="BA38" s="230">
        <v>512625</v>
      </c>
      <c r="BB38" s="230">
        <v>-81375</v>
      </c>
      <c r="BC38" s="229">
        <v>-0.15870000000000001</v>
      </c>
      <c r="BD38" s="230">
        <v>114750</v>
      </c>
      <c r="BE38" s="230">
        <v>128250</v>
      </c>
      <c r="BF38" s="230">
        <v>-13500</v>
      </c>
      <c r="BG38" s="229">
        <v>-0.1053</v>
      </c>
      <c r="BH38" s="230">
        <v>34923750</v>
      </c>
      <c r="BI38" s="230">
        <v>35055750</v>
      </c>
      <c r="BJ38" s="230">
        <v>-132000</v>
      </c>
      <c r="BK38" s="229">
        <v>-3.8E-3</v>
      </c>
      <c r="BL38" s="230">
        <v>16112250</v>
      </c>
      <c r="BM38" s="230">
        <v>20325000</v>
      </c>
      <c r="BN38" s="230">
        <v>-4212750</v>
      </c>
      <c r="BO38" s="229">
        <v>-0.20730000000000001</v>
      </c>
      <c r="BP38" s="230">
        <v>56261250</v>
      </c>
      <c r="BQ38" s="230">
        <v>61701750</v>
      </c>
      <c r="BR38" s="230">
        <v>-5440500</v>
      </c>
      <c r="BS38" s="229">
        <v>-8.8200000000000001E-2</v>
      </c>
      <c r="BT38" s="230">
        <v>7275253</v>
      </c>
      <c r="BU38" s="230">
        <v>7865924</v>
      </c>
      <c r="BV38" s="230">
        <v>-590671</v>
      </c>
      <c r="BW38" s="229">
        <v>-7.51E-2</v>
      </c>
      <c r="BX38" s="230">
        <v>13204125</v>
      </c>
      <c r="BY38" s="230">
        <v>13624125</v>
      </c>
      <c r="BZ38" s="230">
        <v>-420000</v>
      </c>
      <c r="CA38" s="229">
        <v>-3.0800000000000001E-2</v>
      </c>
      <c r="CB38" s="230">
        <v>12276750</v>
      </c>
      <c r="CC38" s="230">
        <v>12735375</v>
      </c>
      <c r="CD38" s="230">
        <v>-458625</v>
      </c>
      <c r="CE38" s="229">
        <v>-3.5999999999999997E-2</v>
      </c>
      <c r="CF38" s="230">
        <v>747750</v>
      </c>
      <c r="CG38" s="230">
        <v>745875</v>
      </c>
      <c r="CH38" s="230">
        <v>1875</v>
      </c>
      <c r="CI38" s="229">
        <v>2.5000000000000001E-3</v>
      </c>
      <c r="CJ38" s="230">
        <v>179625</v>
      </c>
      <c r="CK38" s="230">
        <v>142875</v>
      </c>
      <c r="CL38" s="230">
        <v>36750</v>
      </c>
      <c r="CM38" s="229">
        <v>0.25719999999999998</v>
      </c>
      <c r="CN38" s="230">
        <v>8462625</v>
      </c>
      <c r="CO38" s="230">
        <v>8062125</v>
      </c>
      <c r="CP38" s="230">
        <v>400500</v>
      </c>
      <c r="CQ38" s="229">
        <v>4.9700000000000001E-2</v>
      </c>
      <c r="CR38" s="230">
        <v>8670375</v>
      </c>
      <c r="CS38" s="230">
        <v>8383875</v>
      </c>
      <c r="CT38" s="230">
        <v>286500</v>
      </c>
      <c r="CU38" s="229">
        <v>3.4200000000000001E-2</v>
      </c>
      <c r="CV38" s="230">
        <v>30337125</v>
      </c>
      <c r="CW38" s="230">
        <v>30070125</v>
      </c>
      <c r="CX38" s="230">
        <v>267000</v>
      </c>
      <c r="CY38" s="229">
        <v>8.8999999999999999E-3</v>
      </c>
      <c r="CZ38" s="228">
        <v>38.5</v>
      </c>
      <c r="DA38" s="228">
        <v>40.36</v>
      </c>
      <c r="DB38" s="228">
        <v>-1.86</v>
      </c>
      <c r="DC38" s="228">
        <v>-1.86</v>
      </c>
      <c r="DD38" s="228">
        <v>63.78</v>
      </c>
      <c r="DE38" s="228">
        <v>63.87</v>
      </c>
      <c r="DF38" s="228">
        <v>-25.28</v>
      </c>
      <c r="DG38" s="228">
        <v>-0.09</v>
      </c>
      <c r="DH38" s="228">
        <v>37.130000000000003</v>
      </c>
      <c r="DI38" s="228">
        <v>38.83</v>
      </c>
      <c r="DJ38" s="228">
        <v>-1.7</v>
      </c>
      <c r="DK38" s="228">
        <v>-1.7</v>
      </c>
      <c r="DL38" s="228">
        <v>41.46</v>
      </c>
      <c r="DM38" s="228">
        <v>42.99</v>
      </c>
      <c r="DN38" s="228">
        <v>-1.53</v>
      </c>
      <c r="DO38" s="228">
        <v>-1.53</v>
      </c>
      <c r="DP38" s="228">
        <v>1.02</v>
      </c>
      <c r="DQ38" s="228">
        <v>1.04</v>
      </c>
      <c r="DR38" s="228">
        <v>-0.02</v>
      </c>
      <c r="DS38" s="229">
        <v>-1.9199999999999998E-2</v>
      </c>
      <c r="DT38" s="231">
        <v>2500</v>
      </c>
      <c r="DU38" s="231">
        <v>2200</v>
      </c>
      <c r="DV38" s="228">
        <v>0.46</v>
      </c>
      <c r="DW38" s="228">
        <v>0.57999999999999996</v>
      </c>
      <c r="DX38" s="228">
        <v>-0.12</v>
      </c>
      <c r="DY38" s="229">
        <v>-0.2069</v>
      </c>
      <c r="DZ38" s="229">
        <v>7.0199999999999999E-2</v>
      </c>
      <c r="EA38" s="230">
        <v>888750</v>
      </c>
      <c r="EB38" s="229">
        <v>4.5999999999999999E-3</v>
      </c>
      <c r="EC38" s="229">
        <v>7.0199999999999999E-2</v>
      </c>
      <c r="ED38" s="228">
        <v>8.4499999999999993</v>
      </c>
      <c r="EE38" s="229">
        <v>3.5000000000000001E-3</v>
      </c>
      <c r="EF38" s="230">
        <v>2136179</v>
      </c>
      <c r="EG38" s="230">
        <v>2842279</v>
      </c>
      <c r="EH38" s="229">
        <v>-0.24840000000000001</v>
      </c>
      <c r="EI38" s="229">
        <v>0.29360000000000003</v>
      </c>
      <c r="EJ38" s="231">
        <v>887591.07</v>
      </c>
      <c r="EK38" s="231">
        <v>368737.28000000003</v>
      </c>
      <c r="EL38" s="231">
        <v>125311.67999999999</v>
      </c>
      <c r="EM38" s="231">
        <v>14171</v>
      </c>
      <c r="EN38" s="231">
        <v>1381640.03</v>
      </c>
      <c r="EO38" s="231">
        <v>1460126.13</v>
      </c>
      <c r="EP38" s="231">
        <v>-78486.100000000006</v>
      </c>
      <c r="EQ38" s="229">
        <v>-5.3800000000000001E-2</v>
      </c>
      <c r="ER38" s="231">
        <v>205608</v>
      </c>
      <c r="ES38" s="231">
        <v>184656</v>
      </c>
      <c r="ET38" s="231">
        <v>316148</v>
      </c>
      <c r="EU38" s="231">
        <v>48385387</v>
      </c>
      <c r="EV38" s="231">
        <v>706412</v>
      </c>
      <c r="EW38" s="231">
        <v>688784</v>
      </c>
      <c r="EX38" s="231">
        <v>17628</v>
      </c>
      <c r="EY38" s="229">
        <v>2.5600000000000001E-2</v>
      </c>
      <c r="EZ38" s="229">
        <v>0.627</v>
      </c>
      <c r="FA38" s="227" t="s">
        <v>556</v>
      </c>
      <c r="FB38" s="161">
        <f t="shared" si="0"/>
        <v>927375</v>
      </c>
    </row>
    <row r="39" spans="1:158" ht="17.25" hidden="1" thickBot="1" x14ac:dyDescent="0.3">
      <c r="A39" s="226">
        <v>45940</v>
      </c>
      <c r="B39" s="227" t="s">
        <v>175</v>
      </c>
      <c r="C39" s="227" t="s">
        <v>612</v>
      </c>
      <c r="D39" s="228">
        <v>150</v>
      </c>
      <c r="E39" s="231">
        <v>3872.3</v>
      </c>
      <c r="F39" s="231">
        <v>3849.4</v>
      </c>
      <c r="G39" s="228">
        <v>22.9</v>
      </c>
      <c r="H39" s="229">
        <v>5.8999999999999999E-3</v>
      </c>
      <c r="I39" s="231">
        <v>3860.8</v>
      </c>
      <c r="J39" s="231">
        <v>3831.1</v>
      </c>
      <c r="K39" s="228">
        <v>29.7</v>
      </c>
      <c r="L39" s="229">
        <v>7.7999999999999996E-3</v>
      </c>
      <c r="M39" s="231">
        <v>3872.3</v>
      </c>
      <c r="N39" s="231">
        <v>3849.4</v>
      </c>
      <c r="O39" s="228">
        <v>22.9</v>
      </c>
      <c r="P39" s="229">
        <v>5.8999999999999999E-3</v>
      </c>
      <c r="Q39" s="231">
        <v>3879.2</v>
      </c>
      <c r="R39" s="231">
        <v>3858.4</v>
      </c>
      <c r="S39" s="228">
        <v>20.8</v>
      </c>
      <c r="T39" s="229">
        <v>5.4000000000000003E-3</v>
      </c>
      <c r="U39" s="231">
        <v>3897</v>
      </c>
      <c r="V39" s="231">
        <v>3875</v>
      </c>
      <c r="W39" s="228">
        <v>22</v>
      </c>
      <c r="X39" s="229">
        <v>5.7000000000000002E-3</v>
      </c>
      <c r="Y39" s="228">
        <v>11.5</v>
      </c>
      <c r="Z39" s="228">
        <v>18.3</v>
      </c>
      <c r="AA39" s="228">
        <v>-6.8</v>
      </c>
      <c r="AB39" s="229">
        <v>3.0000000000000001E-3</v>
      </c>
      <c r="AC39" s="228">
        <v>11.5</v>
      </c>
      <c r="AD39" s="228">
        <v>18.3</v>
      </c>
      <c r="AE39" s="228">
        <v>-6.8</v>
      </c>
      <c r="AF39" s="229">
        <v>3.0000000000000001E-3</v>
      </c>
      <c r="AG39" s="228">
        <v>18.399999999999999</v>
      </c>
      <c r="AH39" s="228">
        <v>27.3</v>
      </c>
      <c r="AI39" s="228">
        <v>-8.9</v>
      </c>
      <c r="AJ39" s="229">
        <v>4.7999999999999996E-3</v>
      </c>
      <c r="AK39" s="228">
        <v>36.200000000000003</v>
      </c>
      <c r="AL39" s="228">
        <v>43.9</v>
      </c>
      <c r="AM39" s="228">
        <v>-7.7</v>
      </c>
      <c r="AN39" s="229">
        <v>9.4000000000000004E-3</v>
      </c>
      <c r="AO39" s="231">
        <v>3876.32</v>
      </c>
      <c r="AP39" s="231">
        <v>3887.34</v>
      </c>
      <c r="AQ39" s="228">
        <v>0</v>
      </c>
      <c r="AR39" s="230">
        <v>400350</v>
      </c>
      <c r="AS39" s="230">
        <v>403800</v>
      </c>
      <c r="AT39" s="230">
        <v>-3450</v>
      </c>
      <c r="AU39" s="229">
        <v>-8.5000000000000006E-3</v>
      </c>
      <c r="AV39" s="230">
        <v>351450</v>
      </c>
      <c r="AW39" s="230">
        <v>366150</v>
      </c>
      <c r="AX39" s="230">
        <v>-14700</v>
      </c>
      <c r="AY39" s="229">
        <v>-4.0099999999999997E-2</v>
      </c>
      <c r="AZ39" s="230">
        <v>44850</v>
      </c>
      <c r="BA39" s="230">
        <v>32700</v>
      </c>
      <c r="BB39" s="230">
        <v>12150</v>
      </c>
      <c r="BC39" s="229">
        <v>0.37159999999999999</v>
      </c>
      <c r="BD39" s="230">
        <v>4050</v>
      </c>
      <c r="BE39" s="230">
        <v>4950</v>
      </c>
      <c r="BF39" s="228">
        <v>-900</v>
      </c>
      <c r="BG39" s="229">
        <v>-0.18179999999999999</v>
      </c>
      <c r="BH39" s="230">
        <v>1566300</v>
      </c>
      <c r="BI39" s="230">
        <v>1597500</v>
      </c>
      <c r="BJ39" s="230">
        <v>-31200</v>
      </c>
      <c r="BK39" s="229">
        <v>-1.95E-2</v>
      </c>
      <c r="BL39" s="230">
        <v>376650</v>
      </c>
      <c r="BM39" s="230">
        <v>359100</v>
      </c>
      <c r="BN39" s="230">
        <v>17550</v>
      </c>
      <c r="BO39" s="229">
        <v>4.8899999999999999E-2</v>
      </c>
      <c r="BP39" s="230">
        <v>2343300</v>
      </c>
      <c r="BQ39" s="230">
        <v>2360400</v>
      </c>
      <c r="BR39" s="230">
        <v>-17100</v>
      </c>
      <c r="BS39" s="229">
        <v>-7.1999999999999998E-3</v>
      </c>
      <c r="BT39" s="230">
        <v>359281</v>
      </c>
      <c r="BU39" s="230">
        <v>209346</v>
      </c>
      <c r="BV39" s="230">
        <v>149935</v>
      </c>
      <c r="BW39" s="229">
        <v>0.71619999999999995</v>
      </c>
      <c r="BX39" s="230">
        <v>2291850</v>
      </c>
      <c r="BY39" s="230">
        <v>2309100</v>
      </c>
      <c r="BZ39" s="230">
        <v>-17250</v>
      </c>
      <c r="CA39" s="229">
        <v>-7.4999999999999997E-3</v>
      </c>
      <c r="CB39" s="230">
        <v>2154750</v>
      </c>
      <c r="CC39" s="230">
        <v>2182650</v>
      </c>
      <c r="CD39" s="230">
        <v>-27900</v>
      </c>
      <c r="CE39" s="229">
        <v>-1.2800000000000001E-2</v>
      </c>
      <c r="CF39" s="230">
        <v>127200</v>
      </c>
      <c r="CG39" s="230">
        <v>118500</v>
      </c>
      <c r="CH39" s="230">
        <v>8700</v>
      </c>
      <c r="CI39" s="229">
        <v>7.3400000000000007E-2</v>
      </c>
      <c r="CJ39" s="230">
        <v>9900</v>
      </c>
      <c r="CK39" s="230">
        <v>7950</v>
      </c>
      <c r="CL39" s="230">
        <v>1950</v>
      </c>
      <c r="CM39" s="229">
        <v>0.24529999999999999</v>
      </c>
      <c r="CN39" s="230">
        <v>1042350</v>
      </c>
      <c r="CO39" s="230">
        <v>1028550</v>
      </c>
      <c r="CP39" s="230">
        <v>13800</v>
      </c>
      <c r="CQ39" s="229">
        <v>1.34E-2</v>
      </c>
      <c r="CR39" s="230">
        <v>651450</v>
      </c>
      <c r="CS39" s="230">
        <v>626400</v>
      </c>
      <c r="CT39" s="230">
        <v>25050</v>
      </c>
      <c r="CU39" s="229">
        <v>0.04</v>
      </c>
      <c r="CV39" s="230">
        <v>3985650</v>
      </c>
      <c r="CW39" s="230">
        <v>3964050</v>
      </c>
      <c r="CX39" s="230">
        <v>21600</v>
      </c>
      <c r="CY39" s="229">
        <v>5.4000000000000003E-3</v>
      </c>
      <c r="CZ39" s="228">
        <v>29.57</v>
      </c>
      <c r="DA39" s="228">
        <v>30.69</v>
      </c>
      <c r="DB39" s="228">
        <v>-1.1200000000000001</v>
      </c>
      <c r="DC39" s="228">
        <v>-1.1200000000000001</v>
      </c>
      <c r="DD39" s="228">
        <v>42.78</v>
      </c>
      <c r="DE39" s="228">
        <v>42.88</v>
      </c>
      <c r="DF39" s="228">
        <v>-13.21</v>
      </c>
      <c r="DG39" s="228">
        <v>-0.1</v>
      </c>
      <c r="DH39" s="228">
        <v>29.56</v>
      </c>
      <c r="DI39" s="228">
        <v>30.74</v>
      </c>
      <c r="DJ39" s="228">
        <v>-1.18</v>
      </c>
      <c r="DK39" s="228">
        <v>-1.18</v>
      </c>
      <c r="DL39" s="228">
        <v>29.59</v>
      </c>
      <c r="DM39" s="228">
        <v>30.49</v>
      </c>
      <c r="DN39" s="228">
        <v>-0.9</v>
      </c>
      <c r="DO39" s="228">
        <v>-0.9</v>
      </c>
      <c r="DP39" s="228">
        <v>0.62</v>
      </c>
      <c r="DQ39" s="228">
        <v>0.61</v>
      </c>
      <c r="DR39" s="228">
        <v>0.01</v>
      </c>
      <c r="DS39" s="229">
        <v>1.6400000000000001E-2</v>
      </c>
      <c r="DT39" s="231">
        <v>4000</v>
      </c>
      <c r="DU39" s="231">
        <v>3800</v>
      </c>
      <c r="DV39" s="228">
        <v>0.24</v>
      </c>
      <c r="DW39" s="228">
        <v>0.22</v>
      </c>
      <c r="DX39" s="228">
        <v>0.02</v>
      </c>
      <c r="DY39" s="229">
        <v>9.0899999999999995E-2</v>
      </c>
      <c r="DZ39" s="229">
        <v>5.9799999999999999E-2</v>
      </c>
      <c r="EA39" s="230">
        <v>126450</v>
      </c>
      <c r="EB39" s="229">
        <v>1.8E-3</v>
      </c>
      <c r="EC39" s="229">
        <v>5.9799999999999999E-2</v>
      </c>
      <c r="ED39" s="228">
        <v>11.02</v>
      </c>
      <c r="EE39" s="229">
        <v>2.8E-3</v>
      </c>
      <c r="EF39" s="230">
        <v>148499</v>
      </c>
      <c r="EG39" s="230">
        <v>75865</v>
      </c>
      <c r="EH39" s="229">
        <v>0.95740000000000003</v>
      </c>
      <c r="EI39" s="229">
        <v>0.4133</v>
      </c>
      <c r="EJ39" s="231">
        <v>63267.63</v>
      </c>
      <c r="EK39" s="231">
        <v>14358.76</v>
      </c>
      <c r="EL39" s="231">
        <v>15524.77</v>
      </c>
      <c r="EM39" s="231">
        <v>2999</v>
      </c>
      <c r="EN39" s="231">
        <v>93151.16</v>
      </c>
      <c r="EO39" s="231">
        <v>93369.02</v>
      </c>
      <c r="EP39" s="228">
        <v>-217.86</v>
      </c>
      <c r="EQ39" s="229">
        <v>-2.3E-3</v>
      </c>
      <c r="ER39" s="231">
        <v>41801</v>
      </c>
      <c r="ES39" s="231">
        <v>24728</v>
      </c>
      <c r="ET39" s="231">
        <v>88759</v>
      </c>
      <c r="EU39" s="231">
        <v>7421215</v>
      </c>
      <c r="EV39" s="231">
        <v>155288</v>
      </c>
      <c r="EW39" s="231">
        <v>153816</v>
      </c>
      <c r="EX39" s="231">
        <v>1472</v>
      </c>
      <c r="EY39" s="229">
        <v>9.5999999999999992E-3</v>
      </c>
      <c r="EZ39" s="229">
        <v>0.53710000000000002</v>
      </c>
      <c r="FA39" s="227" t="s">
        <v>556</v>
      </c>
      <c r="FB39" s="161">
        <f t="shared" si="0"/>
        <v>137100</v>
      </c>
    </row>
    <row r="40" spans="1:158" ht="17.25" hidden="1" thickBot="1" x14ac:dyDescent="0.3">
      <c r="A40" s="226">
        <v>45940</v>
      </c>
      <c r="B40" s="227" t="s">
        <v>172</v>
      </c>
      <c r="C40" s="227" t="s">
        <v>196</v>
      </c>
      <c r="D40" s="228">
        <v>6750</v>
      </c>
      <c r="E40" s="228">
        <v>127.76</v>
      </c>
      <c r="F40" s="228">
        <v>126.84</v>
      </c>
      <c r="G40" s="228">
        <v>0.92</v>
      </c>
      <c r="H40" s="229">
        <v>7.3000000000000001E-3</v>
      </c>
      <c r="I40" s="228">
        <v>127.39</v>
      </c>
      <c r="J40" s="228">
        <v>126.17</v>
      </c>
      <c r="K40" s="228">
        <v>1.22</v>
      </c>
      <c r="L40" s="229">
        <v>9.7000000000000003E-3</v>
      </c>
      <c r="M40" s="228">
        <v>127.76</v>
      </c>
      <c r="N40" s="228">
        <v>126.84</v>
      </c>
      <c r="O40" s="228">
        <v>0.92</v>
      </c>
      <c r="P40" s="229">
        <v>7.3000000000000001E-3</v>
      </c>
      <c r="Q40" s="228">
        <v>128.58000000000001</v>
      </c>
      <c r="R40" s="228">
        <v>127.54</v>
      </c>
      <c r="S40" s="228">
        <v>1.04</v>
      </c>
      <c r="T40" s="229">
        <v>8.2000000000000007E-3</v>
      </c>
      <c r="U40" s="228">
        <v>129.16999999999999</v>
      </c>
      <c r="V40" s="228">
        <v>128.26</v>
      </c>
      <c r="W40" s="228">
        <v>0.91</v>
      </c>
      <c r="X40" s="229">
        <v>7.1000000000000004E-3</v>
      </c>
      <c r="Y40" s="228">
        <v>0.37</v>
      </c>
      <c r="Z40" s="228">
        <v>0.67</v>
      </c>
      <c r="AA40" s="228">
        <v>-0.3</v>
      </c>
      <c r="AB40" s="229">
        <v>2.8999999999999998E-3</v>
      </c>
      <c r="AC40" s="228">
        <v>0.37</v>
      </c>
      <c r="AD40" s="228">
        <v>0.67</v>
      </c>
      <c r="AE40" s="228">
        <v>-0.3</v>
      </c>
      <c r="AF40" s="229">
        <v>2.8999999999999998E-3</v>
      </c>
      <c r="AG40" s="228">
        <v>1.19</v>
      </c>
      <c r="AH40" s="228">
        <v>1.37</v>
      </c>
      <c r="AI40" s="228">
        <v>-0.18</v>
      </c>
      <c r="AJ40" s="229">
        <v>9.2999999999999992E-3</v>
      </c>
      <c r="AK40" s="228">
        <v>1.78</v>
      </c>
      <c r="AL40" s="228">
        <v>2.09</v>
      </c>
      <c r="AM40" s="228">
        <v>-0.31</v>
      </c>
      <c r="AN40" s="229">
        <v>1.4E-2</v>
      </c>
      <c r="AO40" s="228">
        <v>128.31</v>
      </c>
      <c r="AP40" s="228">
        <v>128.94</v>
      </c>
      <c r="AQ40" s="228">
        <v>0</v>
      </c>
      <c r="AR40" s="230">
        <v>54175500</v>
      </c>
      <c r="AS40" s="230">
        <v>32231250</v>
      </c>
      <c r="AT40" s="230">
        <v>21944250</v>
      </c>
      <c r="AU40" s="229">
        <v>0.68079999999999996</v>
      </c>
      <c r="AV40" s="230">
        <v>48822750</v>
      </c>
      <c r="AW40" s="230">
        <v>29619000</v>
      </c>
      <c r="AX40" s="230">
        <v>19203750</v>
      </c>
      <c r="AY40" s="229">
        <v>0.64839999999999998</v>
      </c>
      <c r="AZ40" s="230">
        <v>4583250</v>
      </c>
      <c r="BA40" s="230">
        <v>2362500</v>
      </c>
      <c r="BB40" s="230">
        <v>2220750</v>
      </c>
      <c r="BC40" s="229">
        <v>0.94</v>
      </c>
      <c r="BD40" s="230">
        <v>769500</v>
      </c>
      <c r="BE40" s="230">
        <v>249750</v>
      </c>
      <c r="BF40" s="230">
        <v>519750</v>
      </c>
      <c r="BG40" s="229">
        <v>2.0811000000000002</v>
      </c>
      <c r="BH40" s="230">
        <v>178794000</v>
      </c>
      <c r="BI40" s="230">
        <v>88141500</v>
      </c>
      <c r="BJ40" s="230">
        <v>90652500</v>
      </c>
      <c r="BK40" s="229">
        <v>1.0285</v>
      </c>
      <c r="BL40" s="230">
        <v>84300750</v>
      </c>
      <c r="BM40" s="230">
        <v>47877750</v>
      </c>
      <c r="BN40" s="230">
        <v>36423000</v>
      </c>
      <c r="BO40" s="229">
        <v>0.76080000000000003</v>
      </c>
      <c r="BP40" s="230">
        <v>317270250</v>
      </c>
      <c r="BQ40" s="230">
        <v>168250500</v>
      </c>
      <c r="BR40" s="230">
        <v>149019750</v>
      </c>
      <c r="BS40" s="229">
        <v>0.88570000000000004</v>
      </c>
      <c r="BT40" s="230">
        <v>24669804</v>
      </c>
      <c r="BU40" s="230">
        <v>18358813</v>
      </c>
      <c r="BV40" s="230">
        <v>6310991</v>
      </c>
      <c r="BW40" s="229">
        <v>0.34379999999999999</v>
      </c>
      <c r="BX40" s="230">
        <v>275710500</v>
      </c>
      <c r="BY40" s="230">
        <v>276081750</v>
      </c>
      <c r="BZ40" s="230">
        <v>-371250</v>
      </c>
      <c r="CA40" s="229">
        <v>-1.2999999999999999E-3</v>
      </c>
      <c r="CB40" s="230">
        <v>267246000</v>
      </c>
      <c r="CC40" s="230">
        <v>268083000</v>
      </c>
      <c r="CD40" s="230">
        <v>-837000</v>
      </c>
      <c r="CE40" s="229">
        <v>-3.0999999999999999E-3</v>
      </c>
      <c r="CF40" s="230">
        <v>7303500</v>
      </c>
      <c r="CG40" s="230">
        <v>6837750</v>
      </c>
      <c r="CH40" s="230">
        <v>465750</v>
      </c>
      <c r="CI40" s="229">
        <v>6.8099999999999994E-2</v>
      </c>
      <c r="CJ40" s="230">
        <v>1161000</v>
      </c>
      <c r="CK40" s="230">
        <v>1161000</v>
      </c>
      <c r="CL40" s="228">
        <v>0</v>
      </c>
      <c r="CM40" s="229">
        <v>0</v>
      </c>
      <c r="CN40" s="230">
        <v>93588750</v>
      </c>
      <c r="CO40" s="230">
        <v>101479500</v>
      </c>
      <c r="CP40" s="230">
        <v>-7890750</v>
      </c>
      <c r="CQ40" s="229">
        <v>-7.7799999999999994E-2</v>
      </c>
      <c r="CR40" s="230">
        <v>79886250</v>
      </c>
      <c r="CS40" s="230">
        <v>79893000</v>
      </c>
      <c r="CT40" s="230">
        <v>-6750</v>
      </c>
      <c r="CU40" s="229">
        <v>-1E-4</v>
      </c>
      <c r="CV40" s="230">
        <v>449185500</v>
      </c>
      <c r="CW40" s="230">
        <v>457454250</v>
      </c>
      <c r="CX40" s="230">
        <v>-8268750</v>
      </c>
      <c r="CY40" s="229">
        <v>-1.8100000000000002E-2</v>
      </c>
      <c r="CZ40" s="228">
        <v>29.5</v>
      </c>
      <c r="DA40" s="228">
        <v>31.72</v>
      </c>
      <c r="DB40" s="228">
        <v>-2.2200000000000002</v>
      </c>
      <c r="DC40" s="228">
        <v>-2.2200000000000002</v>
      </c>
      <c r="DD40" s="228">
        <v>37.71</v>
      </c>
      <c r="DE40" s="228">
        <v>37.79</v>
      </c>
      <c r="DF40" s="228">
        <v>-8.2100000000000009</v>
      </c>
      <c r="DG40" s="228">
        <v>-0.08</v>
      </c>
      <c r="DH40" s="228">
        <v>29.36</v>
      </c>
      <c r="DI40" s="228">
        <v>31.74</v>
      </c>
      <c r="DJ40" s="228">
        <v>-2.38</v>
      </c>
      <c r="DK40" s="228">
        <v>-2.38</v>
      </c>
      <c r="DL40" s="228">
        <v>29.79</v>
      </c>
      <c r="DM40" s="228">
        <v>31.68</v>
      </c>
      <c r="DN40" s="228">
        <v>-1.89</v>
      </c>
      <c r="DO40" s="228">
        <v>-1.89</v>
      </c>
      <c r="DP40" s="228">
        <v>0.85</v>
      </c>
      <c r="DQ40" s="228">
        <v>0.79</v>
      </c>
      <c r="DR40" s="228">
        <v>0.06</v>
      </c>
      <c r="DS40" s="229">
        <v>7.5899999999999995E-2</v>
      </c>
      <c r="DT40" s="228">
        <v>130</v>
      </c>
      <c r="DU40" s="228">
        <v>115</v>
      </c>
      <c r="DV40" s="228">
        <v>0.47</v>
      </c>
      <c r="DW40" s="228">
        <v>0.54</v>
      </c>
      <c r="DX40" s="228">
        <v>-7.0000000000000007E-2</v>
      </c>
      <c r="DY40" s="229">
        <v>-0.12959999999999999</v>
      </c>
      <c r="DZ40" s="229">
        <v>3.0700000000000002E-2</v>
      </c>
      <c r="EA40" s="230">
        <v>7998750</v>
      </c>
      <c r="EB40" s="229">
        <v>6.4000000000000003E-3</v>
      </c>
      <c r="EC40" s="229">
        <v>3.0700000000000002E-2</v>
      </c>
      <c r="ED40" s="228">
        <v>0.63</v>
      </c>
      <c r="EE40" s="229">
        <v>4.8999999999999998E-3</v>
      </c>
      <c r="EF40" s="230">
        <v>9717672</v>
      </c>
      <c r="EG40" s="230">
        <v>8674916</v>
      </c>
      <c r="EH40" s="229">
        <v>0.1202</v>
      </c>
      <c r="EI40" s="229">
        <v>0.39389999999999997</v>
      </c>
      <c r="EJ40" s="231">
        <v>238113.8</v>
      </c>
      <c r="EK40" s="231">
        <v>106163.37</v>
      </c>
      <c r="EL40" s="231">
        <v>69553.22</v>
      </c>
      <c r="EM40" s="231">
        <v>8562</v>
      </c>
      <c r="EN40" s="231">
        <v>413830.39</v>
      </c>
      <c r="EO40" s="231">
        <v>217994.03</v>
      </c>
      <c r="EP40" s="231">
        <v>195836.36</v>
      </c>
      <c r="EQ40" s="229">
        <v>0.89839999999999998</v>
      </c>
      <c r="ER40" s="231">
        <v>120211</v>
      </c>
      <c r="ES40" s="231">
        <v>95366</v>
      </c>
      <c r="ET40" s="231">
        <v>352324</v>
      </c>
      <c r="EU40" s="231">
        <v>504315430</v>
      </c>
      <c r="EV40" s="231">
        <v>567901</v>
      </c>
      <c r="EW40" s="231">
        <v>575999</v>
      </c>
      <c r="EX40" s="231">
        <v>-8098</v>
      </c>
      <c r="EY40" s="229">
        <v>-1.41E-2</v>
      </c>
      <c r="EZ40" s="229">
        <v>0.89070000000000005</v>
      </c>
      <c r="FA40" s="227" t="s">
        <v>556</v>
      </c>
      <c r="FB40" s="161">
        <f t="shared" si="0"/>
        <v>8464500</v>
      </c>
    </row>
    <row r="41" spans="1:158" ht="17.25" hidden="1" thickBot="1" x14ac:dyDescent="0.3">
      <c r="A41" s="226">
        <v>45940</v>
      </c>
      <c r="B41" s="227" t="s">
        <v>175</v>
      </c>
      <c r="C41" s="227" t="s">
        <v>598</v>
      </c>
      <c r="D41" s="228">
        <v>475</v>
      </c>
      <c r="E41" s="231">
        <v>1614.6</v>
      </c>
      <c r="F41" s="231">
        <v>1567.4</v>
      </c>
      <c r="G41" s="228">
        <v>47.2</v>
      </c>
      <c r="H41" s="229">
        <v>3.0099999999999998E-2</v>
      </c>
      <c r="I41" s="231">
        <v>1605.3</v>
      </c>
      <c r="J41" s="231">
        <v>1558.6</v>
      </c>
      <c r="K41" s="228">
        <v>46.7</v>
      </c>
      <c r="L41" s="229">
        <v>0.03</v>
      </c>
      <c r="M41" s="231">
        <v>1614.6</v>
      </c>
      <c r="N41" s="231">
        <v>1567.4</v>
      </c>
      <c r="O41" s="228">
        <v>47.2</v>
      </c>
      <c r="P41" s="229">
        <v>3.0099999999999998E-2</v>
      </c>
      <c r="Q41" s="231">
        <v>1617.7</v>
      </c>
      <c r="R41" s="231">
        <v>1571.8</v>
      </c>
      <c r="S41" s="228">
        <v>45.9</v>
      </c>
      <c r="T41" s="229">
        <v>2.92E-2</v>
      </c>
      <c r="U41" s="231">
        <v>1621.9</v>
      </c>
      <c r="V41" s="231">
        <v>1575</v>
      </c>
      <c r="W41" s="228">
        <v>46.9</v>
      </c>
      <c r="X41" s="229">
        <v>2.98E-2</v>
      </c>
      <c r="Y41" s="228">
        <v>9.3000000000000007</v>
      </c>
      <c r="Z41" s="228">
        <v>8.8000000000000007</v>
      </c>
      <c r="AA41" s="228">
        <v>0.5</v>
      </c>
      <c r="AB41" s="229">
        <v>5.7999999999999996E-3</v>
      </c>
      <c r="AC41" s="228">
        <v>9.3000000000000007</v>
      </c>
      <c r="AD41" s="228">
        <v>8.8000000000000007</v>
      </c>
      <c r="AE41" s="228">
        <v>0.5</v>
      </c>
      <c r="AF41" s="229">
        <v>5.7999999999999996E-3</v>
      </c>
      <c r="AG41" s="228">
        <v>12.4</v>
      </c>
      <c r="AH41" s="228">
        <v>13.2</v>
      </c>
      <c r="AI41" s="228">
        <v>-0.8</v>
      </c>
      <c r="AJ41" s="229">
        <v>7.7000000000000002E-3</v>
      </c>
      <c r="AK41" s="228">
        <v>16.600000000000001</v>
      </c>
      <c r="AL41" s="228">
        <v>16.399999999999999</v>
      </c>
      <c r="AM41" s="228">
        <v>0.2</v>
      </c>
      <c r="AN41" s="229">
        <v>1.03E-2</v>
      </c>
      <c r="AO41" s="231">
        <v>1600.09</v>
      </c>
      <c r="AP41" s="231">
        <v>1603.14</v>
      </c>
      <c r="AQ41" s="228">
        <v>0</v>
      </c>
      <c r="AR41" s="230">
        <v>4331525</v>
      </c>
      <c r="AS41" s="230">
        <v>1876725</v>
      </c>
      <c r="AT41" s="230">
        <v>2454800</v>
      </c>
      <c r="AU41" s="229">
        <v>1.3080000000000001</v>
      </c>
      <c r="AV41" s="230">
        <v>3779100</v>
      </c>
      <c r="AW41" s="230">
        <v>1690525</v>
      </c>
      <c r="AX41" s="230">
        <v>2088575</v>
      </c>
      <c r="AY41" s="229">
        <v>1.2355</v>
      </c>
      <c r="AZ41" s="230">
        <v>450775</v>
      </c>
      <c r="BA41" s="230">
        <v>150100</v>
      </c>
      <c r="BB41" s="230">
        <v>300675</v>
      </c>
      <c r="BC41" s="229">
        <v>2.0032000000000001</v>
      </c>
      <c r="BD41" s="230">
        <v>101650</v>
      </c>
      <c r="BE41" s="230">
        <v>36100</v>
      </c>
      <c r="BF41" s="230">
        <v>65550</v>
      </c>
      <c r="BG41" s="229">
        <v>1.8158000000000001</v>
      </c>
      <c r="BH41" s="230">
        <v>22485550</v>
      </c>
      <c r="BI41" s="230">
        <v>8437425</v>
      </c>
      <c r="BJ41" s="230">
        <v>14048125</v>
      </c>
      <c r="BK41" s="229">
        <v>1.665</v>
      </c>
      <c r="BL41" s="230">
        <v>6168350</v>
      </c>
      <c r="BM41" s="230">
        <v>2989650</v>
      </c>
      <c r="BN41" s="230">
        <v>3178700</v>
      </c>
      <c r="BO41" s="229">
        <v>1.0631999999999999</v>
      </c>
      <c r="BP41" s="230">
        <v>32985425</v>
      </c>
      <c r="BQ41" s="230">
        <v>13303800</v>
      </c>
      <c r="BR41" s="230">
        <v>19681625</v>
      </c>
      <c r="BS41" s="229">
        <v>1.4794</v>
      </c>
      <c r="BT41" s="230">
        <v>3338032</v>
      </c>
      <c r="BU41" s="230">
        <v>1698777</v>
      </c>
      <c r="BV41" s="230">
        <v>1639255</v>
      </c>
      <c r="BW41" s="229">
        <v>0.96499999999999997</v>
      </c>
      <c r="BX41" s="230">
        <v>8320575</v>
      </c>
      <c r="BY41" s="230">
        <v>8651175</v>
      </c>
      <c r="BZ41" s="230">
        <v>-330600</v>
      </c>
      <c r="CA41" s="229">
        <v>-3.8199999999999998E-2</v>
      </c>
      <c r="CB41" s="230">
        <v>7618525</v>
      </c>
      <c r="CC41" s="230">
        <v>7973825</v>
      </c>
      <c r="CD41" s="230">
        <v>-355300</v>
      </c>
      <c r="CE41" s="229">
        <v>-4.4600000000000001E-2</v>
      </c>
      <c r="CF41" s="230">
        <v>618450</v>
      </c>
      <c r="CG41" s="230">
        <v>615600</v>
      </c>
      <c r="CH41" s="230">
        <v>2850</v>
      </c>
      <c r="CI41" s="229">
        <v>4.5999999999999999E-3</v>
      </c>
      <c r="CJ41" s="230">
        <v>83600</v>
      </c>
      <c r="CK41" s="230">
        <v>61750</v>
      </c>
      <c r="CL41" s="230">
        <v>21850</v>
      </c>
      <c r="CM41" s="229">
        <v>0.3538</v>
      </c>
      <c r="CN41" s="230">
        <v>5362275</v>
      </c>
      <c r="CO41" s="230">
        <v>5464400</v>
      </c>
      <c r="CP41" s="230">
        <v>-102125</v>
      </c>
      <c r="CQ41" s="229">
        <v>-1.8700000000000001E-2</v>
      </c>
      <c r="CR41" s="230">
        <v>3617125</v>
      </c>
      <c r="CS41" s="230">
        <v>3557750</v>
      </c>
      <c r="CT41" s="230">
        <v>59375</v>
      </c>
      <c r="CU41" s="229">
        <v>1.67E-2</v>
      </c>
      <c r="CV41" s="230">
        <v>17299975</v>
      </c>
      <c r="CW41" s="230">
        <v>17673325</v>
      </c>
      <c r="CX41" s="230">
        <v>-373350</v>
      </c>
      <c r="CY41" s="229">
        <v>-2.1100000000000001E-2</v>
      </c>
      <c r="CZ41" s="228">
        <v>29.41</v>
      </c>
      <c r="DA41" s="228">
        <v>30.02</v>
      </c>
      <c r="DB41" s="228">
        <v>-0.61</v>
      </c>
      <c r="DC41" s="228">
        <v>-0.61</v>
      </c>
      <c r="DD41" s="228">
        <v>48.07</v>
      </c>
      <c r="DE41" s="228">
        <v>48.02</v>
      </c>
      <c r="DF41" s="228">
        <v>-18.66</v>
      </c>
      <c r="DG41" s="228">
        <v>0.05</v>
      </c>
      <c r="DH41" s="228">
        <v>29.09</v>
      </c>
      <c r="DI41" s="228">
        <v>29.89</v>
      </c>
      <c r="DJ41" s="228">
        <v>-0.8</v>
      </c>
      <c r="DK41" s="228">
        <v>-0.8</v>
      </c>
      <c r="DL41" s="228">
        <v>30.6</v>
      </c>
      <c r="DM41" s="228">
        <v>30.41</v>
      </c>
      <c r="DN41" s="228">
        <v>0.19</v>
      </c>
      <c r="DO41" s="228">
        <v>0.19</v>
      </c>
      <c r="DP41" s="228">
        <v>0.67</v>
      </c>
      <c r="DQ41" s="228">
        <v>0.65</v>
      </c>
      <c r="DR41" s="228">
        <v>0.02</v>
      </c>
      <c r="DS41" s="229">
        <v>3.0800000000000001E-2</v>
      </c>
      <c r="DT41" s="231">
        <v>1600</v>
      </c>
      <c r="DU41" s="231">
        <v>1500</v>
      </c>
      <c r="DV41" s="228">
        <v>0.27</v>
      </c>
      <c r="DW41" s="228">
        <v>0.35</v>
      </c>
      <c r="DX41" s="228">
        <v>-0.08</v>
      </c>
      <c r="DY41" s="229">
        <v>-0.2286</v>
      </c>
      <c r="DZ41" s="229">
        <v>8.4400000000000003E-2</v>
      </c>
      <c r="EA41" s="230">
        <v>677350</v>
      </c>
      <c r="EB41" s="229">
        <v>1.9E-3</v>
      </c>
      <c r="EC41" s="229">
        <v>8.4400000000000003E-2</v>
      </c>
      <c r="ED41" s="228">
        <v>3.05</v>
      </c>
      <c r="EE41" s="229">
        <v>1.9E-3</v>
      </c>
      <c r="EF41" s="230">
        <v>1415077</v>
      </c>
      <c r="EG41" s="230">
        <v>518877</v>
      </c>
      <c r="EH41" s="229">
        <v>1.7272000000000001</v>
      </c>
      <c r="EI41" s="229">
        <v>0.4239</v>
      </c>
      <c r="EJ41" s="231">
        <v>373025.49</v>
      </c>
      <c r="EK41" s="231">
        <v>96137.7</v>
      </c>
      <c r="EL41" s="231">
        <v>69327.78</v>
      </c>
      <c r="EM41" s="231">
        <v>4972</v>
      </c>
      <c r="EN41" s="231">
        <v>538490.97</v>
      </c>
      <c r="EO41" s="231">
        <v>212764.44</v>
      </c>
      <c r="EP41" s="231">
        <v>325726.53000000003</v>
      </c>
      <c r="EQ41" s="229">
        <v>1.5308999999999999</v>
      </c>
      <c r="ER41" s="231">
        <v>87169</v>
      </c>
      <c r="ES41" s="231">
        <v>54619</v>
      </c>
      <c r="ET41" s="231">
        <v>134369</v>
      </c>
      <c r="EU41" s="231">
        <v>26647500</v>
      </c>
      <c r="EV41" s="231">
        <v>276157</v>
      </c>
      <c r="EW41" s="231">
        <v>276776</v>
      </c>
      <c r="EX41" s="228">
        <v>-619</v>
      </c>
      <c r="EY41" s="229">
        <v>-2.2000000000000001E-3</v>
      </c>
      <c r="EZ41" s="229">
        <v>0.6492</v>
      </c>
      <c r="FA41" s="227" t="s">
        <v>556</v>
      </c>
      <c r="FB41" s="161">
        <f t="shared" si="0"/>
        <v>702050</v>
      </c>
    </row>
    <row r="42" spans="1:158" ht="17.25" hidden="1" thickBot="1" x14ac:dyDescent="0.3">
      <c r="A42" s="226">
        <v>45940</v>
      </c>
      <c r="B42" s="227" t="s">
        <v>161</v>
      </c>
      <c r="C42" s="227" t="s">
        <v>613</v>
      </c>
      <c r="D42" s="228">
        <v>850</v>
      </c>
      <c r="E42" s="228">
        <v>756</v>
      </c>
      <c r="F42" s="228">
        <v>763.25</v>
      </c>
      <c r="G42" s="228">
        <v>-7.25</v>
      </c>
      <c r="H42" s="229">
        <v>-9.4999999999999998E-3</v>
      </c>
      <c r="I42" s="228">
        <v>753.4</v>
      </c>
      <c r="J42" s="228">
        <v>761.15</v>
      </c>
      <c r="K42" s="228">
        <v>-7.75</v>
      </c>
      <c r="L42" s="229">
        <v>-1.0200000000000001E-2</v>
      </c>
      <c r="M42" s="228">
        <v>756</v>
      </c>
      <c r="N42" s="228">
        <v>763.25</v>
      </c>
      <c r="O42" s="228">
        <v>-7.25</v>
      </c>
      <c r="P42" s="229">
        <v>-9.4999999999999998E-3</v>
      </c>
      <c r="Q42" s="228">
        <v>760.05</v>
      </c>
      <c r="R42" s="228">
        <v>766.75</v>
      </c>
      <c r="S42" s="228">
        <v>-6.7</v>
      </c>
      <c r="T42" s="229">
        <v>-8.6999999999999994E-3</v>
      </c>
      <c r="U42" s="228">
        <v>767.75</v>
      </c>
      <c r="V42" s="228">
        <v>771.85</v>
      </c>
      <c r="W42" s="228">
        <v>-4.0999999999999996</v>
      </c>
      <c r="X42" s="229">
        <v>-5.3E-3</v>
      </c>
      <c r="Y42" s="228">
        <v>2.6</v>
      </c>
      <c r="Z42" s="228">
        <v>2.1</v>
      </c>
      <c r="AA42" s="228">
        <v>0.5</v>
      </c>
      <c r="AB42" s="229">
        <v>3.5000000000000001E-3</v>
      </c>
      <c r="AC42" s="228">
        <v>2.6</v>
      </c>
      <c r="AD42" s="228">
        <v>2.1</v>
      </c>
      <c r="AE42" s="228">
        <v>0.5</v>
      </c>
      <c r="AF42" s="229">
        <v>3.5000000000000001E-3</v>
      </c>
      <c r="AG42" s="228">
        <v>6.65</v>
      </c>
      <c r="AH42" s="228">
        <v>5.6</v>
      </c>
      <c r="AI42" s="228">
        <v>1.05</v>
      </c>
      <c r="AJ42" s="229">
        <v>8.8000000000000005E-3</v>
      </c>
      <c r="AK42" s="228">
        <v>14.35</v>
      </c>
      <c r="AL42" s="228">
        <v>10.7</v>
      </c>
      <c r="AM42" s="228">
        <v>3.65</v>
      </c>
      <c r="AN42" s="229">
        <v>1.9E-2</v>
      </c>
      <c r="AO42" s="228">
        <v>755.82</v>
      </c>
      <c r="AP42" s="228">
        <v>759.54</v>
      </c>
      <c r="AQ42" s="228">
        <v>0</v>
      </c>
      <c r="AR42" s="230">
        <v>2548300</v>
      </c>
      <c r="AS42" s="230">
        <v>3623550</v>
      </c>
      <c r="AT42" s="230">
        <v>-1075250</v>
      </c>
      <c r="AU42" s="229">
        <v>-0.29670000000000002</v>
      </c>
      <c r="AV42" s="230">
        <v>2377450</v>
      </c>
      <c r="AW42" s="230">
        <v>3402550</v>
      </c>
      <c r="AX42" s="230">
        <v>-1025100</v>
      </c>
      <c r="AY42" s="229">
        <v>-0.30130000000000001</v>
      </c>
      <c r="AZ42" s="230">
        <v>152150</v>
      </c>
      <c r="BA42" s="230">
        <v>206550</v>
      </c>
      <c r="BB42" s="230">
        <v>-54400</v>
      </c>
      <c r="BC42" s="229">
        <v>-0.26340000000000002</v>
      </c>
      <c r="BD42" s="230">
        <v>18700</v>
      </c>
      <c r="BE42" s="230">
        <v>14450</v>
      </c>
      <c r="BF42" s="230">
        <v>4250</v>
      </c>
      <c r="BG42" s="229">
        <v>0.29409999999999997</v>
      </c>
      <c r="BH42" s="230">
        <v>6420900</v>
      </c>
      <c r="BI42" s="230">
        <v>10970100</v>
      </c>
      <c r="BJ42" s="230">
        <v>-4549200</v>
      </c>
      <c r="BK42" s="229">
        <v>-0.41470000000000001</v>
      </c>
      <c r="BL42" s="230">
        <v>2490500</v>
      </c>
      <c r="BM42" s="230">
        <v>2688550</v>
      </c>
      <c r="BN42" s="230">
        <v>-198050</v>
      </c>
      <c r="BO42" s="229">
        <v>-7.3700000000000002E-2</v>
      </c>
      <c r="BP42" s="230">
        <v>11459700</v>
      </c>
      <c r="BQ42" s="230">
        <v>17282200</v>
      </c>
      <c r="BR42" s="230">
        <v>-5822500</v>
      </c>
      <c r="BS42" s="229">
        <v>-0.33689999999999998</v>
      </c>
      <c r="BT42" s="230">
        <v>2749237</v>
      </c>
      <c r="BU42" s="230">
        <v>2437030</v>
      </c>
      <c r="BV42" s="230">
        <v>312207</v>
      </c>
      <c r="BW42" s="229">
        <v>0.12809999999999999</v>
      </c>
      <c r="BX42" s="230">
        <v>18497700</v>
      </c>
      <c r="BY42" s="230">
        <v>18292000</v>
      </c>
      <c r="BZ42" s="230">
        <v>205700</v>
      </c>
      <c r="CA42" s="229">
        <v>1.12E-2</v>
      </c>
      <c r="CB42" s="230">
        <v>18042100</v>
      </c>
      <c r="CC42" s="230">
        <v>17882300</v>
      </c>
      <c r="CD42" s="230">
        <v>159800</v>
      </c>
      <c r="CE42" s="229">
        <v>8.8999999999999999E-3</v>
      </c>
      <c r="CF42" s="230">
        <v>425000</v>
      </c>
      <c r="CG42" s="230">
        <v>385900</v>
      </c>
      <c r="CH42" s="230">
        <v>39100</v>
      </c>
      <c r="CI42" s="229">
        <v>0.1013</v>
      </c>
      <c r="CJ42" s="230">
        <v>30600</v>
      </c>
      <c r="CK42" s="230">
        <v>23800</v>
      </c>
      <c r="CL42" s="230">
        <v>6800</v>
      </c>
      <c r="CM42" s="229">
        <v>0.28570000000000001</v>
      </c>
      <c r="CN42" s="230">
        <v>5934700</v>
      </c>
      <c r="CO42" s="230">
        <v>5519050</v>
      </c>
      <c r="CP42" s="230">
        <v>415650</v>
      </c>
      <c r="CQ42" s="229">
        <v>7.5300000000000006E-2</v>
      </c>
      <c r="CR42" s="230">
        <v>3682200</v>
      </c>
      <c r="CS42" s="230">
        <v>3250400</v>
      </c>
      <c r="CT42" s="230">
        <v>431800</v>
      </c>
      <c r="CU42" s="229">
        <v>0.1328</v>
      </c>
      <c r="CV42" s="230">
        <v>28114600</v>
      </c>
      <c r="CW42" s="230">
        <v>27061450</v>
      </c>
      <c r="CX42" s="230">
        <v>1053150</v>
      </c>
      <c r="CY42" s="229">
        <v>3.8899999999999997E-2</v>
      </c>
      <c r="CZ42" s="228">
        <v>32.44</v>
      </c>
      <c r="DA42" s="228">
        <v>32.35</v>
      </c>
      <c r="DB42" s="228">
        <v>0.09</v>
      </c>
      <c r="DC42" s="228">
        <v>0.09</v>
      </c>
      <c r="DD42" s="228">
        <v>41.94</v>
      </c>
      <c r="DE42" s="228">
        <v>42.02</v>
      </c>
      <c r="DF42" s="228">
        <v>-9.5</v>
      </c>
      <c r="DG42" s="228">
        <v>-0.08</v>
      </c>
      <c r="DH42" s="228">
        <v>32.869999999999997</v>
      </c>
      <c r="DI42" s="228">
        <v>32.409999999999997</v>
      </c>
      <c r="DJ42" s="228">
        <v>0.46</v>
      </c>
      <c r="DK42" s="228">
        <v>0.46</v>
      </c>
      <c r="DL42" s="228">
        <v>31.34</v>
      </c>
      <c r="DM42" s="228">
        <v>32.1</v>
      </c>
      <c r="DN42" s="228">
        <v>-0.76</v>
      </c>
      <c r="DO42" s="228">
        <v>-0.76</v>
      </c>
      <c r="DP42" s="228">
        <v>0.62</v>
      </c>
      <c r="DQ42" s="228">
        <v>0.59</v>
      </c>
      <c r="DR42" s="228">
        <v>0.03</v>
      </c>
      <c r="DS42" s="229">
        <v>5.0799999999999998E-2</v>
      </c>
      <c r="DT42" s="228">
        <v>840</v>
      </c>
      <c r="DU42" s="228">
        <v>700</v>
      </c>
      <c r="DV42" s="228">
        <v>0.39</v>
      </c>
      <c r="DW42" s="228">
        <v>0.25</v>
      </c>
      <c r="DX42" s="228">
        <v>0.14000000000000001</v>
      </c>
      <c r="DY42" s="229">
        <v>0.56000000000000005</v>
      </c>
      <c r="DZ42" s="229">
        <v>2.46E-2</v>
      </c>
      <c r="EA42" s="230">
        <v>409700</v>
      </c>
      <c r="EB42" s="229">
        <v>5.4000000000000003E-3</v>
      </c>
      <c r="EC42" s="229">
        <v>2.46E-2</v>
      </c>
      <c r="ED42" s="228">
        <v>3.72</v>
      </c>
      <c r="EE42" s="229">
        <v>4.8999999999999998E-3</v>
      </c>
      <c r="EF42" s="230">
        <v>1534315</v>
      </c>
      <c r="EG42" s="230">
        <v>954221</v>
      </c>
      <c r="EH42" s="229">
        <v>0.6079</v>
      </c>
      <c r="EI42" s="229">
        <v>0.55810000000000004</v>
      </c>
      <c r="EJ42" s="231">
        <v>50723.34</v>
      </c>
      <c r="EK42" s="231">
        <v>18647.03</v>
      </c>
      <c r="EL42" s="231">
        <v>19267.59</v>
      </c>
      <c r="EM42" s="231">
        <v>2644</v>
      </c>
      <c r="EN42" s="231">
        <v>88637.96</v>
      </c>
      <c r="EO42" s="231">
        <v>134652.24</v>
      </c>
      <c r="EP42" s="231">
        <v>-46014.28</v>
      </c>
      <c r="EQ42" s="229">
        <v>-0.3417</v>
      </c>
      <c r="ER42" s="231">
        <v>47242</v>
      </c>
      <c r="ES42" s="231">
        <v>26815</v>
      </c>
      <c r="ET42" s="231">
        <v>139863</v>
      </c>
      <c r="EU42" s="231">
        <v>100245792</v>
      </c>
      <c r="EV42" s="231">
        <v>213920</v>
      </c>
      <c r="EW42" s="231">
        <v>207246</v>
      </c>
      <c r="EX42" s="231">
        <v>6674</v>
      </c>
      <c r="EY42" s="229">
        <v>3.2199999999999999E-2</v>
      </c>
      <c r="EZ42" s="229">
        <v>0.28050000000000003</v>
      </c>
      <c r="FA42" s="227" t="s">
        <v>567</v>
      </c>
      <c r="FB42" s="161">
        <f t="shared" si="0"/>
        <v>455600</v>
      </c>
    </row>
    <row r="43" spans="1:158" ht="17.25" hidden="1" thickBot="1" x14ac:dyDescent="0.3">
      <c r="A43" s="226">
        <v>45940</v>
      </c>
      <c r="B43" s="227" t="s">
        <v>175</v>
      </c>
      <c r="C43" s="227" t="s">
        <v>198</v>
      </c>
      <c r="D43" s="228">
        <v>625</v>
      </c>
      <c r="E43" s="231">
        <v>1611.6</v>
      </c>
      <c r="F43" s="231">
        <v>1617.4</v>
      </c>
      <c r="G43" s="228">
        <v>-5.8</v>
      </c>
      <c r="H43" s="229">
        <v>-3.5999999999999999E-3</v>
      </c>
      <c r="I43" s="231">
        <v>1614.2</v>
      </c>
      <c r="J43" s="231">
        <v>1621.4</v>
      </c>
      <c r="K43" s="228">
        <v>-7.2</v>
      </c>
      <c r="L43" s="229">
        <v>-4.4000000000000003E-3</v>
      </c>
      <c r="M43" s="231">
        <v>1611.6</v>
      </c>
      <c r="N43" s="231">
        <v>1617.4</v>
      </c>
      <c r="O43" s="228">
        <v>-5.8</v>
      </c>
      <c r="P43" s="229">
        <v>-3.5999999999999999E-3</v>
      </c>
      <c r="Q43" s="231">
        <v>1600.1</v>
      </c>
      <c r="R43" s="231">
        <v>1606.3</v>
      </c>
      <c r="S43" s="228">
        <v>-6.2</v>
      </c>
      <c r="T43" s="229">
        <v>-3.8999999999999998E-3</v>
      </c>
      <c r="U43" s="231">
        <v>1593.7</v>
      </c>
      <c r="V43" s="231">
        <v>1602.5</v>
      </c>
      <c r="W43" s="228">
        <v>-8.8000000000000007</v>
      </c>
      <c r="X43" s="229">
        <v>-5.4999999999999997E-3</v>
      </c>
      <c r="Y43" s="228">
        <v>-2.6</v>
      </c>
      <c r="Z43" s="228">
        <v>-4</v>
      </c>
      <c r="AA43" s="228">
        <v>1.4</v>
      </c>
      <c r="AB43" s="229">
        <v>-1.6000000000000001E-3</v>
      </c>
      <c r="AC43" s="228">
        <v>-2.6</v>
      </c>
      <c r="AD43" s="228">
        <v>-4</v>
      </c>
      <c r="AE43" s="228">
        <v>1.4</v>
      </c>
      <c r="AF43" s="229">
        <v>-1.6000000000000001E-3</v>
      </c>
      <c r="AG43" s="228">
        <v>-14.1</v>
      </c>
      <c r="AH43" s="228">
        <v>-15.1</v>
      </c>
      <c r="AI43" s="228">
        <v>1</v>
      </c>
      <c r="AJ43" s="229">
        <v>-8.6999999999999994E-3</v>
      </c>
      <c r="AK43" s="228">
        <v>-20.5</v>
      </c>
      <c r="AL43" s="228">
        <v>-18.899999999999999</v>
      </c>
      <c r="AM43" s="228">
        <v>-1.6</v>
      </c>
      <c r="AN43" s="229">
        <v>-1.2699999999999999E-2</v>
      </c>
      <c r="AO43" s="231">
        <v>1617.4</v>
      </c>
      <c r="AP43" s="231">
        <v>1605.4</v>
      </c>
      <c r="AQ43" s="228">
        <v>0</v>
      </c>
      <c r="AR43" s="230">
        <v>1146250</v>
      </c>
      <c r="AS43" s="230">
        <v>1890625</v>
      </c>
      <c r="AT43" s="230">
        <v>-744375</v>
      </c>
      <c r="AU43" s="229">
        <v>-0.39369999999999999</v>
      </c>
      <c r="AV43" s="230">
        <v>996250</v>
      </c>
      <c r="AW43" s="230">
        <v>1721250</v>
      </c>
      <c r="AX43" s="230">
        <v>-725000</v>
      </c>
      <c r="AY43" s="229">
        <v>-0.42120000000000002</v>
      </c>
      <c r="AZ43" s="230">
        <v>140625</v>
      </c>
      <c r="BA43" s="230">
        <v>164375</v>
      </c>
      <c r="BB43" s="230">
        <v>-23750</v>
      </c>
      <c r="BC43" s="229">
        <v>-0.14449999999999999</v>
      </c>
      <c r="BD43" s="230">
        <v>9375</v>
      </c>
      <c r="BE43" s="230">
        <v>5000</v>
      </c>
      <c r="BF43" s="230">
        <v>4375</v>
      </c>
      <c r="BG43" s="229">
        <v>0.875</v>
      </c>
      <c r="BH43" s="230">
        <v>3148125</v>
      </c>
      <c r="BI43" s="230">
        <v>3404375</v>
      </c>
      <c r="BJ43" s="230">
        <v>-256250</v>
      </c>
      <c r="BK43" s="229">
        <v>-7.5300000000000006E-2</v>
      </c>
      <c r="BL43" s="230">
        <v>1225625</v>
      </c>
      <c r="BM43" s="230">
        <v>1595000</v>
      </c>
      <c r="BN43" s="230">
        <v>-369375</v>
      </c>
      <c r="BO43" s="229">
        <v>-0.2316</v>
      </c>
      <c r="BP43" s="230">
        <v>5520000</v>
      </c>
      <c r="BQ43" s="230">
        <v>6890000</v>
      </c>
      <c r="BR43" s="230">
        <v>-1370000</v>
      </c>
      <c r="BS43" s="229">
        <v>-0.1988</v>
      </c>
      <c r="BT43" s="230">
        <v>459246</v>
      </c>
      <c r="BU43" s="230">
        <v>1609589</v>
      </c>
      <c r="BV43" s="230">
        <v>-1150343</v>
      </c>
      <c r="BW43" s="229">
        <v>-0.7147</v>
      </c>
      <c r="BX43" s="230">
        <v>15751250</v>
      </c>
      <c r="BY43" s="230">
        <v>15658750</v>
      </c>
      <c r="BZ43" s="230">
        <v>92500</v>
      </c>
      <c r="CA43" s="229">
        <v>5.8999999999999999E-3</v>
      </c>
      <c r="CB43" s="230">
        <v>15191250</v>
      </c>
      <c r="CC43" s="230">
        <v>15173750</v>
      </c>
      <c r="CD43" s="230">
        <v>17500</v>
      </c>
      <c r="CE43" s="229">
        <v>1.1999999999999999E-3</v>
      </c>
      <c r="CF43" s="230">
        <v>535625</v>
      </c>
      <c r="CG43" s="230">
        <v>465625</v>
      </c>
      <c r="CH43" s="230">
        <v>70000</v>
      </c>
      <c r="CI43" s="229">
        <v>0.15029999999999999</v>
      </c>
      <c r="CJ43" s="230">
        <v>24375</v>
      </c>
      <c r="CK43" s="230">
        <v>19375</v>
      </c>
      <c r="CL43" s="230">
        <v>5000</v>
      </c>
      <c r="CM43" s="229">
        <v>0.2581</v>
      </c>
      <c r="CN43" s="230">
        <v>2461250</v>
      </c>
      <c r="CO43" s="230">
        <v>2471250</v>
      </c>
      <c r="CP43" s="230">
        <v>-10000</v>
      </c>
      <c r="CQ43" s="229">
        <v>-4.0000000000000001E-3</v>
      </c>
      <c r="CR43" s="230">
        <v>1785625</v>
      </c>
      <c r="CS43" s="230">
        <v>1810000</v>
      </c>
      <c r="CT43" s="230">
        <v>-24375</v>
      </c>
      <c r="CU43" s="229">
        <v>-1.35E-2</v>
      </c>
      <c r="CV43" s="230">
        <v>19998125</v>
      </c>
      <c r="CW43" s="230">
        <v>19940000</v>
      </c>
      <c r="CX43" s="230">
        <v>58125</v>
      </c>
      <c r="CY43" s="229">
        <v>2.8999999999999998E-3</v>
      </c>
      <c r="CZ43" s="228">
        <v>23.88</v>
      </c>
      <c r="DA43" s="228">
        <v>25.09</v>
      </c>
      <c r="DB43" s="228">
        <v>-1.21</v>
      </c>
      <c r="DC43" s="228">
        <v>-1.21</v>
      </c>
      <c r="DD43" s="228">
        <v>38.78</v>
      </c>
      <c r="DE43" s="228">
        <v>38.869999999999997</v>
      </c>
      <c r="DF43" s="228">
        <v>-14.9</v>
      </c>
      <c r="DG43" s="228">
        <v>-0.09</v>
      </c>
      <c r="DH43" s="228">
        <v>23.82</v>
      </c>
      <c r="DI43" s="228">
        <v>25.06</v>
      </c>
      <c r="DJ43" s="228">
        <v>-1.24</v>
      </c>
      <c r="DK43" s="228">
        <v>-1.24</v>
      </c>
      <c r="DL43" s="228">
        <v>24.02</v>
      </c>
      <c r="DM43" s="228">
        <v>25.15</v>
      </c>
      <c r="DN43" s="228">
        <v>-1.1299999999999999</v>
      </c>
      <c r="DO43" s="228">
        <v>-1.1299999999999999</v>
      </c>
      <c r="DP43" s="228">
        <v>0.73</v>
      </c>
      <c r="DQ43" s="228">
        <v>0.73</v>
      </c>
      <c r="DR43" s="228">
        <v>0</v>
      </c>
      <c r="DS43" s="229">
        <v>0</v>
      </c>
      <c r="DT43" s="231">
        <v>1700</v>
      </c>
      <c r="DU43" s="231">
        <v>1600</v>
      </c>
      <c r="DV43" s="228">
        <v>0.39</v>
      </c>
      <c r="DW43" s="228">
        <v>0.47</v>
      </c>
      <c r="DX43" s="228">
        <v>-0.08</v>
      </c>
      <c r="DY43" s="229">
        <v>-0.17019999999999999</v>
      </c>
      <c r="DZ43" s="229">
        <v>3.56E-2</v>
      </c>
      <c r="EA43" s="230">
        <v>485000</v>
      </c>
      <c r="EB43" s="229">
        <v>-7.1000000000000004E-3</v>
      </c>
      <c r="EC43" s="229">
        <v>3.56E-2</v>
      </c>
      <c r="ED43" s="228">
        <v>-12</v>
      </c>
      <c r="EE43" s="229">
        <v>-7.4000000000000003E-3</v>
      </c>
      <c r="EF43" s="230">
        <v>272906</v>
      </c>
      <c r="EG43" s="230">
        <v>1214014</v>
      </c>
      <c r="EH43" s="229">
        <v>-0.7752</v>
      </c>
      <c r="EI43" s="229">
        <v>0.59419999999999995</v>
      </c>
      <c r="EJ43" s="231">
        <v>52604.91</v>
      </c>
      <c r="EK43" s="231">
        <v>19569.580000000002</v>
      </c>
      <c r="EL43" s="231">
        <v>18520.810000000001</v>
      </c>
      <c r="EM43" s="231">
        <v>3816</v>
      </c>
      <c r="EN43" s="231">
        <v>90695.3</v>
      </c>
      <c r="EO43" s="231">
        <v>112654.95</v>
      </c>
      <c r="EP43" s="231">
        <v>-21959.65</v>
      </c>
      <c r="EQ43" s="229">
        <v>-0.19489999999999999</v>
      </c>
      <c r="ER43" s="231">
        <v>40765</v>
      </c>
      <c r="ES43" s="231">
        <v>27417</v>
      </c>
      <c r="ET43" s="231">
        <v>253781</v>
      </c>
      <c r="EU43" s="231">
        <v>63212268</v>
      </c>
      <c r="EV43" s="231">
        <v>321963</v>
      </c>
      <c r="EW43" s="231">
        <v>321791</v>
      </c>
      <c r="EX43" s="228">
        <v>172</v>
      </c>
      <c r="EY43" s="229">
        <v>5.0000000000000001E-4</v>
      </c>
      <c r="EZ43" s="229">
        <v>0.31640000000000001</v>
      </c>
      <c r="FA43" s="227" t="s">
        <v>567</v>
      </c>
      <c r="FB43" s="161">
        <f t="shared" si="0"/>
        <v>560000</v>
      </c>
    </row>
    <row r="44" spans="1:158" ht="17.25" hidden="1" thickBot="1" x14ac:dyDescent="0.3">
      <c r="A44" s="226">
        <v>45940</v>
      </c>
      <c r="B44" s="227" t="s">
        <v>170</v>
      </c>
      <c r="C44" s="227" t="s">
        <v>199</v>
      </c>
      <c r="D44" s="228">
        <v>375</v>
      </c>
      <c r="E44" s="231">
        <v>1572.2</v>
      </c>
      <c r="F44" s="231">
        <v>1517.3</v>
      </c>
      <c r="G44" s="228">
        <v>54.9</v>
      </c>
      <c r="H44" s="229">
        <v>3.6200000000000003E-2</v>
      </c>
      <c r="I44" s="231">
        <v>1561.8</v>
      </c>
      <c r="J44" s="231">
        <v>1513.1</v>
      </c>
      <c r="K44" s="228">
        <v>48.7</v>
      </c>
      <c r="L44" s="229">
        <v>3.2199999999999999E-2</v>
      </c>
      <c r="M44" s="231">
        <v>1572.2</v>
      </c>
      <c r="N44" s="231">
        <v>1517.3</v>
      </c>
      <c r="O44" s="228">
        <v>54.9</v>
      </c>
      <c r="P44" s="229">
        <v>3.6200000000000003E-2</v>
      </c>
      <c r="Q44" s="231">
        <v>1581.2</v>
      </c>
      <c r="R44" s="231">
        <v>1525.8</v>
      </c>
      <c r="S44" s="228">
        <v>55.4</v>
      </c>
      <c r="T44" s="229">
        <v>3.6299999999999999E-2</v>
      </c>
      <c r="U44" s="231">
        <v>1590</v>
      </c>
      <c r="V44" s="231">
        <v>1531.9</v>
      </c>
      <c r="W44" s="228">
        <v>58.1</v>
      </c>
      <c r="X44" s="229">
        <v>3.7900000000000003E-2</v>
      </c>
      <c r="Y44" s="228">
        <v>10.4</v>
      </c>
      <c r="Z44" s="228">
        <v>4.2</v>
      </c>
      <c r="AA44" s="228">
        <v>6.2</v>
      </c>
      <c r="AB44" s="229">
        <v>6.7000000000000002E-3</v>
      </c>
      <c r="AC44" s="228">
        <v>10.4</v>
      </c>
      <c r="AD44" s="228">
        <v>4.2</v>
      </c>
      <c r="AE44" s="228">
        <v>6.2</v>
      </c>
      <c r="AF44" s="229">
        <v>6.7000000000000002E-3</v>
      </c>
      <c r="AG44" s="228">
        <v>19.399999999999999</v>
      </c>
      <c r="AH44" s="228">
        <v>12.7</v>
      </c>
      <c r="AI44" s="228">
        <v>6.7</v>
      </c>
      <c r="AJ44" s="229">
        <v>1.24E-2</v>
      </c>
      <c r="AK44" s="228">
        <v>28.2</v>
      </c>
      <c r="AL44" s="228">
        <v>18.8</v>
      </c>
      <c r="AM44" s="228">
        <v>9.4</v>
      </c>
      <c r="AN44" s="229">
        <v>1.8100000000000002E-2</v>
      </c>
      <c r="AO44" s="231">
        <v>1555.19</v>
      </c>
      <c r="AP44" s="231">
        <v>1558.88</v>
      </c>
      <c r="AQ44" s="228">
        <v>0</v>
      </c>
      <c r="AR44" s="230">
        <v>3531375</v>
      </c>
      <c r="AS44" s="230">
        <v>1343625</v>
      </c>
      <c r="AT44" s="230">
        <v>2187750</v>
      </c>
      <c r="AU44" s="229">
        <v>1.6282000000000001</v>
      </c>
      <c r="AV44" s="230">
        <v>3366000</v>
      </c>
      <c r="AW44" s="230">
        <v>1291875</v>
      </c>
      <c r="AX44" s="230">
        <v>2074125</v>
      </c>
      <c r="AY44" s="229">
        <v>1.6054999999999999</v>
      </c>
      <c r="AZ44" s="230">
        <v>142500</v>
      </c>
      <c r="BA44" s="230">
        <v>49875</v>
      </c>
      <c r="BB44" s="230">
        <v>92625</v>
      </c>
      <c r="BC44" s="229">
        <v>1.8571</v>
      </c>
      <c r="BD44" s="230">
        <v>22875</v>
      </c>
      <c r="BE44" s="230">
        <v>1875</v>
      </c>
      <c r="BF44" s="230">
        <v>21000</v>
      </c>
      <c r="BG44" s="229">
        <v>11.2</v>
      </c>
      <c r="BH44" s="230">
        <v>20770125</v>
      </c>
      <c r="BI44" s="230">
        <v>5136000</v>
      </c>
      <c r="BJ44" s="230">
        <v>15634125</v>
      </c>
      <c r="BK44" s="229">
        <v>3.044</v>
      </c>
      <c r="BL44" s="230">
        <v>7915125</v>
      </c>
      <c r="BM44" s="230">
        <v>1646250</v>
      </c>
      <c r="BN44" s="230">
        <v>6268875</v>
      </c>
      <c r="BO44" s="229">
        <v>3.8079999999999998</v>
      </c>
      <c r="BP44" s="230">
        <v>32216625</v>
      </c>
      <c r="BQ44" s="230">
        <v>8125875</v>
      </c>
      <c r="BR44" s="230">
        <v>24090750</v>
      </c>
      <c r="BS44" s="229">
        <v>2.9647000000000001</v>
      </c>
      <c r="BT44" s="230">
        <v>1556526</v>
      </c>
      <c r="BU44" s="230">
        <v>954937</v>
      </c>
      <c r="BV44" s="230">
        <v>601589</v>
      </c>
      <c r="BW44" s="229">
        <v>0.63</v>
      </c>
      <c r="BX44" s="230">
        <v>11117625</v>
      </c>
      <c r="BY44" s="230">
        <v>10803375</v>
      </c>
      <c r="BZ44" s="230">
        <v>314250</v>
      </c>
      <c r="CA44" s="229">
        <v>2.9100000000000001E-2</v>
      </c>
      <c r="CB44" s="230">
        <v>10968750</v>
      </c>
      <c r="CC44" s="230">
        <v>10689750</v>
      </c>
      <c r="CD44" s="230">
        <v>279000</v>
      </c>
      <c r="CE44" s="229">
        <v>2.6100000000000002E-2</v>
      </c>
      <c r="CF44" s="230">
        <v>129000</v>
      </c>
      <c r="CG44" s="230">
        <v>108375</v>
      </c>
      <c r="CH44" s="230">
        <v>20625</v>
      </c>
      <c r="CI44" s="229">
        <v>0.1903</v>
      </c>
      <c r="CJ44" s="230">
        <v>19875</v>
      </c>
      <c r="CK44" s="230">
        <v>5250</v>
      </c>
      <c r="CL44" s="230">
        <v>14625</v>
      </c>
      <c r="CM44" s="229">
        <v>2.7856999999999998</v>
      </c>
      <c r="CN44" s="230">
        <v>4042125</v>
      </c>
      <c r="CO44" s="230">
        <v>3541125</v>
      </c>
      <c r="CP44" s="230">
        <v>501000</v>
      </c>
      <c r="CQ44" s="229">
        <v>0.14149999999999999</v>
      </c>
      <c r="CR44" s="230">
        <v>3231375</v>
      </c>
      <c r="CS44" s="230">
        <v>2017500</v>
      </c>
      <c r="CT44" s="230">
        <v>1213875</v>
      </c>
      <c r="CU44" s="229">
        <v>0.60170000000000001</v>
      </c>
      <c r="CV44" s="230">
        <v>18391125</v>
      </c>
      <c r="CW44" s="230">
        <v>16362000</v>
      </c>
      <c r="CX44" s="230">
        <v>2029125</v>
      </c>
      <c r="CY44" s="229">
        <v>0.124</v>
      </c>
      <c r="CZ44" s="228">
        <v>20.309999999999999</v>
      </c>
      <c r="DA44" s="228">
        <v>18.899999999999999</v>
      </c>
      <c r="DB44" s="228">
        <v>1.41</v>
      </c>
      <c r="DC44" s="228">
        <v>1.41</v>
      </c>
      <c r="DD44" s="228">
        <v>26.49</v>
      </c>
      <c r="DE44" s="228">
        <v>26.21</v>
      </c>
      <c r="DF44" s="228">
        <v>-6.18</v>
      </c>
      <c r="DG44" s="228">
        <v>0.28000000000000003</v>
      </c>
      <c r="DH44" s="228">
        <v>19.829999999999998</v>
      </c>
      <c r="DI44" s="228">
        <v>18.7</v>
      </c>
      <c r="DJ44" s="228">
        <v>1.1299999999999999</v>
      </c>
      <c r="DK44" s="228">
        <v>1.1299999999999999</v>
      </c>
      <c r="DL44" s="228">
        <v>21.56</v>
      </c>
      <c r="DM44" s="228">
        <v>19.55</v>
      </c>
      <c r="DN44" s="228">
        <v>2.0099999999999998</v>
      </c>
      <c r="DO44" s="228">
        <v>2.0099999999999998</v>
      </c>
      <c r="DP44" s="228">
        <v>0.8</v>
      </c>
      <c r="DQ44" s="228">
        <v>0.56999999999999995</v>
      </c>
      <c r="DR44" s="228">
        <v>0.23</v>
      </c>
      <c r="DS44" s="229">
        <v>0.40350000000000003</v>
      </c>
      <c r="DT44" s="231">
        <v>1600</v>
      </c>
      <c r="DU44" s="231">
        <v>1500</v>
      </c>
      <c r="DV44" s="228">
        <v>0.38</v>
      </c>
      <c r="DW44" s="228">
        <v>0.32</v>
      </c>
      <c r="DX44" s="228">
        <v>0.06</v>
      </c>
      <c r="DY44" s="229">
        <v>0.1875</v>
      </c>
      <c r="DZ44" s="229">
        <v>1.34E-2</v>
      </c>
      <c r="EA44" s="230">
        <v>113625</v>
      </c>
      <c r="EB44" s="229">
        <v>5.7000000000000002E-3</v>
      </c>
      <c r="EC44" s="229">
        <v>1.34E-2</v>
      </c>
      <c r="ED44" s="228">
        <v>3.69</v>
      </c>
      <c r="EE44" s="229">
        <v>2.3999999999999998E-3</v>
      </c>
      <c r="EF44" s="230">
        <v>579022</v>
      </c>
      <c r="EG44" s="230">
        <v>503096</v>
      </c>
      <c r="EH44" s="229">
        <v>0.15090000000000001</v>
      </c>
      <c r="EI44" s="229">
        <v>0.372</v>
      </c>
      <c r="EJ44" s="231">
        <v>332257.40000000002</v>
      </c>
      <c r="EK44" s="231">
        <v>119964.86</v>
      </c>
      <c r="EL44" s="231">
        <v>54928.69</v>
      </c>
      <c r="EM44" s="231">
        <v>2664</v>
      </c>
      <c r="EN44" s="231">
        <v>507150.95</v>
      </c>
      <c r="EO44" s="231">
        <v>124930.63</v>
      </c>
      <c r="EP44" s="231">
        <v>382220.32</v>
      </c>
      <c r="EQ44" s="229">
        <v>3.0594999999999999</v>
      </c>
      <c r="ER44" s="231">
        <v>64750</v>
      </c>
      <c r="ES44" s="231">
        <v>47389</v>
      </c>
      <c r="ET44" s="231">
        <v>174806</v>
      </c>
      <c r="EU44" s="231">
        <v>57073940</v>
      </c>
      <c r="EV44" s="231">
        <v>286946</v>
      </c>
      <c r="EW44" s="231">
        <v>249523</v>
      </c>
      <c r="EX44" s="231">
        <v>37423</v>
      </c>
      <c r="EY44" s="229">
        <v>0.15</v>
      </c>
      <c r="EZ44" s="229">
        <v>0.32219999999999999</v>
      </c>
      <c r="FA44" s="227" t="s">
        <v>555</v>
      </c>
      <c r="FB44" s="161">
        <f t="shared" si="0"/>
        <v>148875</v>
      </c>
    </row>
    <row r="45" spans="1:158" ht="17.25" hidden="1" thickBot="1" x14ac:dyDescent="0.3">
      <c r="A45" s="226">
        <v>45940</v>
      </c>
      <c r="B45" s="227" t="s">
        <v>227</v>
      </c>
      <c r="C45" s="227" t="s">
        <v>200</v>
      </c>
      <c r="D45" s="228">
        <v>1350</v>
      </c>
      <c r="E45" s="228">
        <v>385.7</v>
      </c>
      <c r="F45" s="228">
        <v>385.45</v>
      </c>
      <c r="G45" s="228">
        <v>0.25</v>
      </c>
      <c r="H45" s="229">
        <v>5.9999999999999995E-4</v>
      </c>
      <c r="I45" s="228">
        <v>384.5</v>
      </c>
      <c r="J45" s="228">
        <v>383.35</v>
      </c>
      <c r="K45" s="228">
        <v>1.1499999999999999</v>
      </c>
      <c r="L45" s="229">
        <v>3.0000000000000001E-3</v>
      </c>
      <c r="M45" s="228">
        <v>385.7</v>
      </c>
      <c r="N45" s="228">
        <v>385.45</v>
      </c>
      <c r="O45" s="228">
        <v>0.25</v>
      </c>
      <c r="P45" s="229">
        <v>5.9999999999999995E-4</v>
      </c>
      <c r="Q45" s="228">
        <v>386.7</v>
      </c>
      <c r="R45" s="228">
        <v>386.65</v>
      </c>
      <c r="S45" s="228">
        <v>0.05</v>
      </c>
      <c r="T45" s="229">
        <v>1E-4</v>
      </c>
      <c r="U45" s="228">
        <v>389.3</v>
      </c>
      <c r="V45" s="228">
        <v>389.1</v>
      </c>
      <c r="W45" s="228">
        <v>0.2</v>
      </c>
      <c r="X45" s="229">
        <v>5.0000000000000001E-4</v>
      </c>
      <c r="Y45" s="228">
        <v>1.2</v>
      </c>
      <c r="Z45" s="228">
        <v>2.1</v>
      </c>
      <c r="AA45" s="228">
        <v>-0.9</v>
      </c>
      <c r="AB45" s="229">
        <v>3.0999999999999999E-3</v>
      </c>
      <c r="AC45" s="228">
        <v>1.2</v>
      </c>
      <c r="AD45" s="228">
        <v>2.1</v>
      </c>
      <c r="AE45" s="228">
        <v>-0.9</v>
      </c>
      <c r="AF45" s="229">
        <v>3.0999999999999999E-3</v>
      </c>
      <c r="AG45" s="228">
        <v>2.2000000000000002</v>
      </c>
      <c r="AH45" s="228">
        <v>3.3</v>
      </c>
      <c r="AI45" s="228">
        <v>-1.1000000000000001</v>
      </c>
      <c r="AJ45" s="229">
        <v>5.7000000000000002E-3</v>
      </c>
      <c r="AK45" s="228">
        <v>4.8</v>
      </c>
      <c r="AL45" s="228">
        <v>5.75</v>
      </c>
      <c r="AM45" s="228">
        <v>-0.95</v>
      </c>
      <c r="AN45" s="229">
        <v>1.2500000000000001E-2</v>
      </c>
      <c r="AO45" s="228">
        <v>386.48</v>
      </c>
      <c r="AP45" s="228">
        <v>387.17</v>
      </c>
      <c r="AQ45" s="228">
        <v>0</v>
      </c>
      <c r="AR45" s="230">
        <v>5665950</v>
      </c>
      <c r="AS45" s="230">
        <v>5215050</v>
      </c>
      <c r="AT45" s="230">
        <v>450900</v>
      </c>
      <c r="AU45" s="229">
        <v>8.6499999999999994E-2</v>
      </c>
      <c r="AV45" s="230">
        <v>4610250</v>
      </c>
      <c r="AW45" s="230">
        <v>4576500</v>
      </c>
      <c r="AX45" s="230">
        <v>33750</v>
      </c>
      <c r="AY45" s="229">
        <v>7.4000000000000003E-3</v>
      </c>
      <c r="AZ45" s="230">
        <v>889650</v>
      </c>
      <c r="BA45" s="230">
        <v>481950</v>
      </c>
      <c r="BB45" s="230">
        <v>407700</v>
      </c>
      <c r="BC45" s="229">
        <v>0.84589999999999999</v>
      </c>
      <c r="BD45" s="230">
        <v>166050</v>
      </c>
      <c r="BE45" s="230">
        <v>156600</v>
      </c>
      <c r="BF45" s="230">
        <v>9450</v>
      </c>
      <c r="BG45" s="229">
        <v>6.0299999999999999E-2</v>
      </c>
      <c r="BH45" s="230">
        <v>16858800</v>
      </c>
      <c r="BI45" s="230">
        <v>19890900</v>
      </c>
      <c r="BJ45" s="230">
        <v>-3032100</v>
      </c>
      <c r="BK45" s="229">
        <v>-0.15240000000000001</v>
      </c>
      <c r="BL45" s="230">
        <v>7844850</v>
      </c>
      <c r="BM45" s="230">
        <v>9012600</v>
      </c>
      <c r="BN45" s="230">
        <v>-1167750</v>
      </c>
      <c r="BO45" s="229">
        <v>-0.12959999999999999</v>
      </c>
      <c r="BP45" s="230">
        <v>30369600</v>
      </c>
      <c r="BQ45" s="230">
        <v>34118550</v>
      </c>
      <c r="BR45" s="230">
        <v>-3748950</v>
      </c>
      <c r="BS45" s="229">
        <v>-0.1099</v>
      </c>
      <c r="BT45" s="230">
        <v>5520794</v>
      </c>
      <c r="BU45" s="230">
        <v>5021808</v>
      </c>
      <c r="BV45" s="230">
        <v>498986</v>
      </c>
      <c r="BW45" s="229">
        <v>9.9400000000000002E-2</v>
      </c>
      <c r="BX45" s="230">
        <v>70777800</v>
      </c>
      <c r="BY45" s="230">
        <v>69962400</v>
      </c>
      <c r="BZ45" s="230">
        <v>815400</v>
      </c>
      <c r="CA45" s="229">
        <v>1.17E-2</v>
      </c>
      <c r="CB45" s="230">
        <v>68196600</v>
      </c>
      <c r="CC45" s="230">
        <v>67805100</v>
      </c>
      <c r="CD45" s="230">
        <v>391500</v>
      </c>
      <c r="CE45" s="229">
        <v>5.7999999999999996E-3</v>
      </c>
      <c r="CF45" s="230">
        <v>2172150</v>
      </c>
      <c r="CG45" s="230">
        <v>1844100</v>
      </c>
      <c r="CH45" s="230">
        <v>328050</v>
      </c>
      <c r="CI45" s="229">
        <v>0.1779</v>
      </c>
      <c r="CJ45" s="230">
        <v>409050</v>
      </c>
      <c r="CK45" s="230">
        <v>313200</v>
      </c>
      <c r="CL45" s="230">
        <v>95850</v>
      </c>
      <c r="CM45" s="229">
        <v>0.30599999999999999</v>
      </c>
      <c r="CN45" s="230">
        <v>29917350</v>
      </c>
      <c r="CO45" s="230">
        <v>28525500</v>
      </c>
      <c r="CP45" s="230">
        <v>1391850</v>
      </c>
      <c r="CQ45" s="229">
        <v>4.8800000000000003E-2</v>
      </c>
      <c r="CR45" s="230">
        <v>19711350</v>
      </c>
      <c r="CS45" s="230">
        <v>19110600</v>
      </c>
      <c r="CT45" s="230">
        <v>600750</v>
      </c>
      <c r="CU45" s="229">
        <v>3.1399999999999997E-2</v>
      </c>
      <c r="CV45" s="230">
        <v>120406500</v>
      </c>
      <c r="CW45" s="230">
        <v>117598500</v>
      </c>
      <c r="CX45" s="230">
        <v>2808000</v>
      </c>
      <c r="CY45" s="229">
        <v>2.3900000000000001E-2</v>
      </c>
      <c r="CZ45" s="228">
        <v>18.04</v>
      </c>
      <c r="DA45" s="228">
        <v>17.68</v>
      </c>
      <c r="DB45" s="228">
        <v>0.36</v>
      </c>
      <c r="DC45" s="228">
        <v>0.36</v>
      </c>
      <c r="DD45" s="228">
        <v>29.03</v>
      </c>
      <c r="DE45" s="228">
        <v>29.1</v>
      </c>
      <c r="DF45" s="228">
        <v>-10.99</v>
      </c>
      <c r="DG45" s="228">
        <v>-7.0000000000000007E-2</v>
      </c>
      <c r="DH45" s="228">
        <v>18.14</v>
      </c>
      <c r="DI45" s="228">
        <v>17.8</v>
      </c>
      <c r="DJ45" s="228">
        <v>0.34</v>
      </c>
      <c r="DK45" s="228">
        <v>0.34</v>
      </c>
      <c r="DL45" s="228">
        <v>17.84</v>
      </c>
      <c r="DM45" s="228">
        <v>17.43</v>
      </c>
      <c r="DN45" s="228">
        <v>0.41</v>
      </c>
      <c r="DO45" s="228">
        <v>0.41</v>
      </c>
      <c r="DP45" s="228">
        <v>0.66</v>
      </c>
      <c r="DQ45" s="228">
        <v>0.67</v>
      </c>
      <c r="DR45" s="228">
        <v>-0.01</v>
      </c>
      <c r="DS45" s="229">
        <v>-1.49E-2</v>
      </c>
      <c r="DT45" s="228">
        <v>395</v>
      </c>
      <c r="DU45" s="228">
        <v>380</v>
      </c>
      <c r="DV45" s="228">
        <v>0.47</v>
      </c>
      <c r="DW45" s="228">
        <v>0.45</v>
      </c>
      <c r="DX45" s="228">
        <v>0.02</v>
      </c>
      <c r="DY45" s="229">
        <v>4.4400000000000002E-2</v>
      </c>
      <c r="DZ45" s="229">
        <v>3.6499999999999998E-2</v>
      </c>
      <c r="EA45" s="230">
        <v>2157300</v>
      </c>
      <c r="EB45" s="229">
        <v>2.5999999999999999E-3</v>
      </c>
      <c r="EC45" s="229">
        <v>3.6499999999999998E-2</v>
      </c>
      <c r="ED45" s="228">
        <v>0.69</v>
      </c>
      <c r="EE45" s="229">
        <v>1.8E-3</v>
      </c>
      <c r="EF45" s="230">
        <v>3648570</v>
      </c>
      <c r="EG45" s="230">
        <v>3258150</v>
      </c>
      <c r="EH45" s="229">
        <v>0.1198</v>
      </c>
      <c r="EI45" s="229">
        <v>0.66090000000000004</v>
      </c>
      <c r="EJ45" s="231">
        <v>67123.94</v>
      </c>
      <c r="EK45" s="231">
        <v>30313.9</v>
      </c>
      <c r="EL45" s="231">
        <v>21909.42</v>
      </c>
      <c r="EM45" s="231">
        <v>5465</v>
      </c>
      <c r="EN45" s="231">
        <v>119347.26</v>
      </c>
      <c r="EO45" s="231">
        <v>133634.41</v>
      </c>
      <c r="EP45" s="231">
        <v>-14287.15</v>
      </c>
      <c r="EQ45" s="229">
        <v>-0.1069</v>
      </c>
      <c r="ER45" s="231">
        <v>120452</v>
      </c>
      <c r="ES45" s="231">
        <v>76954</v>
      </c>
      <c r="ET45" s="231">
        <v>273026</v>
      </c>
      <c r="EU45" s="231">
        <v>227199238</v>
      </c>
      <c r="EV45" s="231">
        <v>470432</v>
      </c>
      <c r="EW45" s="231">
        <v>459250</v>
      </c>
      <c r="EX45" s="231">
        <v>11182</v>
      </c>
      <c r="EY45" s="229">
        <v>2.4299999999999999E-2</v>
      </c>
      <c r="EZ45" s="229">
        <v>0.53</v>
      </c>
      <c r="FA45" s="227" t="s">
        <v>555</v>
      </c>
      <c r="FB45" s="161">
        <f t="shared" si="0"/>
        <v>2581200</v>
      </c>
    </row>
    <row r="46" spans="1:158" ht="17.25" hidden="1" thickBot="1" x14ac:dyDescent="0.3">
      <c r="A46" s="226">
        <v>45940</v>
      </c>
      <c r="B46" s="227" t="s">
        <v>221</v>
      </c>
      <c r="C46" s="227" t="s">
        <v>470</v>
      </c>
      <c r="D46" s="228">
        <v>375</v>
      </c>
      <c r="E46" s="231">
        <v>1731.1</v>
      </c>
      <c r="F46" s="231">
        <v>1729.4</v>
      </c>
      <c r="G46" s="228">
        <v>1.7</v>
      </c>
      <c r="H46" s="229">
        <v>1E-3</v>
      </c>
      <c r="I46" s="231">
        <v>1722.3</v>
      </c>
      <c r="J46" s="231">
        <v>1720.1</v>
      </c>
      <c r="K46" s="228">
        <v>2.2000000000000002</v>
      </c>
      <c r="L46" s="229">
        <v>1.2999999999999999E-3</v>
      </c>
      <c r="M46" s="231">
        <v>1731.1</v>
      </c>
      <c r="N46" s="231">
        <v>1729.4</v>
      </c>
      <c r="O46" s="228">
        <v>1.7</v>
      </c>
      <c r="P46" s="229">
        <v>1E-3</v>
      </c>
      <c r="Q46" s="231">
        <v>1731.5</v>
      </c>
      <c r="R46" s="231">
        <v>1731.6</v>
      </c>
      <c r="S46" s="228">
        <v>-0.1</v>
      </c>
      <c r="T46" s="229">
        <v>-1E-4</v>
      </c>
      <c r="U46" s="231">
        <v>1739.2</v>
      </c>
      <c r="V46" s="231">
        <v>1734</v>
      </c>
      <c r="W46" s="228">
        <v>5.2</v>
      </c>
      <c r="X46" s="229">
        <v>3.0000000000000001E-3</v>
      </c>
      <c r="Y46" s="228">
        <v>8.8000000000000007</v>
      </c>
      <c r="Z46" s="228">
        <v>9.3000000000000007</v>
      </c>
      <c r="AA46" s="228">
        <v>-0.5</v>
      </c>
      <c r="AB46" s="229">
        <v>5.1000000000000004E-3</v>
      </c>
      <c r="AC46" s="228">
        <v>8.8000000000000007</v>
      </c>
      <c r="AD46" s="228">
        <v>9.3000000000000007</v>
      </c>
      <c r="AE46" s="228">
        <v>-0.5</v>
      </c>
      <c r="AF46" s="229">
        <v>5.1000000000000004E-3</v>
      </c>
      <c r="AG46" s="228">
        <v>9.1999999999999993</v>
      </c>
      <c r="AH46" s="228">
        <v>11.5</v>
      </c>
      <c r="AI46" s="228">
        <v>-2.2999999999999998</v>
      </c>
      <c r="AJ46" s="229">
        <v>5.3E-3</v>
      </c>
      <c r="AK46" s="228">
        <v>16.899999999999999</v>
      </c>
      <c r="AL46" s="228">
        <v>13.9</v>
      </c>
      <c r="AM46" s="228">
        <v>3</v>
      </c>
      <c r="AN46" s="229">
        <v>9.7999999999999997E-3</v>
      </c>
      <c r="AO46" s="231">
        <v>1737.08</v>
      </c>
      <c r="AP46" s="231">
        <v>1738.96</v>
      </c>
      <c r="AQ46" s="228">
        <v>0</v>
      </c>
      <c r="AR46" s="230">
        <v>2481375</v>
      </c>
      <c r="AS46" s="230">
        <v>2356500</v>
      </c>
      <c r="AT46" s="230">
        <v>124875</v>
      </c>
      <c r="AU46" s="229">
        <v>5.2999999999999999E-2</v>
      </c>
      <c r="AV46" s="230">
        <v>2397000</v>
      </c>
      <c r="AW46" s="230">
        <v>2288625</v>
      </c>
      <c r="AX46" s="230">
        <v>108375</v>
      </c>
      <c r="AY46" s="229">
        <v>4.7399999999999998E-2</v>
      </c>
      <c r="AZ46" s="230">
        <v>72750</v>
      </c>
      <c r="BA46" s="230">
        <v>62250</v>
      </c>
      <c r="BB46" s="230">
        <v>10500</v>
      </c>
      <c r="BC46" s="229">
        <v>0.16869999999999999</v>
      </c>
      <c r="BD46" s="230">
        <v>11625</v>
      </c>
      <c r="BE46" s="230">
        <v>5625</v>
      </c>
      <c r="BF46" s="230">
        <v>6000</v>
      </c>
      <c r="BG46" s="229">
        <v>1.0667</v>
      </c>
      <c r="BH46" s="230">
        <v>7130250</v>
      </c>
      <c r="BI46" s="230">
        <v>7158750</v>
      </c>
      <c r="BJ46" s="230">
        <v>-28500</v>
      </c>
      <c r="BK46" s="229">
        <v>-4.0000000000000001E-3</v>
      </c>
      <c r="BL46" s="230">
        <v>3694125</v>
      </c>
      <c r="BM46" s="230">
        <v>4036125</v>
      </c>
      <c r="BN46" s="230">
        <v>-342000</v>
      </c>
      <c r="BO46" s="229">
        <v>-8.4699999999999998E-2</v>
      </c>
      <c r="BP46" s="230">
        <v>13305750</v>
      </c>
      <c r="BQ46" s="230">
        <v>13551375</v>
      </c>
      <c r="BR46" s="230">
        <v>-245625</v>
      </c>
      <c r="BS46" s="229">
        <v>-1.8100000000000002E-2</v>
      </c>
      <c r="BT46" s="230">
        <v>1415956</v>
      </c>
      <c r="BU46" s="230">
        <v>1189851</v>
      </c>
      <c r="BV46" s="230">
        <v>226105</v>
      </c>
      <c r="BW46" s="229">
        <v>0.19</v>
      </c>
      <c r="BX46" s="230">
        <v>12602250</v>
      </c>
      <c r="BY46" s="230">
        <v>12768750</v>
      </c>
      <c r="BZ46" s="230">
        <v>-166500</v>
      </c>
      <c r="CA46" s="229">
        <v>-1.2999999999999999E-2</v>
      </c>
      <c r="CB46" s="230">
        <v>12335625</v>
      </c>
      <c r="CC46" s="230">
        <v>12505125</v>
      </c>
      <c r="CD46" s="230">
        <v>-169500</v>
      </c>
      <c r="CE46" s="229">
        <v>-1.3599999999999999E-2</v>
      </c>
      <c r="CF46" s="230">
        <v>251625</v>
      </c>
      <c r="CG46" s="230">
        <v>250125</v>
      </c>
      <c r="CH46" s="230">
        <v>1500</v>
      </c>
      <c r="CI46" s="229">
        <v>6.0000000000000001E-3</v>
      </c>
      <c r="CJ46" s="230">
        <v>15000</v>
      </c>
      <c r="CK46" s="230">
        <v>13500</v>
      </c>
      <c r="CL46" s="230">
        <v>1500</v>
      </c>
      <c r="CM46" s="229">
        <v>0.1111</v>
      </c>
      <c r="CN46" s="230">
        <v>4197375</v>
      </c>
      <c r="CO46" s="230">
        <v>4599000</v>
      </c>
      <c r="CP46" s="230">
        <v>-401625</v>
      </c>
      <c r="CQ46" s="229">
        <v>-8.7300000000000003E-2</v>
      </c>
      <c r="CR46" s="230">
        <v>2914500</v>
      </c>
      <c r="CS46" s="230">
        <v>2919750</v>
      </c>
      <c r="CT46" s="230">
        <v>-5250</v>
      </c>
      <c r="CU46" s="229">
        <v>-1.8E-3</v>
      </c>
      <c r="CV46" s="230">
        <v>19714125</v>
      </c>
      <c r="CW46" s="230">
        <v>20287500</v>
      </c>
      <c r="CX46" s="230">
        <v>-573375</v>
      </c>
      <c r="CY46" s="229">
        <v>-2.8299999999999999E-2</v>
      </c>
      <c r="CZ46" s="228">
        <v>36.31</v>
      </c>
      <c r="DA46" s="228">
        <v>38.03</v>
      </c>
      <c r="DB46" s="228">
        <v>-1.72</v>
      </c>
      <c r="DC46" s="228">
        <v>-1.72</v>
      </c>
      <c r="DD46" s="228">
        <v>43.16</v>
      </c>
      <c r="DE46" s="228">
        <v>43.27</v>
      </c>
      <c r="DF46" s="228">
        <v>-6.85</v>
      </c>
      <c r="DG46" s="228">
        <v>-0.11</v>
      </c>
      <c r="DH46" s="228">
        <v>36.049999999999997</v>
      </c>
      <c r="DI46" s="228">
        <v>37.700000000000003</v>
      </c>
      <c r="DJ46" s="228">
        <v>-1.65</v>
      </c>
      <c r="DK46" s="228">
        <v>-1.65</v>
      </c>
      <c r="DL46" s="228">
        <v>36.83</v>
      </c>
      <c r="DM46" s="228">
        <v>38.61</v>
      </c>
      <c r="DN46" s="228">
        <v>-1.78</v>
      </c>
      <c r="DO46" s="228">
        <v>-1.78</v>
      </c>
      <c r="DP46" s="228">
        <v>0.69</v>
      </c>
      <c r="DQ46" s="228">
        <v>0.63</v>
      </c>
      <c r="DR46" s="228">
        <v>0.06</v>
      </c>
      <c r="DS46" s="229">
        <v>9.5200000000000007E-2</v>
      </c>
      <c r="DT46" s="231">
        <v>1700</v>
      </c>
      <c r="DU46" s="231">
        <v>1540</v>
      </c>
      <c r="DV46" s="228">
        <v>0.52</v>
      </c>
      <c r="DW46" s="228">
        <v>0.56000000000000005</v>
      </c>
      <c r="DX46" s="228">
        <v>-0.04</v>
      </c>
      <c r="DY46" s="229">
        <v>-7.1400000000000005E-2</v>
      </c>
      <c r="DZ46" s="229">
        <v>2.12E-2</v>
      </c>
      <c r="EA46" s="230">
        <v>263625</v>
      </c>
      <c r="EB46" s="229">
        <v>2.0000000000000001E-4</v>
      </c>
      <c r="EC46" s="229">
        <v>2.12E-2</v>
      </c>
      <c r="ED46" s="228">
        <v>1.88</v>
      </c>
      <c r="EE46" s="229">
        <v>1.1000000000000001E-3</v>
      </c>
      <c r="EF46" s="230">
        <v>449282</v>
      </c>
      <c r="EG46" s="230">
        <v>546241</v>
      </c>
      <c r="EH46" s="229">
        <v>-0.17749999999999999</v>
      </c>
      <c r="EI46" s="229">
        <v>0.31730000000000003</v>
      </c>
      <c r="EJ46" s="231">
        <v>129602.68</v>
      </c>
      <c r="EK46" s="231">
        <v>62837.85</v>
      </c>
      <c r="EL46" s="231">
        <v>43105.33</v>
      </c>
      <c r="EM46" s="231">
        <v>7330</v>
      </c>
      <c r="EN46" s="231">
        <v>235545.86</v>
      </c>
      <c r="EO46" s="231">
        <v>238675.81</v>
      </c>
      <c r="EP46" s="231">
        <v>-3129.95</v>
      </c>
      <c r="EQ46" s="229">
        <v>-1.3100000000000001E-2</v>
      </c>
      <c r="ER46" s="231">
        <v>74048</v>
      </c>
      <c r="ES46" s="231">
        <v>46557</v>
      </c>
      <c r="ET46" s="231">
        <v>218160</v>
      </c>
      <c r="EU46" s="231">
        <v>50163899</v>
      </c>
      <c r="EV46" s="231">
        <v>338765</v>
      </c>
      <c r="EW46" s="231">
        <v>348314</v>
      </c>
      <c r="EX46" s="231">
        <v>-9549</v>
      </c>
      <c r="EY46" s="229">
        <v>-2.7400000000000001E-2</v>
      </c>
      <c r="EZ46" s="229">
        <v>0.39300000000000002</v>
      </c>
      <c r="FA46" s="227" t="s">
        <v>556</v>
      </c>
      <c r="FB46" s="161">
        <f t="shared" si="0"/>
        <v>266625</v>
      </c>
    </row>
    <row r="47" spans="1:158" ht="17.25" hidden="1" thickBot="1" x14ac:dyDescent="0.3">
      <c r="A47" s="226">
        <v>45940</v>
      </c>
      <c r="B47" s="227" t="s">
        <v>168</v>
      </c>
      <c r="C47" s="227" t="s">
        <v>201</v>
      </c>
      <c r="D47" s="228">
        <v>225</v>
      </c>
      <c r="E47" s="231">
        <v>2238.8000000000002</v>
      </c>
      <c r="F47" s="231">
        <v>2218.6999999999998</v>
      </c>
      <c r="G47" s="228">
        <v>20.100000000000001</v>
      </c>
      <c r="H47" s="229">
        <v>9.1000000000000004E-3</v>
      </c>
      <c r="I47" s="231">
        <v>2227.8000000000002</v>
      </c>
      <c r="J47" s="231">
        <v>2208.6</v>
      </c>
      <c r="K47" s="228">
        <v>19.2</v>
      </c>
      <c r="L47" s="229">
        <v>8.6999999999999994E-3</v>
      </c>
      <c r="M47" s="231">
        <v>2238.8000000000002</v>
      </c>
      <c r="N47" s="231">
        <v>2218.6999999999998</v>
      </c>
      <c r="O47" s="228">
        <v>20.100000000000001</v>
      </c>
      <c r="P47" s="229">
        <v>9.1000000000000004E-3</v>
      </c>
      <c r="Q47" s="231">
        <v>2225.8000000000002</v>
      </c>
      <c r="R47" s="231">
        <v>2207.6999999999998</v>
      </c>
      <c r="S47" s="228">
        <v>18.100000000000001</v>
      </c>
      <c r="T47" s="229">
        <v>8.2000000000000007E-3</v>
      </c>
      <c r="U47" s="231">
        <v>2239.1999999999998</v>
      </c>
      <c r="V47" s="231">
        <v>2220.9</v>
      </c>
      <c r="W47" s="228">
        <v>18.3</v>
      </c>
      <c r="X47" s="229">
        <v>8.2000000000000007E-3</v>
      </c>
      <c r="Y47" s="228">
        <v>11</v>
      </c>
      <c r="Z47" s="228">
        <v>10.1</v>
      </c>
      <c r="AA47" s="228">
        <v>0.9</v>
      </c>
      <c r="AB47" s="229">
        <v>4.8999999999999998E-3</v>
      </c>
      <c r="AC47" s="228">
        <v>11</v>
      </c>
      <c r="AD47" s="228">
        <v>10.1</v>
      </c>
      <c r="AE47" s="228">
        <v>0.9</v>
      </c>
      <c r="AF47" s="229">
        <v>4.8999999999999998E-3</v>
      </c>
      <c r="AG47" s="228">
        <v>-2</v>
      </c>
      <c r="AH47" s="228">
        <v>-0.9</v>
      </c>
      <c r="AI47" s="228">
        <v>-1.1000000000000001</v>
      </c>
      <c r="AJ47" s="229">
        <v>-8.9999999999999998E-4</v>
      </c>
      <c r="AK47" s="228">
        <v>11.4</v>
      </c>
      <c r="AL47" s="228">
        <v>12.3</v>
      </c>
      <c r="AM47" s="228">
        <v>-0.9</v>
      </c>
      <c r="AN47" s="229">
        <v>5.1000000000000004E-3</v>
      </c>
      <c r="AO47" s="231">
        <v>2232</v>
      </c>
      <c r="AP47" s="231">
        <v>2220.41</v>
      </c>
      <c r="AQ47" s="228">
        <v>0</v>
      </c>
      <c r="AR47" s="230">
        <v>616050</v>
      </c>
      <c r="AS47" s="230">
        <v>572625</v>
      </c>
      <c r="AT47" s="230">
        <v>43425</v>
      </c>
      <c r="AU47" s="229">
        <v>7.5800000000000006E-2</v>
      </c>
      <c r="AV47" s="230">
        <v>504000</v>
      </c>
      <c r="AW47" s="230">
        <v>442125</v>
      </c>
      <c r="AX47" s="230">
        <v>61875</v>
      </c>
      <c r="AY47" s="229">
        <v>0.1399</v>
      </c>
      <c r="AZ47" s="230">
        <v>97650</v>
      </c>
      <c r="BA47" s="230">
        <v>120375</v>
      </c>
      <c r="BB47" s="230">
        <v>-22725</v>
      </c>
      <c r="BC47" s="229">
        <v>-0.1888</v>
      </c>
      <c r="BD47" s="230">
        <v>14400</v>
      </c>
      <c r="BE47" s="230">
        <v>10125</v>
      </c>
      <c r="BF47" s="230">
        <v>4275</v>
      </c>
      <c r="BG47" s="229">
        <v>0.42220000000000002</v>
      </c>
      <c r="BH47" s="230">
        <v>1324575</v>
      </c>
      <c r="BI47" s="230">
        <v>663075</v>
      </c>
      <c r="BJ47" s="230">
        <v>661500</v>
      </c>
      <c r="BK47" s="229">
        <v>0.99760000000000004</v>
      </c>
      <c r="BL47" s="230">
        <v>402750</v>
      </c>
      <c r="BM47" s="230">
        <v>189675</v>
      </c>
      <c r="BN47" s="230">
        <v>213075</v>
      </c>
      <c r="BO47" s="229">
        <v>1.1234</v>
      </c>
      <c r="BP47" s="230">
        <v>2343375</v>
      </c>
      <c r="BQ47" s="230">
        <v>1425375</v>
      </c>
      <c r="BR47" s="230">
        <v>918000</v>
      </c>
      <c r="BS47" s="229">
        <v>0.64400000000000002</v>
      </c>
      <c r="BT47" s="230">
        <v>344135</v>
      </c>
      <c r="BU47" s="230">
        <v>418606</v>
      </c>
      <c r="BV47" s="230">
        <v>-74471</v>
      </c>
      <c r="BW47" s="229">
        <v>-0.1779</v>
      </c>
      <c r="BX47" s="230">
        <v>5413500</v>
      </c>
      <c r="BY47" s="230">
        <v>5337450</v>
      </c>
      <c r="BZ47" s="230">
        <v>76050</v>
      </c>
      <c r="CA47" s="229">
        <v>1.4200000000000001E-2</v>
      </c>
      <c r="CB47" s="230">
        <v>4828050</v>
      </c>
      <c r="CC47" s="230">
        <v>4782600</v>
      </c>
      <c r="CD47" s="230">
        <v>45450</v>
      </c>
      <c r="CE47" s="229">
        <v>9.4999999999999998E-3</v>
      </c>
      <c r="CF47" s="230">
        <v>551700</v>
      </c>
      <c r="CG47" s="230">
        <v>524475</v>
      </c>
      <c r="CH47" s="230">
        <v>27225</v>
      </c>
      <c r="CI47" s="229">
        <v>5.1900000000000002E-2</v>
      </c>
      <c r="CJ47" s="230">
        <v>33750</v>
      </c>
      <c r="CK47" s="230">
        <v>30375</v>
      </c>
      <c r="CL47" s="230">
        <v>3375</v>
      </c>
      <c r="CM47" s="229">
        <v>0.1111</v>
      </c>
      <c r="CN47" s="230">
        <v>1654650</v>
      </c>
      <c r="CO47" s="230">
        <v>1635975</v>
      </c>
      <c r="CP47" s="230">
        <v>18675</v>
      </c>
      <c r="CQ47" s="229">
        <v>1.14E-2</v>
      </c>
      <c r="CR47" s="230">
        <v>1336725</v>
      </c>
      <c r="CS47" s="230">
        <v>1280475</v>
      </c>
      <c r="CT47" s="230">
        <v>56250</v>
      </c>
      <c r="CU47" s="229">
        <v>4.3900000000000002E-2</v>
      </c>
      <c r="CV47" s="230">
        <v>8404875</v>
      </c>
      <c r="CW47" s="230">
        <v>8253900</v>
      </c>
      <c r="CX47" s="230">
        <v>150975</v>
      </c>
      <c r="CY47" s="229">
        <v>1.83E-2</v>
      </c>
      <c r="CZ47" s="228">
        <v>22.99</v>
      </c>
      <c r="DA47" s="228">
        <v>23.09</v>
      </c>
      <c r="DB47" s="228">
        <v>-0.1</v>
      </c>
      <c r="DC47" s="228">
        <v>-0.1</v>
      </c>
      <c r="DD47" s="228">
        <v>28.31</v>
      </c>
      <c r="DE47" s="228">
        <v>28.36</v>
      </c>
      <c r="DF47" s="228">
        <v>-5.32</v>
      </c>
      <c r="DG47" s="228">
        <v>-0.05</v>
      </c>
      <c r="DH47" s="228">
        <v>22.99</v>
      </c>
      <c r="DI47" s="228">
        <v>23.2</v>
      </c>
      <c r="DJ47" s="228">
        <v>-0.21</v>
      </c>
      <c r="DK47" s="228">
        <v>-0.21</v>
      </c>
      <c r="DL47" s="228">
        <v>23</v>
      </c>
      <c r="DM47" s="228">
        <v>22.69</v>
      </c>
      <c r="DN47" s="228">
        <v>0.31</v>
      </c>
      <c r="DO47" s="228">
        <v>0.31</v>
      </c>
      <c r="DP47" s="228">
        <v>0.81</v>
      </c>
      <c r="DQ47" s="228">
        <v>0.78</v>
      </c>
      <c r="DR47" s="228">
        <v>0.03</v>
      </c>
      <c r="DS47" s="229">
        <v>3.85E-2</v>
      </c>
      <c r="DT47" s="231">
        <v>2340</v>
      </c>
      <c r="DU47" s="231">
        <v>2300</v>
      </c>
      <c r="DV47" s="228">
        <v>0.3</v>
      </c>
      <c r="DW47" s="228">
        <v>0.28999999999999998</v>
      </c>
      <c r="DX47" s="228">
        <v>0.01</v>
      </c>
      <c r="DY47" s="229">
        <v>3.4500000000000003E-2</v>
      </c>
      <c r="DZ47" s="229">
        <v>0.1081</v>
      </c>
      <c r="EA47" s="230">
        <v>554850</v>
      </c>
      <c r="EB47" s="229">
        <v>-5.7999999999999996E-3</v>
      </c>
      <c r="EC47" s="229">
        <v>0.1081</v>
      </c>
      <c r="ED47" s="228">
        <v>-11.59</v>
      </c>
      <c r="EE47" s="229">
        <v>-5.1999999999999998E-3</v>
      </c>
      <c r="EF47" s="230">
        <v>199055</v>
      </c>
      <c r="EG47" s="230">
        <v>278024</v>
      </c>
      <c r="EH47" s="229">
        <v>-0.28399999999999997</v>
      </c>
      <c r="EI47" s="229">
        <v>0.57840000000000003</v>
      </c>
      <c r="EJ47" s="231">
        <v>30624.45</v>
      </c>
      <c r="EK47" s="231">
        <v>8926.4599999999991</v>
      </c>
      <c r="EL47" s="231">
        <v>13739.29</v>
      </c>
      <c r="EM47" s="231">
        <v>3060</v>
      </c>
      <c r="EN47" s="231">
        <v>53290.2</v>
      </c>
      <c r="EO47" s="231">
        <v>32159.200000000001</v>
      </c>
      <c r="EP47" s="231">
        <v>21131</v>
      </c>
      <c r="EQ47" s="229">
        <v>0.65710000000000002</v>
      </c>
      <c r="ER47" s="231">
        <v>38543</v>
      </c>
      <c r="ES47" s="231">
        <v>29771</v>
      </c>
      <c r="ET47" s="231">
        <v>121126</v>
      </c>
      <c r="EU47" s="231">
        <v>19990944</v>
      </c>
      <c r="EV47" s="231">
        <v>189440</v>
      </c>
      <c r="EW47" s="231">
        <v>185077</v>
      </c>
      <c r="EX47" s="231">
        <v>4363</v>
      </c>
      <c r="EY47" s="229">
        <v>2.3599999999999999E-2</v>
      </c>
      <c r="EZ47" s="229">
        <v>0.4204</v>
      </c>
      <c r="FA47" s="227" t="s">
        <v>555</v>
      </c>
      <c r="FB47" s="161">
        <f t="shared" si="0"/>
        <v>585450</v>
      </c>
    </row>
    <row r="48" spans="1:158" ht="17.25" hidden="1" thickBot="1" x14ac:dyDescent="0.3">
      <c r="A48" s="226">
        <v>45940</v>
      </c>
      <c r="B48" s="227" t="s">
        <v>215</v>
      </c>
      <c r="C48" s="227" t="s">
        <v>202</v>
      </c>
      <c r="D48" s="228">
        <v>1250</v>
      </c>
      <c r="E48" s="228">
        <v>542.65</v>
      </c>
      <c r="F48" s="228">
        <v>540.1</v>
      </c>
      <c r="G48" s="228">
        <v>2.5499999999999998</v>
      </c>
      <c r="H48" s="229">
        <v>4.7000000000000002E-3</v>
      </c>
      <c r="I48" s="228">
        <v>541.4</v>
      </c>
      <c r="J48" s="228">
        <v>537.75</v>
      </c>
      <c r="K48" s="228">
        <v>3.65</v>
      </c>
      <c r="L48" s="229">
        <v>6.7999999999999996E-3</v>
      </c>
      <c r="M48" s="228">
        <v>542.65</v>
      </c>
      <c r="N48" s="228">
        <v>540.1</v>
      </c>
      <c r="O48" s="228">
        <v>2.5499999999999998</v>
      </c>
      <c r="P48" s="229">
        <v>4.7000000000000002E-3</v>
      </c>
      <c r="Q48" s="228">
        <v>543.45000000000005</v>
      </c>
      <c r="R48" s="228">
        <v>540.75</v>
      </c>
      <c r="S48" s="228">
        <v>2.7</v>
      </c>
      <c r="T48" s="229">
        <v>5.0000000000000001E-3</v>
      </c>
      <c r="U48" s="228">
        <v>547.4</v>
      </c>
      <c r="V48" s="228">
        <v>543.85</v>
      </c>
      <c r="W48" s="228">
        <v>3.55</v>
      </c>
      <c r="X48" s="229">
        <v>6.4999999999999997E-3</v>
      </c>
      <c r="Y48" s="228">
        <v>1.25</v>
      </c>
      <c r="Z48" s="228">
        <v>2.35</v>
      </c>
      <c r="AA48" s="228">
        <v>-1.1000000000000001</v>
      </c>
      <c r="AB48" s="229">
        <v>2.3E-3</v>
      </c>
      <c r="AC48" s="228">
        <v>1.25</v>
      </c>
      <c r="AD48" s="228">
        <v>2.35</v>
      </c>
      <c r="AE48" s="228">
        <v>-1.1000000000000001</v>
      </c>
      <c r="AF48" s="229">
        <v>2.3E-3</v>
      </c>
      <c r="AG48" s="228">
        <v>2.0499999999999998</v>
      </c>
      <c r="AH48" s="228">
        <v>3</v>
      </c>
      <c r="AI48" s="228">
        <v>-0.95</v>
      </c>
      <c r="AJ48" s="229">
        <v>3.8E-3</v>
      </c>
      <c r="AK48" s="228">
        <v>6</v>
      </c>
      <c r="AL48" s="228">
        <v>6.1</v>
      </c>
      <c r="AM48" s="228">
        <v>-0.1</v>
      </c>
      <c r="AN48" s="229">
        <v>1.11E-2</v>
      </c>
      <c r="AO48" s="228">
        <v>543.23</v>
      </c>
      <c r="AP48" s="228">
        <v>543.71</v>
      </c>
      <c r="AQ48" s="228">
        <v>0</v>
      </c>
      <c r="AR48" s="230">
        <v>3482500</v>
      </c>
      <c r="AS48" s="230">
        <v>5420000</v>
      </c>
      <c r="AT48" s="230">
        <v>-1937500</v>
      </c>
      <c r="AU48" s="229">
        <v>-0.35749999999999998</v>
      </c>
      <c r="AV48" s="230">
        <v>3036250</v>
      </c>
      <c r="AW48" s="230">
        <v>4848750</v>
      </c>
      <c r="AX48" s="230">
        <v>-1812500</v>
      </c>
      <c r="AY48" s="229">
        <v>-0.37380000000000002</v>
      </c>
      <c r="AZ48" s="230">
        <v>403750</v>
      </c>
      <c r="BA48" s="230">
        <v>520000</v>
      </c>
      <c r="BB48" s="230">
        <v>-116250</v>
      </c>
      <c r="BC48" s="229">
        <v>-0.22359999999999999</v>
      </c>
      <c r="BD48" s="230">
        <v>42500</v>
      </c>
      <c r="BE48" s="230">
        <v>51250</v>
      </c>
      <c r="BF48" s="230">
        <v>-8750</v>
      </c>
      <c r="BG48" s="229">
        <v>-0.17069999999999999</v>
      </c>
      <c r="BH48" s="230">
        <v>11128750</v>
      </c>
      <c r="BI48" s="230">
        <v>15996250</v>
      </c>
      <c r="BJ48" s="230">
        <v>-4867500</v>
      </c>
      <c r="BK48" s="229">
        <v>-0.30430000000000001</v>
      </c>
      <c r="BL48" s="230">
        <v>3372500</v>
      </c>
      <c r="BM48" s="230">
        <v>5315000</v>
      </c>
      <c r="BN48" s="230">
        <v>-1942500</v>
      </c>
      <c r="BO48" s="229">
        <v>-0.36549999999999999</v>
      </c>
      <c r="BP48" s="230">
        <v>17983750</v>
      </c>
      <c r="BQ48" s="230">
        <v>26731250</v>
      </c>
      <c r="BR48" s="230">
        <v>-8747500</v>
      </c>
      <c r="BS48" s="229">
        <v>-0.32719999999999999</v>
      </c>
      <c r="BT48" s="230">
        <v>1290668</v>
      </c>
      <c r="BU48" s="230">
        <v>1961670</v>
      </c>
      <c r="BV48" s="230">
        <v>-671002</v>
      </c>
      <c r="BW48" s="229">
        <v>-0.34210000000000002</v>
      </c>
      <c r="BX48" s="230">
        <v>25518750</v>
      </c>
      <c r="BY48" s="230">
        <v>25623750</v>
      </c>
      <c r="BZ48" s="230">
        <v>-105000</v>
      </c>
      <c r="CA48" s="229">
        <v>-4.1000000000000003E-3</v>
      </c>
      <c r="CB48" s="230">
        <v>23186250</v>
      </c>
      <c r="CC48" s="230">
        <v>23445000</v>
      </c>
      <c r="CD48" s="230">
        <v>-258750</v>
      </c>
      <c r="CE48" s="229">
        <v>-1.0999999999999999E-2</v>
      </c>
      <c r="CF48" s="230">
        <v>2223750</v>
      </c>
      <c r="CG48" s="230">
        <v>2085000</v>
      </c>
      <c r="CH48" s="230">
        <v>138750</v>
      </c>
      <c r="CI48" s="229">
        <v>6.6500000000000004E-2</v>
      </c>
      <c r="CJ48" s="230">
        <v>108750</v>
      </c>
      <c r="CK48" s="230">
        <v>93750</v>
      </c>
      <c r="CL48" s="230">
        <v>15000</v>
      </c>
      <c r="CM48" s="229">
        <v>0.16</v>
      </c>
      <c r="CN48" s="230">
        <v>10057500</v>
      </c>
      <c r="CO48" s="230">
        <v>10092500</v>
      </c>
      <c r="CP48" s="230">
        <v>-35000</v>
      </c>
      <c r="CQ48" s="229">
        <v>-3.5000000000000001E-3</v>
      </c>
      <c r="CR48" s="230">
        <v>7422500</v>
      </c>
      <c r="CS48" s="230">
        <v>7302500</v>
      </c>
      <c r="CT48" s="230">
        <v>120000</v>
      </c>
      <c r="CU48" s="229">
        <v>1.6400000000000001E-2</v>
      </c>
      <c r="CV48" s="230">
        <v>42998750</v>
      </c>
      <c r="CW48" s="230">
        <v>43018750</v>
      </c>
      <c r="CX48" s="230">
        <v>-20000</v>
      </c>
      <c r="CY48" s="229">
        <v>-5.0000000000000001E-4</v>
      </c>
      <c r="CZ48" s="228">
        <v>23.69</v>
      </c>
      <c r="DA48" s="228">
        <v>24.23</v>
      </c>
      <c r="DB48" s="228">
        <v>-0.54</v>
      </c>
      <c r="DC48" s="228">
        <v>-0.54</v>
      </c>
      <c r="DD48" s="228">
        <v>36.57</v>
      </c>
      <c r="DE48" s="228">
        <v>36.659999999999997</v>
      </c>
      <c r="DF48" s="228">
        <v>-12.88</v>
      </c>
      <c r="DG48" s="228">
        <v>-0.09</v>
      </c>
      <c r="DH48" s="228">
        <v>23.59</v>
      </c>
      <c r="DI48" s="228">
        <v>24.08</v>
      </c>
      <c r="DJ48" s="228">
        <v>-0.49</v>
      </c>
      <c r="DK48" s="228">
        <v>-0.49</v>
      </c>
      <c r="DL48" s="228">
        <v>24.04</v>
      </c>
      <c r="DM48" s="228">
        <v>24.67</v>
      </c>
      <c r="DN48" s="228">
        <v>-0.63</v>
      </c>
      <c r="DO48" s="228">
        <v>-0.63</v>
      </c>
      <c r="DP48" s="228">
        <v>0.74</v>
      </c>
      <c r="DQ48" s="228">
        <v>0.72</v>
      </c>
      <c r="DR48" s="228">
        <v>0.02</v>
      </c>
      <c r="DS48" s="229">
        <v>2.7799999999999998E-2</v>
      </c>
      <c r="DT48" s="228">
        <v>550</v>
      </c>
      <c r="DU48" s="228">
        <v>530</v>
      </c>
      <c r="DV48" s="228">
        <v>0.3</v>
      </c>
      <c r="DW48" s="228">
        <v>0.33</v>
      </c>
      <c r="DX48" s="228">
        <v>-0.03</v>
      </c>
      <c r="DY48" s="229">
        <v>-9.0899999999999995E-2</v>
      </c>
      <c r="DZ48" s="229">
        <v>9.1399999999999995E-2</v>
      </c>
      <c r="EA48" s="230">
        <v>2178750</v>
      </c>
      <c r="EB48" s="229">
        <v>1.5E-3</v>
      </c>
      <c r="EC48" s="229">
        <v>9.1399999999999995E-2</v>
      </c>
      <c r="ED48" s="228">
        <v>0.48</v>
      </c>
      <c r="EE48" s="229">
        <v>8.9999999999999998E-4</v>
      </c>
      <c r="EF48" s="230">
        <v>859163</v>
      </c>
      <c r="EG48" s="230">
        <v>610074</v>
      </c>
      <c r="EH48" s="229">
        <v>0.4083</v>
      </c>
      <c r="EI48" s="229">
        <v>0.66569999999999996</v>
      </c>
      <c r="EJ48" s="231">
        <v>62491.33</v>
      </c>
      <c r="EK48" s="231">
        <v>18134</v>
      </c>
      <c r="EL48" s="231">
        <v>18921.62</v>
      </c>
      <c r="EM48" s="231">
        <v>2899</v>
      </c>
      <c r="EN48" s="231">
        <v>99546.95</v>
      </c>
      <c r="EO48" s="231">
        <v>146734.14000000001</v>
      </c>
      <c r="EP48" s="231">
        <v>-47187.19</v>
      </c>
      <c r="EQ48" s="229">
        <v>-0.3216</v>
      </c>
      <c r="ER48" s="231">
        <v>56465</v>
      </c>
      <c r="ES48" s="231">
        <v>39789</v>
      </c>
      <c r="ET48" s="231">
        <v>138500</v>
      </c>
      <c r="EU48" s="231">
        <v>48077012</v>
      </c>
      <c r="EV48" s="231">
        <v>234755</v>
      </c>
      <c r="EW48" s="231">
        <v>234115</v>
      </c>
      <c r="EX48" s="228">
        <v>640</v>
      </c>
      <c r="EY48" s="229">
        <v>2.7000000000000001E-3</v>
      </c>
      <c r="EZ48" s="229">
        <v>0.89439999999999997</v>
      </c>
      <c r="FA48" s="227" t="s">
        <v>556</v>
      </c>
      <c r="FB48" s="161">
        <f t="shared" si="0"/>
        <v>2332500</v>
      </c>
    </row>
    <row r="49" spans="1:158" ht="17.25" hidden="1" thickBot="1" x14ac:dyDescent="0.3">
      <c r="A49" s="226">
        <v>45940</v>
      </c>
      <c r="B49" s="227" t="s">
        <v>184</v>
      </c>
      <c r="C49" s="227" t="s">
        <v>523</v>
      </c>
      <c r="D49" s="228">
        <v>1800</v>
      </c>
      <c r="E49" s="228">
        <v>289.14999999999998</v>
      </c>
      <c r="F49" s="228">
        <v>286.3</v>
      </c>
      <c r="G49" s="228">
        <v>2.85</v>
      </c>
      <c r="H49" s="229">
        <v>0.01</v>
      </c>
      <c r="I49" s="228">
        <v>287.75</v>
      </c>
      <c r="J49" s="228">
        <v>284.55</v>
      </c>
      <c r="K49" s="228">
        <v>3.2</v>
      </c>
      <c r="L49" s="229">
        <v>1.12E-2</v>
      </c>
      <c r="M49" s="228">
        <v>289.14999999999998</v>
      </c>
      <c r="N49" s="228">
        <v>286.3</v>
      </c>
      <c r="O49" s="228">
        <v>2.85</v>
      </c>
      <c r="P49" s="229">
        <v>0.01</v>
      </c>
      <c r="Q49" s="228">
        <v>290.8</v>
      </c>
      <c r="R49" s="228">
        <v>287.7</v>
      </c>
      <c r="S49" s="228">
        <v>3.1</v>
      </c>
      <c r="T49" s="229">
        <v>1.0800000000000001E-2</v>
      </c>
      <c r="U49" s="228">
        <v>292.60000000000002</v>
      </c>
      <c r="V49" s="228">
        <v>289.55</v>
      </c>
      <c r="W49" s="228">
        <v>3.05</v>
      </c>
      <c r="X49" s="229">
        <v>1.0500000000000001E-2</v>
      </c>
      <c r="Y49" s="228">
        <v>1.4</v>
      </c>
      <c r="Z49" s="228">
        <v>1.75</v>
      </c>
      <c r="AA49" s="228">
        <v>-0.35</v>
      </c>
      <c r="AB49" s="229">
        <v>4.8999999999999998E-3</v>
      </c>
      <c r="AC49" s="228">
        <v>1.4</v>
      </c>
      <c r="AD49" s="228">
        <v>1.75</v>
      </c>
      <c r="AE49" s="228">
        <v>-0.35</v>
      </c>
      <c r="AF49" s="229">
        <v>4.8999999999999998E-3</v>
      </c>
      <c r="AG49" s="228">
        <v>3.05</v>
      </c>
      <c r="AH49" s="228">
        <v>3.15</v>
      </c>
      <c r="AI49" s="228">
        <v>-0.1</v>
      </c>
      <c r="AJ49" s="229">
        <v>1.06E-2</v>
      </c>
      <c r="AK49" s="228">
        <v>4.8499999999999996</v>
      </c>
      <c r="AL49" s="228">
        <v>5</v>
      </c>
      <c r="AM49" s="228">
        <v>-0.15</v>
      </c>
      <c r="AN49" s="229">
        <v>1.6899999999999998E-2</v>
      </c>
      <c r="AO49" s="228">
        <v>289.95999999999998</v>
      </c>
      <c r="AP49" s="228">
        <v>291.57</v>
      </c>
      <c r="AQ49" s="228">
        <v>0</v>
      </c>
      <c r="AR49" s="230">
        <v>5722200</v>
      </c>
      <c r="AS49" s="230">
        <v>5423400</v>
      </c>
      <c r="AT49" s="230">
        <v>298800</v>
      </c>
      <c r="AU49" s="229">
        <v>5.5100000000000003E-2</v>
      </c>
      <c r="AV49" s="230">
        <v>4908600</v>
      </c>
      <c r="AW49" s="230">
        <v>4339800</v>
      </c>
      <c r="AX49" s="230">
        <v>568800</v>
      </c>
      <c r="AY49" s="229">
        <v>0.13109999999999999</v>
      </c>
      <c r="AZ49" s="230">
        <v>626400</v>
      </c>
      <c r="BA49" s="230">
        <v>774000</v>
      </c>
      <c r="BB49" s="230">
        <v>-147600</v>
      </c>
      <c r="BC49" s="229">
        <v>-0.19070000000000001</v>
      </c>
      <c r="BD49" s="230">
        <v>187200</v>
      </c>
      <c r="BE49" s="230">
        <v>309600</v>
      </c>
      <c r="BF49" s="230">
        <v>-122400</v>
      </c>
      <c r="BG49" s="229">
        <v>-0.39529999999999998</v>
      </c>
      <c r="BH49" s="230">
        <v>16507800</v>
      </c>
      <c r="BI49" s="230">
        <v>10949400</v>
      </c>
      <c r="BJ49" s="230">
        <v>5558400</v>
      </c>
      <c r="BK49" s="229">
        <v>0.50760000000000005</v>
      </c>
      <c r="BL49" s="230">
        <v>4291200</v>
      </c>
      <c r="BM49" s="230">
        <v>2815200</v>
      </c>
      <c r="BN49" s="230">
        <v>1476000</v>
      </c>
      <c r="BO49" s="229">
        <v>0.52429999999999999</v>
      </c>
      <c r="BP49" s="230">
        <v>26521200</v>
      </c>
      <c r="BQ49" s="230">
        <v>19188000</v>
      </c>
      <c r="BR49" s="230">
        <v>7333200</v>
      </c>
      <c r="BS49" s="229">
        <v>0.38219999999999998</v>
      </c>
      <c r="BT49" s="230">
        <v>2777036</v>
      </c>
      <c r="BU49" s="230">
        <v>4823797</v>
      </c>
      <c r="BV49" s="230">
        <v>-2046761</v>
      </c>
      <c r="BW49" s="229">
        <v>-0.42430000000000001</v>
      </c>
      <c r="BX49" s="230">
        <v>52057800</v>
      </c>
      <c r="BY49" s="230">
        <v>51481800</v>
      </c>
      <c r="BZ49" s="230">
        <v>576000</v>
      </c>
      <c r="CA49" s="229">
        <v>1.12E-2</v>
      </c>
      <c r="CB49" s="230">
        <v>49113000</v>
      </c>
      <c r="CC49" s="230">
        <v>48717000</v>
      </c>
      <c r="CD49" s="230">
        <v>396000</v>
      </c>
      <c r="CE49" s="229">
        <v>8.0999999999999996E-3</v>
      </c>
      <c r="CF49" s="230">
        <v>2611800</v>
      </c>
      <c r="CG49" s="230">
        <v>2489400</v>
      </c>
      <c r="CH49" s="230">
        <v>122400</v>
      </c>
      <c r="CI49" s="229">
        <v>4.9200000000000001E-2</v>
      </c>
      <c r="CJ49" s="230">
        <v>333000</v>
      </c>
      <c r="CK49" s="230">
        <v>275400</v>
      </c>
      <c r="CL49" s="230">
        <v>57600</v>
      </c>
      <c r="CM49" s="229">
        <v>0.2092</v>
      </c>
      <c r="CN49" s="230">
        <v>18300600</v>
      </c>
      <c r="CO49" s="230">
        <v>18417600</v>
      </c>
      <c r="CP49" s="230">
        <v>-117000</v>
      </c>
      <c r="CQ49" s="229">
        <v>-6.4000000000000003E-3</v>
      </c>
      <c r="CR49" s="230">
        <v>10377000</v>
      </c>
      <c r="CS49" s="230">
        <v>10132200</v>
      </c>
      <c r="CT49" s="230">
        <v>244800</v>
      </c>
      <c r="CU49" s="229">
        <v>2.4199999999999999E-2</v>
      </c>
      <c r="CV49" s="230">
        <v>80735400</v>
      </c>
      <c r="CW49" s="230">
        <v>80031600</v>
      </c>
      <c r="CX49" s="230">
        <v>703800</v>
      </c>
      <c r="CY49" s="229">
        <v>8.8000000000000005E-3</v>
      </c>
      <c r="CZ49" s="228">
        <v>29.68</v>
      </c>
      <c r="DA49" s="228">
        <v>30.86</v>
      </c>
      <c r="DB49" s="228">
        <v>-1.18</v>
      </c>
      <c r="DC49" s="228">
        <v>-1.18</v>
      </c>
      <c r="DD49" s="228">
        <v>32.75</v>
      </c>
      <c r="DE49" s="228">
        <v>32.799999999999997</v>
      </c>
      <c r="DF49" s="228">
        <v>-3.07</v>
      </c>
      <c r="DG49" s="228">
        <v>-0.05</v>
      </c>
      <c r="DH49" s="228">
        <v>30.09</v>
      </c>
      <c r="DI49" s="228">
        <v>31.31</v>
      </c>
      <c r="DJ49" s="228">
        <v>-1.22</v>
      </c>
      <c r="DK49" s="228">
        <v>-1.22</v>
      </c>
      <c r="DL49" s="228">
        <v>28.1</v>
      </c>
      <c r="DM49" s="228">
        <v>29.1</v>
      </c>
      <c r="DN49" s="228">
        <v>-1</v>
      </c>
      <c r="DO49" s="228">
        <v>-1</v>
      </c>
      <c r="DP49" s="228">
        <v>0.56999999999999995</v>
      </c>
      <c r="DQ49" s="228">
        <v>0.55000000000000004</v>
      </c>
      <c r="DR49" s="228">
        <v>0.02</v>
      </c>
      <c r="DS49" s="229">
        <v>3.6400000000000002E-2</v>
      </c>
      <c r="DT49" s="228">
        <v>320</v>
      </c>
      <c r="DU49" s="228">
        <v>300</v>
      </c>
      <c r="DV49" s="228">
        <v>0.26</v>
      </c>
      <c r="DW49" s="228">
        <v>0.26</v>
      </c>
      <c r="DX49" s="228">
        <v>0</v>
      </c>
      <c r="DY49" s="229">
        <v>0</v>
      </c>
      <c r="DZ49" s="229">
        <v>5.6599999999999998E-2</v>
      </c>
      <c r="EA49" s="230">
        <v>2764800</v>
      </c>
      <c r="EB49" s="229">
        <v>5.7000000000000002E-3</v>
      </c>
      <c r="EC49" s="229">
        <v>5.6599999999999998E-2</v>
      </c>
      <c r="ED49" s="228">
        <v>1.61</v>
      </c>
      <c r="EE49" s="229">
        <v>5.5999999999999999E-3</v>
      </c>
      <c r="EF49" s="230">
        <v>1378810</v>
      </c>
      <c r="EG49" s="230">
        <v>3187634</v>
      </c>
      <c r="EH49" s="229">
        <v>-0.5675</v>
      </c>
      <c r="EI49" s="229">
        <v>0.4965</v>
      </c>
      <c r="EJ49" s="231">
        <v>50752.2</v>
      </c>
      <c r="EK49" s="231">
        <v>12312.03</v>
      </c>
      <c r="EL49" s="231">
        <v>16608.21</v>
      </c>
      <c r="EM49" s="231">
        <v>2468</v>
      </c>
      <c r="EN49" s="231">
        <v>79672.44</v>
      </c>
      <c r="EO49" s="231">
        <v>57223.24</v>
      </c>
      <c r="EP49" s="231">
        <v>22449.200000000001</v>
      </c>
      <c r="EQ49" s="229">
        <v>0.39229999999999998</v>
      </c>
      <c r="ER49" s="231">
        <v>56764</v>
      </c>
      <c r="ES49" s="231">
        <v>30399</v>
      </c>
      <c r="ET49" s="231">
        <v>150580</v>
      </c>
      <c r="EU49" s="231">
        <v>81400589</v>
      </c>
      <c r="EV49" s="231">
        <v>237743</v>
      </c>
      <c r="EW49" s="231">
        <v>234117</v>
      </c>
      <c r="EX49" s="231">
        <v>3626</v>
      </c>
      <c r="EY49" s="229">
        <v>1.55E-2</v>
      </c>
      <c r="EZ49" s="229">
        <v>0.99180000000000001</v>
      </c>
      <c r="FA49" s="227" t="s">
        <v>555</v>
      </c>
      <c r="FB49" s="161">
        <f t="shared" si="0"/>
        <v>2944800</v>
      </c>
    </row>
    <row r="50" spans="1:158" ht="17.25" hidden="1" thickBot="1" x14ac:dyDescent="0.3">
      <c r="A50" s="226">
        <v>45940</v>
      </c>
      <c r="B50" s="227" t="s">
        <v>184</v>
      </c>
      <c r="C50" s="227" t="s">
        <v>203</v>
      </c>
      <c r="D50" s="228">
        <v>200</v>
      </c>
      <c r="E50" s="231">
        <v>3988.3</v>
      </c>
      <c r="F50" s="231">
        <v>3973.2</v>
      </c>
      <c r="G50" s="228">
        <v>15.1</v>
      </c>
      <c r="H50" s="229">
        <v>3.8E-3</v>
      </c>
      <c r="I50" s="231">
        <v>3966</v>
      </c>
      <c r="J50" s="231">
        <v>3957.2</v>
      </c>
      <c r="K50" s="228">
        <v>8.8000000000000007</v>
      </c>
      <c r="L50" s="229">
        <v>2.2000000000000001E-3</v>
      </c>
      <c r="M50" s="231">
        <v>3988.3</v>
      </c>
      <c r="N50" s="231">
        <v>3973.2</v>
      </c>
      <c r="O50" s="228">
        <v>15.1</v>
      </c>
      <c r="P50" s="229">
        <v>3.8E-3</v>
      </c>
      <c r="Q50" s="231">
        <v>4005.8</v>
      </c>
      <c r="R50" s="231">
        <v>3984.6</v>
      </c>
      <c r="S50" s="228">
        <v>21.2</v>
      </c>
      <c r="T50" s="229">
        <v>5.3E-3</v>
      </c>
      <c r="U50" s="231">
        <v>4012</v>
      </c>
      <c r="V50" s="231">
        <v>4001</v>
      </c>
      <c r="W50" s="228">
        <v>11</v>
      </c>
      <c r="X50" s="229">
        <v>2.7000000000000001E-3</v>
      </c>
      <c r="Y50" s="228">
        <v>22.3</v>
      </c>
      <c r="Z50" s="228">
        <v>16</v>
      </c>
      <c r="AA50" s="228">
        <v>6.3</v>
      </c>
      <c r="AB50" s="229">
        <v>5.5999999999999999E-3</v>
      </c>
      <c r="AC50" s="228">
        <v>22.3</v>
      </c>
      <c r="AD50" s="228">
        <v>16</v>
      </c>
      <c r="AE50" s="228">
        <v>6.3</v>
      </c>
      <c r="AF50" s="229">
        <v>5.5999999999999999E-3</v>
      </c>
      <c r="AG50" s="228">
        <v>39.799999999999997</v>
      </c>
      <c r="AH50" s="228">
        <v>27.4</v>
      </c>
      <c r="AI50" s="228">
        <v>12.4</v>
      </c>
      <c r="AJ50" s="229">
        <v>0.01</v>
      </c>
      <c r="AK50" s="228">
        <v>46</v>
      </c>
      <c r="AL50" s="228">
        <v>43.8</v>
      </c>
      <c r="AM50" s="228">
        <v>2.2000000000000002</v>
      </c>
      <c r="AN50" s="229">
        <v>1.1599999999999999E-2</v>
      </c>
      <c r="AO50" s="231">
        <v>3997.23</v>
      </c>
      <c r="AP50" s="231">
        <v>4018.74</v>
      </c>
      <c r="AQ50" s="228">
        <v>0</v>
      </c>
      <c r="AR50" s="230">
        <v>1004800</v>
      </c>
      <c r="AS50" s="230">
        <v>461400</v>
      </c>
      <c r="AT50" s="230">
        <v>543400</v>
      </c>
      <c r="AU50" s="229">
        <v>1.1777</v>
      </c>
      <c r="AV50" s="230">
        <v>981200</v>
      </c>
      <c r="AW50" s="230">
        <v>453000</v>
      </c>
      <c r="AX50" s="230">
        <v>528200</v>
      </c>
      <c r="AY50" s="229">
        <v>1.1659999999999999</v>
      </c>
      <c r="AZ50" s="230">
        <v>22200</v>
      </c>
      <c r="BA50" s="230">
        <v>8200</v>
      </c>
      <c r="BB50" s="230">
        <v>14000</v>
      </c>
      <c r="BC50" s="229">
        <v>1.7073</v>
      </c>
      <c r="BD50" s="230">
        <v>1400</v>
      </c>
      <c r="BE50" s="228">
        <v>200</v>
      </c>
      <c r="BF50" s="230">
        <v>1200</v>
      </c>
      <c r="BG50" s="229">
        <v>6</v>
      </c>
      <c r="BH50" s="230">
        <v>2447800</v>
      </c>
      <c r="BI50" s="230">
        <v>1058800</v>
      </c>
      <c r="BJ50" s="230">
        <v>1389000</v>
      </c>
      <c r="BK50" s="229">
        <v>1.3119000000000001</v>
      </c>
      <c r="BL50" s="230">
        <v>651200</v>
      </c>
      <c r="BM50" s="230">
        <v>289800</v>
      </c>
      <c r="BN50" s="230">
        <v>361400</v>
      </c>
      <c r="BO50" s="229">
        <v>1.2471000000000001</v>
      </c>
      <c r="BP50" s="230">
        <v>4103800</v>
      </c>
      <c r="BQ50" s="230">
        <v>1810000</v>
      </c>
      <c r="BR50" s="230">
        <v>2293800</v>
      </c>
      <c r="BS50" s="229">
        <v>1.2673000000000001</v>
      </c>
      <c r="BT50" s="230">
        <v>539324</v>
      </c>
      <c r="BU50" s="230">
        <v>195820</v>
      </c>
      <c r="BV50" s="230">
        <v>343504</v>
      </c>
      <c r="BW50" s="229">
        <v>1.7542</v>
      </c>
      <c r="BX50" s="230">
        <v>2974400</v>
      </c>
      <c r="BY50" s="230">
        <v>2931800</v>
      </c>
      <c r="BZ50" s="230">
        <v>42600</v>
      </c>
      <c r="CA50" s="229">
        <v>1.4500000000000001E-2</v>
      </c>
      <c r="CB50" s="230">
        <v>2934000</v>
      </c>
      <c r="CC50" s="230">
        <v>2893800</v>
      </c>
      <c r="CD50" s="230">
        <v>40200</v>
      </c>
      <c r="CE50" s="229">
        <v>1.3899999999999999E-2</v>
      </c>
      <c r="CF50" s="230">
        <v>38600</v>
      </c>
      <c r="CG50" s="230">
        <v>37000</v>
      </c>
      <c r="CH50" s="230">
        <v>1600</v>
      </c>
      <c r="CI50" s="229">
        <v>4.3200000000000002E-2</v>
      </c>
      <c r="CJ50" s="230">
        <v>1800</v>
      </c>
      <c r="CK50" s="230">
        <v>1000</v>
      </c>
      <c r="CL50" s="228">
        <v>800</v>
      </c>
      <c r="CM50" s="229">
        <v>0.8</v>
      </c>
      <c r="CN50" s="230">
        <v>742800</v>
      </c>
      <c r="CO50" s="230">
        <v>687200</v>
      </c>
      <c r="CP50" s="230">
        <v>55600</v>
      </c>
      <c r="CQ50" s="229">
        <v>8.09E-2</v>
      </c>
      <c r="CR50" s="230">
        <v>512200</v>
      </c>
      <c r="CS50" s="230">
        <v>506200</v>
      </c>
      <c r="CT50" s="230">
        <v>6000</v>
      </c>
      <c r="CU50" s="229">
        <v>1.1900000000000001E-2</v>
      </c>
      <c r="CV50" s="230">
        <v>4229400</v>
      </c>
      <c r="CW50" s="230">
        <v>4125200</v>
      </c>
      <c r="CX50" s="230">
        <v>104200</v>
      </c>
      <c r="CY50" s="229">
        <v>2.53E-2</v>
      </c>
      <c r="CZ50" s="228">
        <v>23.01</v>
      </c>
      <c r="DA50" s="228">
        <v>23.58</v>
      </c>
      <c r="DB50" s="228">
        <v>-0.56999999999999995</v>
      </c>
      <c r="DC50" s="228">
        <v>-0.56999999999999995</v>
      </c>
      <c r="DD50" s="228">
        <v>35.409999999999997</v>
      </c>
      <c r="DE50" s="228">
        <v>35.5</v>
      </c>
      <c r="DF50" s="228">
        <v>-12.4</v>
      </c>
      <c r="DG50" s="228">
        <v>-0.09</v>
      </c>
      <c r="DH50" s="228">
        <v>23.04</v>
      </c>
      <c r="DI50" s="228">
        <v>23.5</v>
      </c>
      <c r="DJ50" s="228">
        <v>-0.46</v>
      </c>
      <c r="DK50" s="228">
        <v>-0.46</v>
      </c>
      <c r="DL50" s="228">
        <v>22.89</v>
      </c>
      <c r="DM50" s="228">
        <v>23.86</v>
      </c>
      <c r="DN50" s="228">
        <v>-0.97</v>
      </c>
      <c r="DO50" s="228">
        <v>-0.97</v>
      </c>
      <c r="DP50" s="228">
        <v>0.69</v>
      </c>
      <c r="DQ50" s="228">
        <v>0.74</v>
      </c>
      <c r="DR50" s="228">
        <v>-0.05</v>
      </c>
      <c r="DS50" s="229">
        <v>-6.7599999999999993E-2</v>
      </c>
      <c r="DT50" s="231">
        <v>4000</v>
      </c>
      <c r="DU50" s="231">
        <v>3900</v>
      </c>
      <c r="DV50" s="228">
        <v>0.27</v>
      </c>
      <c r="DW50" s="228">
        <v>0.27</v>
      </c>
      <c r="DX50" s="228">
        <v>0</v>
      </c>
      <c r="DY50" s="229">
        <v>0</v>
      </c>
      <c r="DZ50" s="229">
        <v>1.3599999999999999E-2</v>
      </c>
      <c r="EA50" s="230">
        <v>38000</v>
      </c>
      <c r="EB50" s="229">
        <v>4.4000000000000003E-3</v>
      </c>
      <c r="EC50" s="229">
        <v>1.3599999999999999E-2</v>
      </c>
      <c r="ED50" s="228">
        <v>21.51</v>
      </c>
      <c r="EE50" s="229">
        <v>5.4000000000000003E-3</v>
      </c>
      <c r="EF50" s="230">
        <v>316196</v>
      </c>
      <c r="EG50" s="230">
        <v>98259</v>
      </c>
      <c r="EH50" s="229">
        <v>2.218</v>
      </c>
      <c r="EI50" s="229">
        <v>0.58630000000000004</v>
      </c>
      <c r="EJ50" s="231">
        <v>101278.67</v>
      </c>
      <c r="EK50" s="231">
        <v>25827.31</v>
      </c>
      <c r="EL50" s="231">
        <v>40169.360000000001</v>
      </c>
      <c r="EM50" s="231">
        <v>2311</v>
      </c>
      <c r="EN50" s="231">
        <v>167275.34</v>
      </c>
      <c r="EO50" s="231">
        <v>72970.77</v>
      </c>
      <c r="EP50" s="231">
        <v>94304.57</v>
      </c>
      <c r="EQ50" s="229">
        <v>1.2924</v>
      </c>
      <c r="ER50" s="231">
        <v>30368</v>
      </c>
      <c r="ES50" s="231">
        <v>19764</v>
      </c>
      <c r="ET50" s="231">
        <v>118635</v>
      </c>
      <c r="EU50" s="231">
        <v>20374200</v>
      </c>
      <c r="EV50" s="231">
        <v>168767</v>
      </c>
      <c r="EW50" s="231">
        <v>163957</v>
      </c>
      <c r="EX50" s="231">
        <v>4810</v>
      </c>
      <c r="EY50" s="229">
        <v>2.93E-2</v>
      </c>
      <c r="EZ50" s="229">
        <v>0.20760000000000001</v>
      </c>
      <c r="FA50" s="227" t="s">
        <v>555</v>
      </c>
      <c r="FB50" s="161">
        <f t="shared" si="0"/>
        <v>40400</v>
      </c>
    </row>
    <row r="51" spans="1:158" ht="17.25" hidden="1" thickBot="1" x14ac:dyDescent="0.3">
      <c r="A51" s="226">
        <v>45940</v>
      </c>
      <c r="B51" s="227" t="s">
        <v>221</v>
      </c>
      <c r="C51" s="227" t="s">
        <v>573</v>
      </c>
      <c r="D51" s="228">
        <v>425</v>
      </c>
      <c r="E51" s="231">
        <v>1179</v>
      </c>
      <c r="F51" s="231">
        <v>1181.9000000000001</v>
      </c>
      <c r="G51" s="228">
        <v>-2.9</v>
      </c>
      <c r="H51" s="229">
        <v>-2.5000000000000001E-3</v>
      </c>
      <c r="I51" s="231">
        <v>1176.9000000000001</v>
      </c>
      <c r="J51" s="231">
        <v>1176.7</v>
      </c>
      <c r="K51" s="228">
        <v>0.2</v>
      </c>
      <c r="L51" s="229">
        <v>2.0000000000000001E-4</v>
      </c>
      <c r="M51" s="231">
        <v>1179</v>
      </c>
      <c r="N51" s="231">
        <v>1181.9000000000001</v>
      </c>
      <c r="O51" s="228">
        <v>-2.9</v>
      </c>
      <c r="P51" s="229">
        <v>-2.5000000000000001E-3</v>
      </c>
      <c r="Q51" s="231">
        <v>1179.2</v>
      </c>
      <c r="R51" s="231">
        <v>1182.2</v>
      </c>
      <c r="S51" s="228">
        <v>-3</v>
      </c>
      <c r="T51" s="229">
        <v>-2.5000000000000001E-3</v>
      </c>
      <c r="U51" s="231">
        <v>1183.8</v>
      </c>
      <c r="V51" s="231">
        <v>1184.7</v>
      </c>
      <c r="W51" s="228">
        <v>-0.9</v>
      </c>
      <c r="X51" s="229">
        <v>-8.0000000000000004E-4</v>
      </c>
      <c r="Y51" s="228">
        <v>2.1</v>
      </c>
      <c r="Z51" s="228">
        <v>5.2</v>
      </c>
      <c r="AA51" s="228">
        <v>-3.1</v>
      </c>
      <c r="AB51" s="229">
        <v>1.8E-3</v>
      </c>
      <c r="AC51" s="228">
        <v>2.1</v>
      </c>
      <c r="AD51" s="228">
        <v>5.2</v>
      </c>
      <c r="AE51" s="228">
        <v>-3.1</v>
      </c>
      <c r="AF51" s="229">
        <v>1.8E-3</v>
      </c>
      <c r="AG51" s="228">
        <v>2.2999999999999998</v>
      </c>
      <c r="AH51" s="228">
        <v>5.5</v>
      </c>
      <c r="AI51" s="228">
        <v>-3.2</v>
      </c>
      <c r="AJ51" s="229">
        <v>2E-3</v>
      </c>
      <c r="AK51" s="228">
        <v>6.9</v>
      </c>
      <c r="AL51" s="228">
        <v>8</v>
      </c>
      <c r="AM51" s="228">
        <v>-1.1000000000000001</v>
      </c>
      <c r="AN51" s="229">
        <v>5.8999999999999999E-3</v>
      </c>
      <c r="AO51" s="231">
        <v>1181.31</v>
      </c>
      <c r="AP51" s="231">
        <v>1181.53</v>
      </c>
      <c r="AQ51" s="228">
        <v>0</v>
      </c>
      <c r="AR51" s="230">
        <v>386325</v>
      </c>
      <c r="AS51" s="230">
        <v>606900</v>
      </c>
      <c r="AT51" s="230">
        <v>-220575</v>
      </c>
      <c r="AU51" s="229">
        <v>-0.3634</v>
      </c>
      <c r="AV51" s="230">
        <v>348925</v>
      </c>
      <c r="AW51" s="230">
        <v>562700</v>
      </c>
      <c r="AX51" s="230">
        <v>-213775</v>
      </c>
      <c r="AY51" s="229">
        <v>-0.37990000000000002</v>
      </c>
      <c r="AZ51" s="230">
        <v>34425</v>
      </c>
      <c r="BA51" s="230">
        <v>40375</v>
      </c>
      <c r="BB51" s="230">
        <v>-5950</v>
      </c>
      <c r="BC51" s="229">
        <v>-0.1474</v>
      </c>
      <c r="BD51" s="230">
        <v>2975</v>
      </c>
      <c r="BE51" s="230">
        <v>3825</v>
      </c>
      <c r="BF51" s="228">
        <v>-850</v>
      </c>
      <c r="BG51" s="229">
        <v>-0.22220000000000001</v>
      </c>
      <c r="BH51" s="230">
        <v>1648575</v>
      </c>
      <c r="BI51" s="230">
        <v>1077375</v>
      </c>
      <c r="BJ51" s="230">
        <v>571200</v>
      </c>
      <c r="BK51" s="229">
        <v>0.5302</v>
      </c>
      <c r="BL51" s="230">
        <v>313225</v>
      </c>
      <c r="BM51" s="230">
        <v>486625</v>
      </c>
      <c r="BN51" s="230">
        <v>-173400</v>
      </c>
      <c r="BO51" s="229">
        <v>-0.35630000000000001</v>
      </c>
      <c r="BP51" s="230">
        <v>2348125</v>
      </c>
      <c r="BQ51" s="230">
        <v>2170900</v>
      </c>
      <c r="BR51" s="230">
        <v>177225</v>
      </c>
      <c r="BS51" s="229">
        <v>8.1600000000000006E-2</v>
      </c>
      <c r="BT51" s="230">
        <v>117505</v>
      </c>
      <c r="BU51" s="230">
        <v>532396</v>
      </c>
      <c r="BV51" s="230">
        <v>-414891</v>
      </c>
      <c r="BW51" s="229">
        <v>-0.77929999999999999</v>
      </c>
      <c r="BX51" s="230">
        <v>4001375</v>
      </c>
      <c r="BY51" s="230">
        <v>3999250</v>
      </c>
      <c r="BZ51" s="230">
        <v>2125</v>
      </c>
      <c r="CA51" s="229">
        <v>5.0000000000000001E-4</v>
      </c>
      <c r="CB51" s="230">
        <v>3701750</v>
      </c>
      <c r="CC51" s="230">
        <v>3708975</v>
      </c>
      <c r="CD51" s="230">
        <v>-7225</v>
      </c>
      <c r="CE51" s="229">
        <v>-1.9E-3</v>
      </c>
      <c r="CF51" s="230">
        <v>288150</v>
      </c>
      <c r="CG51" s="230">
        <v>278800</v>
      </c>
      <c r="CH51" s="230">
        <v>9350</v>
      </c>
      <c r="CI51" s="229">
        <v>3.3500000000000002E-2</v>
      </c>
      <c r="CJ51" s="230">
        <v>11475</v>
      </c>
      <c r="CK51" s="230">
        <v>11475</v>
      </c>
      <c r="CL51" s="228">
        <v>0</v>
      </c>
      <c r="CM51" s="229">
        <v>0</v>
      </c>
      <c r="CN51" s="230">
        <v>2066350</v>
      </c>
      <c r="CO51" s="230">
        <v>1702125</v>
      </c>
      <c r="CP51" s="230">
        <v>364225</v>
      </c>
      <c r="CQ51" s="229">
        <v>0.214</v>
      </c>
      <c r="CR51" s="230">
        <v>1116900</v>
      </c>
      <c r="CS51" s="230">
        <v>1073975</v>
      </c>
      <c r="CT51" s="230">
        <v>42925</v>
      </c>
      <c r="CU51" s="229">
        <v>0.04</v>
      </c>
      <c r="CV51" s="230">
        <v>7184625</v>
      </c>
      <c r="CW51" s="230">
        <v>6775350</v>
      </c>
      <c r="CX51" s="230">
        <v>409275</v>
      </c>
      <c r="CY51" s="229">
        <v>6.0400000000000002E-2</v>
      </c>
      <c r="CZ51" s="228">
        <v>40.01</v>
      </c>
      <c r="DA51" s="228">
        <v>38.119999999999997</v>
      </c>
      <c r="DB51" s="228">
        <v>1.89</v>
      </c>
      <c r="DC51" s="228">
        <v>1.89</v>
      </c>
      <c r="DD51" s="228">
        <v>44.39</v>
      </c>
      <c r="DE51" s="228">
        <v>44.5</v>
      </c>
      <c r="DF51" s="228">
        <v>-4.38</v>
      </c>
      <c r="DG51" s="228">
        <v>-0.11</v>
      </c>
      <c r="DH51" s="228">
        <v>40.15</v>
      </c>
      <c r="DI51" s="228">
        <v>37.85</v>
      </c>
      <c r="DJ51" s="228">
        <v>2.2999999999999998</v>
      </c>
      <c r="DK51" s="228">
        <v>2.2999999999999998</v>
      </c>
      <c r="DL51" s="228">
        <v>39.24</v>
      </c>
      <c r="DM51" s="228">
        <v>38.729999999999997</v>
      </c>
      <c r="DN51" s="228">
        <v>0.51</v>
      </c>
      <c r="DO51" s="228">
        <v>0.51</v>
      </c>
      <c r="DP51" s="228">
        <v>0.54</v>
      </c>
      <c r="DQ51" s="228">
        <v>0.63</v>
      </c>
      <c r="DR51" s="228">
        <v>-0.09</v>
      </c>
      <c r="DS51" s="229">
        <v>-0.1429</v>
      </c>
      <c r="DT51" s="231">
        <v>1300</v>
      </c>
      <c r="DU51" s="231">
        <v>1160</v>
      </c>
      <c r="DV51" s="228">
        <v>0.19</v>
      </c>
      <c r="DW51" s="228">
        <v>0.45</v>
      </c>
      <c r="DX51" s="228">
        <v>-0.26</v>
      </c>
      <c r="DY51" s="229">
        <v>-0.57779999999999998</v>
      </c>
      <c r="DZ51" s="229">
        <v>7.4899999999999994E-2</v>
      </c>
      <c r="EA51" s="230">
        <v>290275</v>
      </c>
      <c r="EB51" s="229">
        <v>2.0000000000000001E-4</v>
      </c>
      <c r="EC51" s="229">
        <v>7.4899999999999994E-2</v>
      </c>
      <c r="ED51" s="228">
        <v>0.22</v>
      </c>
      <c r="EE51" s="229">
        <v>2.0000000000000001E-4</v>
      </c>
      <c r="EF51" s="230">
        <v>55092</v>
      </c>
      <c r="EG51" s="230">
        <v>367336</v>
      </c>
      <c r="EH51" s="229">
        <v>-0.85</v>
      </c>
      <c r="EI51" s="229">
        <v>0.46879999999999999</v>
      </c>
      <c r="EJ51" s="231">
        <v>20888.96</v>
      </c>
      <c r="EK51" s="231">
        <v>3622.43</v>
      </c>
      <c r="EL51" s="231">
        <v>4563.84</v>
      </c>
      <c r="EM51" s="231">
        <v>1657</v>
      </c>
      <c r="EN51" s="231">
        <v>29075.23</v>
      </c>
      <c r="EO51" s="231">
        <v>26202.12</v>
      </c>
      <c r="EP51" s="231">
        <v>2873.11</v>
      </c>
      <c r="EQ51" s="229">
        <v>0.10970000000000001</v>
      </c>
      <c r="ER51" s="231">
        <v>25791</v>
      </c>
      <c r="ES51" s="231">
        <v>12611</v>
      </c>
      <c r="ET51" s="231">
        <v>47177</v>
      </c>
      <c r="EU51" s="231">
        <v>12039544</v>
      </c>
      <c r="EV51" s="231">
        <v>85579</v>
      </c>
      <c r="EW51" s="231">
        <v>80578</v>
      </c>
      <c r="EX51" s="231">
        <v>5001</v>
      </c>
      <c r="EY51" s="229">
        <v>6.2100000000000002E-2</v>
      </c>
      <c r="EZ51" s="229">
        <v>0.5968</v>
      </c>
      <c r="FA51" s="227" t="s">
        <v>567</v>
      </c>
      <c r="FB51" s="161">
        <f t="shared" si="0"/>
        <v>299625</v>
      </c>
    </row>
    <row r="52" spans="1:158" ht="17.25" hidden="1" thickBot="1" x14ac:dyDescent="0.3">
      <c r="A52" s="226">
        <v>45940</v>
      </c>
      <c r="B52" s="227" t="s">
        <v>168</v>
      </c>
      <c r="C52" s="227" t="s">
        <v>204</v>
      </c>
      <c r="D52" s="228">
        <v>1250</v>
      </c>
      <c r="E52" s="228">
        <v>491.35</v>
      </c>
      <c r="F52" s="228">
        <v>488.15</v>
      </c>
      <c r="G52" s="228">
        <v>3.2</v>
      </c>
      <c r="H52" s="229">
        <v>6.6E-3</v>
      </c>
      <c r="I52" s="228">
        <v>489.7</v>
      </c>
      <c r="J52" s="228">
        <v>485.4</v>
      </c>
      <c r="K52" s="228">
        <v>4.3</v>
      </c>
      <c r="L52" s="229">
        <v>8.8999999999999999E-3</v>
      </c>
      <c r="M52" s="228">
        <v>491.35</v>
      </c>
      <c r="N52" s="228">
        <v>488.15</v>
      </c>
      <c r="O52" s="228">
        <v>3.2</v>
      </c>
      <c r="P52" s="229">
        <v>6.6E-3</v>
      </c>
      <c r="Q52" s="228">
        <v>491.25</v>
      </c>
      <c r="R52" s="228">
        <v>487.95</v>
      </c>
      <c r="S52" s="228">
        <v>3.3</v>
      </c>
      <c r="T52" s="229">
        <v>6.7999999999999996E-3</v>
      </c>
      <c r="U52" s="228">
        <v>494.3</v>
      </c>
      <c r="V52" s="228">
        <v>491</v>
      </c>
      <c r="W52" s="228">
        <v>3.3</v>
      </c>
      <c r="X52" s="229">
        <v>6.7000000000000002E-3</v>
      </c>
      <c r="Y52" s="228">
        <v>1.65</v>
      </c>
      <c r="Z52" s="228">
        <v>2.75</v>
      </c>
      <c r="AA52" s="228">
        <v>-1.1000000000000001</v>
      </c>
      <c r="AB52" s="229">
        <v>3.3999999999999998E-3</v>
      </c>
      <c r="AC52" s="228">
        <v>1.65</v>
      </c>
      <c r="AD52" s="228">
        <v>2.75</v>
      </c>
      <c r="AE52" s="228">
        <v>-1.1000000000000001</v>
      </c>
      <c r="AF52" s="229">
        <v>3.3999999999999998E-3</v>
      </c>
      <c r="AG52" s="228">
        <v>1.55</v>
      </c>
      <c r="AH52" s="228">
        <v>2.5499999999999998</v>
      </c>
      <c r="AI52" s="228">
        <v>-1</v>
      </c>
      <c r="AJ52" s="229">
        <v>3.2000000000000002E-3</v>
      </c>
      <c r="AK52" s="228">
        <v>4.5999999999999996</v>
      </c>
      <c r="AL52" s="228">
        <v>5.6</v>
      </c>
      <c r="AM52" s="228">
        <v>-1</v>
      </c>
      <c r="AN52" s="229">
        <v>9.4000000000000004E-3</v>
      </c>
      <c r="AO52" s="228">
        <v>491.46</v>
      </c>
      <c r="AP52" s="228">
        <v>491.01</v>
      </c>
      <c r="AQ52" s="228">
        <v>0</v>
      </c>
      <c r="AR52" s="230">
        <v>2378750</v>
      </c>
      <c r="AS52" s="230">
        <v>3546250</v>
      </c>
      <c r="AT52" s="230">
        <v>-1167500</v>
      </c>
      <c r="AU52" s="229">
        <v>-0.32919999999999999</v>
      </c>
      <c r="AV52" s="230">
        <v>2080000</v>
      </c>
      <c r="AW52" s="230">
        <v>3255000</v>
      </c>
      <c r="AX52" s="230">
        <v>-1175000</v>
      </c>
      <c r="AY52" s="229">
        <v>-0.36099999999999999</v>
      </c>
      <c r="AZ52" s="230">
        <v>263750</v>
      </c>
      <c r="BA52" s="230">
        <v>256250</v>
      </c>
      <c r="BB52" s="230">
        <v>7500</v>
      </c>
      <c r="BC52" s="229">
        <v>2.93E-2</v>
      </c>
      <c r="BD52" s="230">
        <v>35000</v>
      </c>
      <c r="BE52" s="230">
        <v>35000</v>
      </c>
      <c r="BF52" s="228">
        <v>0</v>
      </c>
      <c r="BG52" s="229">
        <v>0</v>
      </c>
      <c r="BH52" s="230">
        <v>10195000</v>
      </c>
      <c r="BI52" s="230">
        <v>14016250</v>
      </c>
      <c r="BJ52" s="230">
        <v>-3821250</v>
      </c>
      <c r="BK52" s="229">
        <v>-0.27260000000000001</v>
      </c>
      <c r="BL52" s="230">
        <v>3951250</v>
      </c>
      <c r="BM52" s="230">
        <v>6057500</v>
      </c>
      <c r="BN52" s="230">
        <v>-2106250</v>
      </c>
      <c r="BO52" s="229">
        <v>-0.34770000000000001</v>
      </c>
      <c r="BP52" s="230">
        <v>16525000</v>
      </c>
      <c r="BQ52" s="230">
        <v>23620000</v>
      </c>
      <c r="BR52" s="230">
        <v>-7095000</v>
      </c>
      <c r="BS52" s="229">
        <v>-0.3004</v>
      </c>
      <c r="BT52" s="230">
        <v>1666109</v>
      </c>
      <c r="BU52" s="230">
        <v>3106532</v>
      </c>
      <c r="BV52" s="230">
        <v>-1440423</v>
      </c>
      <c r="BW52" s="229">
        <v>-0.4637</v>
      </c>
      <c r="BX52" s="230">
        <v>28671250</v>
      </c>
      <c r="BY52" s="230">
        <v>29005000</v>
      </c>
      <c r="BZ52" s="230">
        <v>-333750</v>
      </c>
      <c r="CA52" s="229">
        <v>-1.15E-2</v>
      </c>
      <c r="CB52" s="230">
        <v>26820000</v>
      </c>
      <c r="CC52" s="230">
        <v>27185000</v>
      </c>
      <c r="CD52" s="230">
        <v>-365000</v>
      </c>
      <c r="CE52" s="229">
        <v>-1.34E-2</v>
      </c>
      <c r="CF52" s="230">
        <v>1712500</v>
      </c>
      <c r="CG52" s="230">
        <v>1697500</v>
      </c>
      <c r="CH52" s="230">
        <v>15000</v>
      </c>
      <c r="CI52" s="229">
        <v>8.8000000000000005E-3</v>
      </c>
      <c r="CJ52" s="230">
        <v>138750</v>
      </c>
      <c r="CK52" s="230">
        <v>122500</v>
      </c>
      <c r="CL52" s="230">
        <v>16250</v>
      </c>
      <c r="CM52" s="229">
        <v>0.13270000000000001</v>
      </c>
      <c r="CN52" s="230">
        <v>18765000</v>
      </c>
      <c r="CO52" s="230">
        <v>18966250</v>
      </c>
      <c r="CP52" s="230">
        <v>-201250</v>
      </c>
      <c r="CQ52" s="229">
        <v>-1.06E-2</v>
      </c>
      <c r="CR52" s="230">
        <v>8303750</v>
      </c>
      <c r="CS52" s="230">
        <v>8097500</v>
      </c>
      <c r="CT52" s="230">
        <v>206250</v>
      </c>
      <c r="CU52" s="229">
        <v>2.5499999999999998E-2</v>
      </c>
      <c r="CV52" s="230">
        <v>55740000</v>
      </c>
      <c r="CW52" s="230">
        <v>56068750</v>
      </c>
      <c r="CX52" s="230">
        <v>-328750</v>
      </c>
      <c r="CY52" s="229">
        <v>-5.8999999999999999E-3</v>
      </c>
      <c r="CZ52" s="228">
        <v>20.43</v>
      </c>
      <c r="DA52" s="228">
        <v>21.31</v>
      </c>
      <c r="DB52" s="228">
        <v>-0.88</v>
      </c>
      <c r="DC52" s="228">
        <v>-0.88</v>
      </c>
      <c r="DD52" s="228">
        <v>25.62</v>
      </c>
      <c r="DE52" s="228">
        <v>25.66</v>
      </c>
      <c r="DF52" s="228">
        <v>-5.19</v>
      </c>
      <c r="DG52" s="228">
        <v>-0.04</v>
      </c>
      <c r="DH52" s="228">
        <v>20.61</v>
      </c>
      <c r="DI52" s="228">
        <v>21.42</v>
      </c>
      <c r="DJ52" s="228">
        <v>-0.81</v>
      </c>
      <c r="DK52" s="228">
        <v>-0.81</v>
      </c>
      <c r="DL52" s="228">
        <v>19.95</v>
      </c>
      <c r="DM52" s="228">
        <v>21.04</v>
      </c>
      <c r="DN52" s="228">
        <v>-1.0900000000000001</v>
      </c>
      <c r="DO52" s="228">
        <v>-1.0900000000000001</v>
      </c>
      <c r="DP52" s="228">
        <v>0.44</v>
      </c>
      <c r="DQ52" s="228">
        <v>0.43</v>
      </c>
      <c r="DR52" s="228">
        <v>0.01</v>
      </c>
      <c r="DS52" s="229">
        <v>2.3300000000000001E-2</v>
      </c>
      <c r="DT52" s="228">
        <v>500</v>
      </c>
      <c r="DU52" s="228">
        <v>500</v>
      </c>
      <c r="DV52" s="228">
        <v>0.39</v>
      </c>
      <c r="DW52" s="228">
        <v>0.43</v>
      </c>
      <c r="DX52" s="228">
        <v>-0.04</v>
      </c>
      <c r="DY52" s="229">
        <v>-9.2999999999999999E-2</v>
      </c>
      <c r="DZ52" s="229">
        <v>6.4600000000000005E-2</v>
      </c>
      <c r="EA52" s="230">
        <v>1820000</v>
      </c>
      <c r="EB52" s="229">
        <v>-2.0000000000000001E-4</v>
      </c>
      <c r="EC52" s="229">
        <v>6.4600000000000005E-2</v>
      </c>
      <c r="ED52" s="228">
        <v>-0.45</v>
      </c>
      <c r="EE52" s="229">
        <v>-8.9999999999999998E-4</v>
      </c>
      <c r="EF52" s="230">
        <v>1004158</v>
      </c>
      <c r="EG52" s="230">
        <v>2202057</v>
      </c>
      <c r="EH52" s="229">
        <v>-0.54400000000000004</v>
      </c>
      <c r="EI52" s="229">
        <v>0.60270000000000001</v>
      </c>
      <c r="EJ52" s="231">
        <v>52012.52</v>
      </c>
      <c r="EK52" s="231">
        <v>19108.5</v>
      </c>
      <c r="EL52" s="231">
        <v>11690.45</v>
      </c>
      <c r="EM52" s="231">
        <v>4288</v>
      </c>
      <c r="EN52" s="231">
        <v>82811.47</v>
      </c>
      <c r="EO52" s="231">
        <v>117424.49</v>
      </c>
      <c r="EP52" s="231">
        <v>-34613.019999999997</v>
      </c>
      <c r="EQ52" s="229">
        <v>-0.29480000000000001</v>
      </c>
      <c r="ER52" s="231">
        <v>98107</v>
      </c>
      <c r="ES52" s="231">
        <v>40342</v>
      </c>
      <c r="ET52" s="231">
        <v>140879</v>
      </c>
      <c r="EU52" s="231">
        <v>89873278</v>
      </c>
      <c r="EV52" s="231">
        <v>279327</v>
      </c>
      <c r="EW52" s="231">
        <v>279903</v>
      </c>
      <c r="EX52" s="228">
        <v>-576</v>
      </c>
      <c r="EY52" s="229">
        <v>-2.0999999999999999E-3</v>
      </c>
      <c r="EZ52" s="229">
        <v>0.62019999999999997</v>
      </c>
      <c r="FA52" s="227" t="s">
        <v>556</v>
      </c>
      <c r="FB52" s="161">
        <f t="shared" si="0"/>
        <v>1851250</v>
      </c>
    </row>
    <row r="53" spans="1:158" ht="17.25" hidden="1" thickBot="1" x14ac:dyDescent="0.3">
      <c r="A53" s="226">
        <v>45940</v>
      </c>
      <c r="B53" s="227" t="s">
        <v>157</v>
      </c>
      <c r="C53" s="227" t="s">
        <v>524</v>
      </c>
      <c r="D53" s="228">
        <v>325</v>
      </c>
      <c r="E53" s="231">
        <v>2237.8000000000002</v>
      </c>
      <c r="F53" s="231">
        <v>2243.6</v>
      </c>
      <c r="G53" s="228">
        <v>-5.8</v>
      </c>
      <c r="H53" s="229">
        <v>-2.5999999999999999E-3</v>
      </c>
      <c r="I53" s="231">
        <v>2227.6999999999998</v>
      </c>
      <c r="J53" s="231">
        <v>2234.6999999999998</v>
      </c>
      <c r="K53" s="228">
        <v>-7</v>
      </c>
      <c r="L53" s="229">
        <v>-3.0999999999999999E-3</v>
      </c>
      <c r="M53" s="231">
        <v>2237.8000000000002</v>
      </c>
      <c r="N53" s="231">
        <v>2243.6</v>
      </c>
      <c r="O53" s="228">
        <v>-5.8</v>
      </c>
      <c r="P53" s="229">
        <v>-2.5999999999999999E-3</v>
      </c>
      <c r="Q53" s="231">
        <v>2242.1999999999998</v>
      </c>
      <c r="R53" s="231">
        <v>2249.9</v>
      </c>
      <c r="S53" s="228">
        <v>-7.7</v>
      </c>
      <c r="T53" s="229">
        <v>-3.3999999999999998E-3</v>
      </c>
      <c r="U53" s="231">
        <v>2261.6</v>
      </c>
      <c r="V53" s="231">
        <v>2248.6999999999998</v>
      </c>
      <c r="W53" s="228">
        <v>12.9</v>
      </c>
      <c r="X53" s="229">
        <v>5.7000000000000002E-3</v>
      </c>
      <c r="Y53" s="228">
        <v>10.1</v>
      </c>
      <c r="Z53" s="228">
        <v>8.9</v>
      </c>
      <c r="AA53" s="228">
        <v>1.2</v>
      </c>
      <c r="AB53" s="229">
        <v>4.4999999999999997E-3</v>
      </c>
      <c r="AC53" s="228">
        <v>10.1</v>
      </c>
      <c r="AD53" s="228">
        <v>8.9</v>
      </c>
      <c r="AE53" s="228">
        <v>1.2</v>
      </c>
      <c r="AF53" s="229">
        <v>4.4999999999999997E-3</v>
      </c>
      <c r="AG53" s="228">
        <v>14.5</v>
      </c>
      <c r="AH53" s="228">
        <v>15.2</v>
      </c>
      <c r="AI53" s="228">
        <v>-0.7</v>
      </c>
      <c r="AJ53" s="229">
        <v>6.4999999999999997E-3</v>
      </c>
      <c r="AK53" s="228">
        <v>33.9</v>
      </c>
      <c r="AL53" s="228">
        <v>14</v>
      </c>
      <c r="AM53" s="228">
        <v>19.899999999999999</v>
      </c>
      <c r="AN53" s="229">
        <v>1.52E-2</v>
      </c>
      <c r="AO53" s="231">
        <v>2246.02</v>
      </c>
      <c r="AP53" s="231">
        <v>2252.48</v>
      </c>
      <c r="AQ53" s="228">
        <v>0</v>
      </c>
      <c r="AR53" s="230">
        <v>315900</v>
      </c>
      <c r="AS53" s="230">
        <v>493675</v>
      </c>
      <c r="AT53" s="230">
        <v>-177775</v>
      </c>
      <c r="AU53" s="229">
        <v>-0.36009999999999998</v>
      </c>
      <c r="AV53" s="230">
        <v>302900</v>
      </c>
      <c r="AW53" s="230">
        <v>480025</v>
      </c>
      <c r="AX53" s="230">
        <v>-177125</v>
      </c>
      <c r="AY53" s="229">
        <v>-0.36899999999999999</v>
      </c>
      <c r="AZ53" s="230">
        <v>11700</v>
      </c>
      <c r="BA53" s="230">
        <v>13650</v>
      </c>
      <c r="BB53" s="230">
        <v>-1950</v>
      </c>
      <c r="BC53" s="229">
        <v>-0.1429</v>
      </c>
      <c r="BD53" s="230">
        <v>1300</v>
      </c>
      <c r="BE53" s="228">
        <v>0</v>
      </c>
      <c r="BF53" s="230">
        <v>1300</v>
      </c>
      <c r="BG53" s="229">
        <v>0</v>
      </c>
      <c r="BH53" s="230">
        <v>271375</v>
      </c>
      <c r="BI53" s="230">
        <v>369200</v>
      </c>
      <c r="BJ53" s="230">
        <v>-97825</v>
      </c>
      <c r="BK53" s="229">
        <v>-0.26500000000000001</v>
      </c>
      <c r="BL53" s="230">
        <v>194675</v>
      </c>
      <c r="BM53" s="230">
        <v>408200</v>
      </c>
      <c r="BN53" s="230">
        <v>-213525</v>
      </c>
      <c r="BO53" s="229">
        <v>-0.52310000000000001</v>
      </c>
      <c r="BP53" s="230">
        <v>781950</v>
      </c>
      <c r="BQ53" s="230">
        <v>1271075</v>
      </c>
      <c r="BR53" s="230">
        <v>-489125</v>
      </c>
      <c r="BS53" s="229">
        <v>-0.38479999999999998</v>
      </c>
      <c r="BT53" s="230">
        <v>212045</v>
      </c>
      <c r="BU53" s="230">
        <v>279977</v>
      </c>
      <c r="BV53" s="230">
        <v>-67932</v>
      </c>
      <c r="BW53" s="229">
        <v>-0.24260000000000001</v>
      </c>
      <c r="BX53" s="230">
        <v>2606500</v>
      </c>
      <c r="BY53" s="230">
        <v>2543775</v>
      </c>
      <c r="BZ53" s="230">
        <v>62725</v>
      </c>
      <c r="CA53" s="229">
        <v>2.47E-2</v>
      </c>
      <c r="CB53" s="230">
        <v>2569125</v>
      </c>
      <c r="CC53" s="230">
        <v>2510625</v>
      </c>
      <c r="CD53" s="230">
        <v>58500</v>
      </c>
      <c r="CE53" s="229">
        <v>2.3300000000000001E-2</v>
      </c>
      <c r="CF53" s="230">
        <v>32500</v>
      </c>
      <c r="CG53" s="230">
        <v>29575</v>
      </c>
      <c r="CH53" s="230">
        <v>2925</v>
      </c>
      <c r="CI53" s="229">
        <v>9.8900000000000002E-2</v>
      </c>
      <c r="CJ53" s="230">
        <v>4875</v>
      </c>
      <c r="CK53" s="230">
        <v>3575</v>
      </c>
      <c r="CL53" s="230">
        <v>1300</v>
      </c>
      <c r="CM53" s="229">
        <v>0.36359999999999998</v>
      </c>
      <c r="CN53" s="230">
        <v>420225</v>
      </c>
      <c r="CO53" s="230">
        <v>406250</v>
      </c>
      <c r="CP53" s="230">
        <v>13975</v>
      </c>
      <c r="CQ53" s="229">
        <v>3.44E-2</v>
      </c>
      <c r="CR53" s="230">
        <v>266500</v>
      </c>
      <c r="CS53" s="230">
        <v>258700</v>
      </c>
      <c r="CT53" s="230">
        <v>7800</v>
      </c>
      <c r="CU53" s="229">
        <v>3.0200000000000001E-2</v>
      </c>
      <c r="CV53" s="230">
        <v>3293225</v>
      </c>
      <c r="CW53" s="230">
        <v>3208725</v>
      </c>
      <c r="CX53" s="230">
        <v>84500</v>
      </c>
      <c r="CY53" s="229">
        <v>2.63E-2</v>
      </c>
      <c r="CZ53" s="228">
        <v>26.04</v>
      </c>
      <c r="DA53" s="228">
        <v>26.26</v>
      </c>
      <c r="DB53" s="228">
        <v>-0.22</v>
      </c>
      <c r="DC53" s="228">
        <v>-0.22</v>
      </c>
      <c r="DD53" s="228">
        <v>30.39</v>
      </c>
      <c r="DE53" s="228">
        <v>30.46</v>
      </c>
      <c r="DF53" s="228">
        <v>-4.3499999999999996</v>
      </c>
      <c r="DG53" s="228">
        <v>-7.0000000000000007E-2</v>
      </c>
      <c r="DH53" s="228">
        <v>26.11</v>
      </c>
      <c r="DI53" s="228">
        <v>26.63</v>
      </c>
      <c r="DJ53" s="228">
        <v>-0.52</v>
      </c>
      <c r="DK53" s="228">
        <v>-0.52</v>
      </c>
      <c r="DL53" s="228">
        <v>25.95</v>
      </c>
      <c r="DM53" s="228">
        <v>25.92</v>
      </c>
      <c r="DN53" s="228">
        <v>0.03</v>
      </c>
      <c r="DO53" s="228">
        <v>0.03</v>
      </c>
      <c r="DP53" s="228">
        <v>0.63</v>
      </c>
      <c r="DQ53" s="228">
        <v>0.64</v>
      </c>
      <c r="DR53" s="228">
        <v>-0.01</v>
      </c>
      <c r="DS53" s="229">
        <v>-1.5599999999999999E-2</v>
      </c>
      <c r="DT53" s="231">
        <v>2400</v>
      </c>
      <c r="DU53" s="231">
        <v>2200</v>
      </c>
      <c r="DV53" s="228">
        <v>0.72</v>
      </c>
      <c r="DW53" s="228">
        <v>1.1100000000000001</v>
      </c>
      <c r="DX53" s="228">
        <v>-0.39</v>
      </c>
      <c r="DY53" s="229">
        <v>-0.35139999999999999</v>
      </c>
      <c r="DZ53" s="229">
        <v>1.43E-2</v>
      </c>
      <c r="EA53" s="230">
        <v>33150</v>
      </c>
      <c r="EB53" s="229">
        <v>2E-3</v>
      </c>
      <c r="EC53" s="229">
        <v>1.43E-2</v>
      </c>
      <c r="ED53" s="228">
        <v>6.46</v>
      </c>
      <c r="EE53" s="229">
        <v>2.8999999999999998E-3</v>
      </c>
      <c r="EF53" s="230">
        <v>119527</v>
      </c>
      <c r="EG53" s="230">
        <v>158264</v>
      </c>
      <c r="EH53" s="229">
        <v>-0.24479999999999999</v>
      </c>
      <c r="EI53" s="229">
        <v>0.56369999999999998</v>
      </c>
      <c r="EJ53" s="231">
        <v>6324.15</v>
      </c>
      <c r="EK53" s="231">
        <v>4445.68</v>
      </c>
      <c r="EL53" s="231">
        <v>7096.13</v>
      </c>
      <c r="EM53" s="231">
        <v>1213</v>
      </c>
      <c r="EN53" s="231">
        <v>17865.96</v>
      </c>
      <c r="EO53" s="231">
        <v>28988.880000000001</v>
      </c>
      <c r="EP53" s="231">
        <v>-11122.92</v>
      </c>
      <c r="EQ53" s="229">
        <v>-0.38369999999999999</v>
      </c>
      <c r="ER53" s="231">
        <v>9865</v>
      </c>
      <c r="ES53" s="231">
        <v>5927</v>
      </c>
      <c r="ET53" s="231">
        <v>58331</v>
      </c>
      <c r="EU53" s="231">
        <v>12425041</v>
      </c>
      <c r="EV53" s="231">
        <v>74123</v>
      </c>
      <c r="EW53" s="231">
        <v>72374</v>
      </c>
      <c r="EX53" s="231">
        <v>1749</v>
      </c>
      <c r="EY53" s="229">
        <v>2.4199999999999999E-2</v>
      </c>
      <c r="EZ53" s="229">
        <v>0.26500000000000001</v>
      </c>
      <c r="FA53" s="227" t="s">
        <v>567</v>
      </c>
      <c r="FB53" s="161">
        <f t="shared" si="0"/>
        <v>37375</v>
      </c>
    </row>
    <row r="54" spans="1:158" ht="17.25" hidden="1" thickBot="1" x14ac:dyDescent="0.3">
      <c r="A54" s="226">
        <v>45940</v>
      </c>
      <c r="B54" s="227" t="s">
        <v>616</v>
      </c>
      <c r="C54" s="227" t="s">
        <v>601</v>
      </c>
      <c r="D54" s="228">
        <v>2075</v>
      </c>
      <c r="E54" s="228">
        <v>467.6</v>
      </c>
      <c r="F54" s="228">
        <v>470.7</v>
      </c>
      <c r="G54" s="228">
        <v>-3.1</v>
      </c>
      <c r="H54" s="229">
        <v>-6.6E-3</v>
      </c>
      <c r="I54" s="228">
        <v>464.85</v>
      </c>
      <c r="J54" s="228">
        <v>468</v>
      </c>
      <c r="K54" s="228">
        <v>-3.15</v>
      </c>
      <c r="L54" s="229">
        <v>-6.7000000000000002E-3</v>
      </c>
      <c r="M54" s="228">
        <v>467.6</v>
      </c>
      <c r="N54" s="228">
        <v>470.7</v>
      </c>
      <c r="O54" s="228">
        <v>-3.1</v>
      </c>
      <c r="P54" s="229">
        <v>-6.6E-3</v>
      </c>
      <c r="Q54" s="228">
        <v>469.95</v>
      </c>
      <c r="R54" s="228">
        <v>473.65</v>
      </c>
      <c r="S54" s="228">
        <v>-3.7</v>
      </c>
      <c r="T54" s="229">
        <v>-7.7999999999999996E-3</v>
      </c>
      <c r="U54" s="228">
        <v>471.05</v>
      </c>
      <c r="V54" s="228">
        <v>474.1</v>
      </c>
      <c r="W54" s="228">
        <v>-3.05</v>
      </c>
      <c r="X54" s="229">
        <v>-6.4000000000000003E-3</v>
      </c>
      <c r="Y54" s="228">
        <v>2.75</v>
      </c>
      <c r="Z54" s="228">
        <v>2.7</v>
      </c>
      <c r="AA54" s="228">
        <v>0.05</v>
      </c>
      <c r="AB54" s="229">
        <v>5.8999999999999999E-3</v>
      </c>
      <c r="AC54" s="228">
        <v>2.75</v>
      </c>
      <c r="AD54" s="228">
        <v>2.7</v>
      </c>
      <c r="AE54" s="228">
        <v>0.05</v>
      </c>
      <c r="AF54" s="229">
        <v>5.8999999999999999E-3</v>
      </c>
      <c r="AG54" s="228">
        <v>5.0999999999999996</v>
      </c>
      <c r="AH54" s="228">
        <v>5.65</v>
      </c>
      <c r="AI54" s="228">
        <v>-0.55000000000000004</v>
      </c>
      <c r="AJ54" s="229">
        <v>1.0999999999999999E-2</v>
      </c>
      <c r="AK54" s="228">
        <v>6.2</v>
      </c>
      <c r="AL54" s="228">
        <v>6.1</v>
      </c>
      <c r="AM54" s="228">
        <v>0.1</v>
      </c>
      <c r="AN54" s="229">
        <v>1.3299999999999999E-2</v>
      </c>
      <c r="AO54" s="228">
        <v>468.49</v>
      </c>
      <c r="AP54" s="228">
        <v>471.53</v>
      </c>
      <c r="AQ54" s="228">
        <v>0</v>
      </c>
      <c r="AR54" s="230">
        <v>3855350</v>
      </c>
      <c r="AS54" s="230">
        <v>3185125</v>
      </c>
      <c r="AT54" s="230">
        <v>670225</v>
      </c>
      <c r="AU54" s="229">
        <v>0.2104</v>
      </c>
      <c r="AV54" s="230">
        <v>3475625</v>
      </c>
      <c r="AW54" s="230">
        <v>2967250</v>
      </c>
      <c r="AX54" s="230">
        <v>508375</v>
      </c>
      <c r="AY54" s="229">
        <v>0.17130000000000001</v>
      </c>
      <c r="AZ54" s="230">
        <v>363125</v>
      </c>
      <c r="BA54" s="230">
        <v>195050</v>
      </c>
      <c r="BB54" s="230">
        <v>168075</v>
      </c>
      <c r="BC54" s="229">
        <v>0.86170000000000002</v>
      </c>
      <c r="BD54" s="230">
        <v>16600</v>
      </c>
      <c r="BE54" s="230">
        <v>22825</v>
      </c>
      <c r="BF54" s="230">
        <v>-6225</v>
      </c>
      <c r="BG54" s="229">
        <v>-0.2727</v>
      </c>
      <c r="BH54" s="230">
        <v>7474150</v>
      </c>
      <c r="BI54" s="230">
        <v>10360475</v>
      </c>
      <c r="BJ54" s="230">
        <v>-2886325</v>
      </c>
      <c r="BK54" s="229">
        <v>-0.27860000000000001</v>
      </c>
      <c r="BL54" s="230">
        <v>4513125</v>
      </c>
      <c r="BM54" s="230">
        <v>5121100</v>
      </c>
      <c r="BN54" s="230">
        <v>-607975</v>
      </c>
      <c r="BO54" s="229">
        <v>-0.1187</v>
      </c>
      <c r="BP54" s="230">
        <v>15842625</v>
      </c>
      <c r="BQ54" s="230">
        <v>18666700</v>
      </c>
      <c r="BR54" s="230">
        <v>-2824075</v>
      </c>
      <c r="BS54" s="229">
        <v>-0.15129999999999999</v>
      </c>
      <c r="BT54" s="230">
        <v>2311161</v>
      </c>
      <c r="BU54" s="230">
        <v>3467884</v>
      </c>
      <c r="BV54" s="230">
        <v>-1156723</v>
      </c>
      <c r="BW54" s="229">
        <v>-0.33360000000000001</v>
      </c>
      <c r="BX54" s="230">
        <v>18948900</v>
      </c>
      <c r="BY54" s="230">
        <v>18523525</v>
      </c>
      <c r="BZ54" s="230">
        <v>425375</v>
      </c>
      <c r="CA54" s="229">
        <v>2.3E-2</v>
      </c>
      <c r="CB54" s="230">
        <v>18268300</v>
      </c>
      <c r="CC54" s="230">
        <v>18025525</v>
      </c>
      <c r="CD54" s="230">
        <v>242775</v>
      </c>
      <c r="CE54" s="229">
        <v>1.35E-2</v>
      </c>
      <c r="CF54" s="230">
        <v>647400</v>
      </c>
      <c r="CG54" s="230">
        <v>473100</v>
      </c>
      <c r="CH54" s="230">
        <v>174300</v>
      </c>
      <c r="CI54" s="229">
        <v>0.36840000000000001</v>
      </c>
      <c r="CJ54" s="230">
        <v>33200</v>
      </c>
      <c r="CK54" s="230">
        <v>24900</v>
      </c>
      <c r="CL54" s="230">
        <v>8300</v>
      </c>
      <c r="CM54" s="229">
        <v>0.33329999999999999</v>
      </c>
      <c r="CN54" s="230">
        <v>7194025</v>
      </c>
      <c r="CO54" s="230">
        <v>6608875</v>
      </c>
      <c r="CP54" s="230">
        <v>585150</v>
      </c>
      <c r="CQ54" s="229">
        <v>8.8499999999999995E-2</v>
      </c>
      <c r="CR54" s="230">
        <v>5614950</v>
      </c>
      <c r="CS54" s="230">
        <v>5494600</v>
      </c>
      <c r="CT54" s="230">
        <v>120350</v>
      </c>
      <c r="CU54" s="229">
        <v>2.1899999999999999E-2</v>
      </c>
      <c r="CV54" s="230">
        <v>31757875</v>
      </c>
      <c r="CW54" s="230">
        <v>30627000</v>
      </c>
      <c r="CX54" s="230">
        <v>1130875</v>
      </c>
      <c r="CY54" s="229">
        <v>3.6900000000000002E-2</v>
      </c>
      <c r="CZ54" s="228">
        <v>29.14</v>
      </c>
      <c r="DA54" s="228">
        <v>29.87</v>
      </c>
      <c r="DB54" s="228">
        <v>-0.73</v>
      </c>
      <c r="DC54" s="228">
        <v>-0.73</v>
      </c>
      <c r="DD54" s="228">
        <v>40.74</v>
      </c>
      <c r="DE54" s="228">
        <v>40.840000000000003</v>
      </c>
      <c r="DF54" s="228">
        <v>-11.6</v>
      </c>
      <c r="DG54" s="228">
        <v>-0.1</v>
      </c>
      <c r="DH54" s="228">
        <v>29.28</v>
      </c>
      <c r="DI54" s="228">
        <v>29.77</v>
      </c>
      <c r="DJ54" s="228">
        <v>-0.49</v>
      </c>
      <c r="DK54" s="228">
        <v>-0.49</v>
      </c>
      <c r="DL54" s="228">
        <v>28.91</v>
      </c>
      <c r="DM54" s="228">
        <v>30.06</v>
      </c>
      <c r="DN54" s="228">
        <v>-1.1499999999999999</v>
      </c>
      <c r="DO54" s="228">
        <v>-1.1499999999999999</v>
      </c>
      <c r="DP54" s="228">
        <v>0.78</v>
      </c>
      <c r="DQ54" s="228">
        <v>0.83</v>
      </c>
      <c r="DR54" s="228">
        <v>-0.05</v>
      </c>
      <c r="DS54" s="229">
        <v>-6.0199999999999997E-2</v>
      </c>
      <c r="DT54" s="228">
        <v>500</v>
      </c>
      <c r="DU54" s="228">
        <v>450</v>
      </c>
      <c r="DV54" s="228">
        <v>0.6</v>
      </c>
      <c r="DW54" s="228">
        <v>0.49</v>
      </c>
      <c r="DX54" s="228">
        <v>0.11</v>
      </c>
      <c r="DY54" s="229">
        <v>0.22450000000000001</v>
      </c>
      <c r="DZ54" s="229">
        <v>3.5900000000000001E-2</v>
      </c>
      <c r="EA54" s="230">
        <v>498000</v>
      </c>
      <c r="EB54" s="229">
        <v>5.0000000000000001E-3</v>
      </c>
      <c r="EC54" s="229">
        <v>3.5900000000000001E-2</v>
      </c>
      <c r="ED54" s="228">
        <v>3.04</v>
      </c>
      <c r="EE54" s="229">
        <v>6.4999999999999997E-3</v>
      </c>
      <c r="EF54" s="230">
        <v>1369791</v>
      </c>
      <c r="EG54" s="230">
        <v>1908012</v>
      </c>
      <c r="EH54" s="229">
        <v>-0.28210000000000002</v>
      </c>
      <c r="EI54" s="229">
        <v>0.5927</v>
      </c>
      <c r="EJ54" s="231">
        <v>36500.230000000003</v>
      </c>
      <c r="EK54" s="231">
        <v>20995.85</v>
      </c>
      <c r="EL54" s="231">
        <v>18073.599999999999</v>
      </c>
      <c r="EM54" s="231">
        <v>3365</v>
      </c>
      <c r="EN54" s="231">
        <v>75569.679999999993</v>
      </c>
      <c r="EO54" s="231">
        <v>89680.76</v>
      </c>
      <c r="EP54" s="231">
        <v>-14111.08</v>
      </c>
      <c r="EQ54" s="229">
        <v>-0.1573</v>
      </c>
      <c r="ER54" s="231">
        <v>34609</v>
      </c>
      <c r="ES54" s="231">
        <v>24965</v>
      </c>
      <c r="ET54" s="231">
        <v>88621</v>
      </c>
      <c r="EU54" s="231">
        <v>94196226</v>
      </c>
      <c r="EV54" s="231">
        <v>148195</v>
      </c>
      <c r="EW54" s="231">
        <v>143366</v>
      </c>
      <c r="EX54" s="231">
        <v>4829</v>
      </c>
      <c r="EY54" s="229">
        <v>3.3700000000000001E-2</v>
      </c>
      <c r="EZ54" s="229">
        <v>0.33710000000000001</v>
      </c>
      <c r="FA54" s="227" t="s">
        <v>567</v>
      </c>
      <c r="FB54" s="161">
        <f t="shared" si="0"/>
        <v>680600</v>
      </c>
    </row>
    <row r="55" spans="1:158" ht="17.25" hidden="1" thickBot="1" x14ac:dyDescent="0.3">
      <c r="A55" s="226">
        <v>45940</v>
      </c>
      <c r="B55" s="227" t="s">
        <v>170</v>
      </c>
      <c r="C55" s="227" t="s">
        <v>205</v>
      </c>
      <c r="D55" s="228">
        <v>100</v>
      </c>
      <c r="E55" s="231">
        <v>6498.5</v>
      </c>
      <c r="F55" s="231">
        <v>6165.5</v>
      </c>
      <c r="G55" s="228">
        <v>333</v>
      </c>
      <c r="H55" s="229">
        <v>5.3999999999999999E-2</v>
      </c>
      <c r="I55" s="231">
        <v>6474.5</v>
      </c>
      <c r="J55" s="231">
        <v>6132</v>
      </c>
      <c r="K55" s="228">
        <v>342.5</v>
      </c>
      <c r="L55" s="229">
        <v>5.5899999999999998E-2</v>
      </c>
      <c r="M55" s="231">
        <v>6498.5</v>
      </c>
      <c r="N55" s="231">
        <v>6165.5</v>
      </c>
      <c r="O55" s="228">
        <v>333</v>
      </c>
      <c r="P55" s="229">
        <v>5.3999999999999999E-2</v>
      </c>
      <c r="Q55" s="231">
        <v>6530.5</v>
      </c>
      <c r="R55" s="231">
        <v>6199</v>
      </c>
      <c r="S55" s="228">
        <v>331.5</v>
      </c>
      <c r="T55" s="229">
        <v>5.3499999999999999E-2</v>
      </c>
      <c r="U55" s="231">
        <v>6563.5</v>
      </c>
      <c r="V55" s="231">
        <v>6240</v>
      </c>
      <c r="W55" s="228">
        <v>323.5</v>
      </c>
      <c r="X55" s="229">
        <v>5.1799999999999999E-2</v>
      </c>
      <c r="Y55" s="228">
        <v>24</v>
      </c>
      <c r="Z55" s="228">
        <v>33.5</v>
      </c>
      <c r="AA55" s="228">
        <v>-9.5</v>
      </c>
      <c r="AB55" s="229">
        <v>3.7000000000000002E-3</v>
      </c>
      <c r="AC55" s="228">
        <v>24</v>
      </c>
      <c r="AD55" s="228">
        <v>33.5</v>
      </c>
      <c r="AE55" s="228">
        <v>-9.5</v>
      </c>
      <c r="AF55" s="229">
        <v>3.7000000000000002E-3</v>
      </c>
      <c r="AG55" s="228">
        <v>56</v>
      </c>
      <c r="AH55" s="228">
        <v>67</v>
      </c>
      <c r="AI55" s="228">
        <v>-11</v>
      </c>
      <c r="AJ55" s="229">
        <v>8.6E-3</v>
      </c>
      <c r="AK55" s="228">
        <v>89</v>
      </c>
      <c r="AL55" s="228">
        <v>108</v>
      </c>
      <c r="AM55" s="228">
        <v>-19</v>
      </c>
      <c r="AN55" s="229">
        <v>1.37E-2</v>
      </c>
      <c r="AO55" s="231">
        <v>6393.59</v>
      </c>
      <c r="AP55" s="231">
        <v>6417.72</v>
      </c>
      <c r="AQ55" s="228">
        <v>0</v>
      </c>
      <c r="AR55" s="230">
        <v>1350400</v>
      </c>
      <c r="AS55" s="230">
        <v>288600</v>
      </c>
      <c r="AT55" s="230">
        <v>1061800</v>
      </c>
      <c r="AU55" s="229">
        <v>3.6791</v>
      </c>
      <c r="AV55" s="230">
        <v>1239900</v>
      </c>
      <c r="AW55" s="230">
        <v>273200</v>
      </c>
      <c r="AX55" s="230">
        <v>966700</v>
      </c>
      <c r="AY55" s="229">
        <v>3.5384000000000002</v>
      </c>
      <c r="AZ55" s="230">
        <v>100000</v>
      </c>
      <c r="BA55" s="230">
        <v>14000</v>
      </c>
      <c r="BB55" s="230">
        <v>86000</v>
      </c>
      <c r="BC55" s="229">
        <v>6.1429</v>
      </c>
      <c r="BD55" s="230">
        <v>10500</v>
      </c>
      <c r="BE55" s="230">
        <v>1400</v>
      </c>
      <c r="BF55" s="230">
        <v>9100</v>
      </c>
      <c r="BG55" s="229">
        <v>6.5</v>
      </c>
      <c r="BH55" s="230">
        <v>14622500</v>
      </c>
      <c r="BI55" s="230">
        <v>1858000</v>
      </c>
      <c r="BJ55" s="230">
        <v>12764500</v>
      </c>
      <c r="BK55" s="229">
        <v>6.87</v>
      </c>
      <c r="BL55" s="230">
        <v>5630200</v>
      </c>
      <c r="BM55" s="230">
        <v>849600</v>
      </c>
      <c r="BN55" s="230">
        <v>4780600</v>
      </c>
      <c r="BO55" s="229">
        <v>5.6269</v>
      </c>
      <c r="BP55" s="230">
        <v>21603100</v>
      </c>
      <c r="BQ55" s="230">
        <v>2996200</v>
      </c>
      <c r="BR55" s="230">
        <v>18606900</v>
      </c>
      <c r="BS55" s="229">
        <v>6.2102000000000004</v>
      </c>
      <c r="BT55" s="230">
        <v>1697042</v>
      </c>
      <c r="BU55" s="230">
        <v>361858</v>
      </c>
      <c r="BV55" s="230">
        <v>1335184</v>
      </c>
      <c r="BW55" s="229">
        <v>3.6898</v>
      </c>
      <c r="BX55" s="230">
        <v>2750900</v>
      </c>
      <c r="BY55" s="230">
        <v>2610900</v>
      </c>
      <c r="BZ55" s="230">
        <v>140000</v>
      </c>
      <c r="CA55" s="229">
        <v>5.3600000000000002E-2</v>
      </c>
      <c r="CB55" s="230">
        <v>2681800</v>
      </c>
      <c r="CC55" s="230">
        <v>2547600</v>
      </c>
      <c r="CD55" s="230">
        <v>134200</v>
      </c>
      <c r="CE55" s="229">
        <v>5.2699999999999997E-2</v>
      </c>
      <c r="CF55" s="230">
        <v>60100</v>
      </c>
      <c r="CG55" s="230">
        <v>58000</v>
      </c>
      <c r="CH55" s="230">
        <v>2100</v>
      </c>
      <c r="CI55" s="229">
        <v>3.6200000000000003E-2</v>
      </c>
      <c r="CJ55" s="230">
        <v>9000</v>
      </c>
      <c r="CK55" s="230">
        <v>5300</v>
      </c>
      <c r="CL55" s="230">
        <v>3700</v>
      </c>
      <c r="CM55" s="229">
        <v>0.69810000000000005</v>
      </c>
      <c r="CN55" s="230">
        <v>1718200</v>
      </c>
      <c r="CO55" s="230">
        <v>1021800</v>
      </c>
      <c r="CP55" s="230">
        <v>696400</v>
      </c>
      <c r="CQ55" s="229">
        <v>0.68149999999999999</v>
      </c>
      <c r="CR55" s="230">
        <v>1571500</v>
      </c>
      <c r="CS55" s="230">
        <v>878000</v>
      </c>
      <c r="CT55" s="230">
        <v>693500</v>
      </c>
      <c r="CU55" s="229">
        <v>0.78990000000000005</v>
      </c>
      <c r="CV55" s="230">
        <v>6040600</v>
      </c>
      <c r="CW55" s="230">
        <v>4510700</v>
      </c>
      <c r="CX55" s="230">
        <v>1529900</v>
      </c>
      <c r="CY55" s="229">
        <v>0.3392</v>
      </c>
      <c r="CZ55" s="228">
        <v>27.37</v>
      </c>
      <c r="DA55" s="228">
        <v>24.83</v>
      </c>
      <c r="DB55" s="228">
        <v>2.54</v>
      </c>
      <c r="DC55" s="228">
        <v>2.54</v>
      </c>
      <c r="DD55" s="228">
        <v>32.450000000000003</v>
      </c>
      <c r="DE55" s="228">
        <v>31.68</v>
      </c>
      <c r="DF55" s="228">
        <v>-5.08</v>
      </c>
      <c r="DG55" s="228">
        <v>0.77</v>
      </c>
      <c r="DH55" s="228">
        <v>26.71</v>
      </c>
      <c r="DI55" s="228">
        <v>24.74</v>
      </c>
      <c r="DJ55" s="228">
        <v>1.97</v>
      </c>
      <c r="DK55" s="228">
        <v>1.97</v>
      </c>
      <c r="DL55" s="228">
        <v>29.07</v>
      </c>
      <c r="DM55" s="228">
        <v>25.03</v>
      </c>
      <c r="DN55" s="228">
        <v>4.04</v>
      </c>
      <c r="DO55" s="228">
        <v>4.04</v>
      </c>
      <c r="DP55" s="228">
        <v>0.91</v>
      </c>
      <c r="DQ55" s="228">
        <v>0.86</v>
      </c>
      <c r="DR55" s="228">
        <v>0.05</v>
      </c>
      <c r="DS55" s="229">
        <v>5.8099999999999999E-2</v>
      </c>
      <c r="DT55" s="231">
        <v>7000</v>
      </c>
      <c r="DU55" s="231">
        <v>6000</v>
      </c>
      <c r="DV55" s="228">
        <v>0.39</v>
      </c>
      <c r="DW55" s="228">
        <v>0.46</v>
      </c>
      <c r="DX55" s="228">
        <v>-7.0000000000000007E-2</v>
      </c>
      <c r="DY55" s="229">
        <v>-0.1522</v>
      </c>
      <c r="DZ55" s="229">
        <v>2.5100000000000001E-2</v>
      </c>
      <c r="EA55" s="230">
        <v>63300</v>
      </c>
      <c r="EB55" s="229">
        <v>4.8999999999999998E-3</v>
      </c>
      <c r="EC55" s="229">
        <v>2.5100000000000001E-2</v>
      </c>
      <c r="ED55" s="228">
        <v>24.13</v>
      </c>
      <c r="EE55" s="229">
        <v>3.8E-3</v>
      </c>
      <c r="EF55" s="230">
        <v>798373</v>
      </c>
      <c r="EG55" s="230">
        <v>193764</v>
      </c>
      <c r="EH55" s="229">
        <v>3.1202999999999999</v>
      </c>
      <c r="EI55" s="229">
        <v>0.47039999999999998</v>
      </c>
      <c r="EJ55" s="231">
        <v>981184.89</v>
      </c>
      <c r="EK55" s="231">
        <v>352386.99</v>
      </c>
      <c r="EL55" s="231">
        <v>86371.98</v>
      </c>
      <c r="EM55" s="231">
        <v>6333</v>
      </c>
      <c r="EN55" s="231">
        <v>1419943.86</v>
      </c>
      <c r="EO55" s="231">
        <v>189211.63</v>
      </c>
      <c r="EP55" s="231">
        <v>1230732.23</v>
      </c>
      <c r="EQ55" s="229">
        <v>6.5045000000000002</v>
      </c>
      <c r="ER55" s="231">
        <v>113630</v>
      </c>
      <c r="ES55" s="231">
        <v>94771</v>
      </c>
      <c r="ET55" s="231">
        <v>178792</v>
      </c>
      <c r="EU55" s="231">
        <v>16353614</v>
      </c>
      <c r="EV55" s="231">
        <v>387193</v>
      </c>
      <c r="EW55" s="231">
        <v>277318</v>
      </c>
      <c r="EX55" s="231">
        <v>109875</v>
      </c>
      <c r="EY55" s="229">
        <v>0.3962</v>
      </c>
      <c r="EZ55" s="229">
        <v>0.36940000000000001</v>
      </c>
      <c r="FA55" s="227" t="s">
        <v>555</v>
      </c>
      <c r="FB55" s="161">
        <f t="shared" si="0"/>
        <v>69100</v>
      </c>
    </row>
    <row r="56" spans="1:158" ht="17.25" hidden="1" thickBot="1" x14ac:dyDescent="0.3">
      <c r="A56" s="226">
        <v>45940</v>
      </c>
      <c r="B56" s="227" t="s">
        <v>184</v>
      </c>
      <c r="C56" s="227" t="s">
        <v>512</v>
      </c>
      <c r="D56" s="228">
        <v>50</v>
      </c>
      <c r="E56" s="231">
        <v>17489</v>
      </c>
      <c r="F56" s="231">
        <v>17180</v>
      </c>
      <c r="G56" s="228">
        <v>309</v>
      </c>
      <c r="H56" s="229">
        <v>1.7999999999999999E-2</v>
      </c>
      <c r="I56" s="231">
        <v>17445</v>
      </c>
      <c r="J56" s="231">
        <v>17098</v>
      </c>
      <c r="K56" s="228">
        <v>347</v>
      </c>
      <c r="L56" s="229">
        <v>2.0299999999999999E-2</v>
      </c>
      <c r="M56" s="231">
        <v>17489</v>
      </c>
      <c r="N56" s="231">
        <v>17180</v>
      </c>
      <c r="O56" s="228">
        <v>309</v>
      </c>
      <c r="P56" s="229">
        <v>1.7999999999999999E-2</v>
      </c>
      <c r="Q56" s="231">
        <v>17580</v>
      </c>
      <c r="R56" s="231">
        <v>17276</v>
      </c>
      <c r="S56" s="228">
        <v>304</v>
      </c>
      <c r="T56" s="229">
        <v>1.7600000000000001E-2</v>
      </c>
      <c r="U56" s="231">
        <v>17680</v>
      </c>
      <c r="V56" s="231">
        <v>17368</v>
      </c>
      <c r="W56" s="228">
        <v>312</v>
      </c>
      <c r="X56" s="229">
        <v>1.7999999999999999E-2</v>
      </c>
      <c r="Y56" s="228">
        <v>44</v>
      </c>
      <c r="Z56" s="228">
        <v>82</v>
      </c>
      <c r="AA56" s="228">
        <v>-38</v>
      </c>
      <c r="AB56" s="229">
        <v>2.5000000000000001E-3</v>
      </c>
      <c r="AC56" s="228">
        <v>44</v>
      </c>
      <c r="AD56" s="228">
        <v>82</v>
      </c>
      <c r="AE56" s="228">
        <v>-38</v>
      </c>
      <c r="AF56" s="229">
        <v>2.5000000000000001E-3</v>
      </c>
      <c r="AG56" s="228">
        <v>135</v>
      </c>
      <c r="AH56" s="228">
        <v>178</v>
      </c>
      <c r="AI56" s="228">
        <v>-43</v>
      </c>
      <c r="AJ56" s="229">
        <v>7.7000000000000002E-3</v>
      </c>
      <c r="AK56" s="228">
        <v>235</v>
      </c>
      <c r="AL56" s="228">
        <v>270</v>
      </c>
      <c r="AM56" s="228">
        <v>-35</v>
      </c>
      <c r="AN56" s="229">
        <v>1.35E-2</v>
      </c>
      <c r="AO56" s="231">
        <v>17403.03</v>
      </c>
      <c r="AP56" s="231">
        <v>17481.62</v>
      </c>
      <c r="AQ56" s="228">
        <v>0</v>
      </c>
      <c r="AR56" s="230">
        <v>337350</v>
      </c>
      <c r="AS56" s="230">
        <v>180800</v>
      </c>
      <c r="AT56" s="230">
        <v>156550</v>
      </c>
      <c r="AU56" s="229">
        <v>0.8659</v>
      </c>
      <c r="AV56" s="230">
        <v>307000</v>
      </c>
      <c r="AW56" s="230">
        <v>164450</v>
      </c>
      <c r="AX56" s="230">
        <v>142550</v>
      </c>
      <c r="AY56" s="229">
        <v>0.86680000000000001</v>
      </c>
      <c r="AZ56" s="230">
        <v>26600</v>
      </c>
      <c r="BA56" s="230">
        <v>15200</v>
      </c>
      <c r="BB56" s="230">
        <v>11400</v>
      </c>
      <c r="BC56" s="229">
        <v>0.75</v>
      </c>
      <c r="BD56" s="230">
        <v>3750</v>
      </c>
      <c r="BE56" s="230">
        <v>1150</v>
      </c>
      <c r="BF56" s="230">
        <v>2600</v>
      </c>
      <c r="BG56" s="229">
        <v>2.2608999999999999</v>
      </c>
      <c r="BH56" s="230">
        <v>1686250</v>
      </c>
      <c r="BI56" s="230">
        <v>967350</v>
      </c>
      <c r="BJ56" s="230">
        <v>718900</v>
      </c>
      <c r="BK56" s="229">
        <v>0.74319999999999997</v>
      </c>
      <c r="BL56" s="230">
        <v>888100</v>
      </c>
      <c r="BM56" s="230">
        <v>616300</v>
      </c>
      <c r="BN56" s="230">
        <v>271800</v>
      </c>
      <c r="BO56" s="229">
        <v>0.441</v>
      </c>
      <c r="BP56" s="230">
        <v>2911700</v>
      </c>
      <c r="BQ56" s="230">
        <v>1764450</v>
      </c>
      <c r="BR56" s="230">
        <v>1147250</v>
      </c>
      <c r="BS56" s="229">
        <v>0.6502</v>
      </c>
      <c r="BT56" s="230">
        <v>250130</v>
      </c>
      <c r="BU56" s="230">
        <v>129634</v>
      </c>
      <c r="BV56" s="230">
        <v>120496</v>
      </c>
      <c r="BW56" s="229">
        <v>0.92949999999999999</v>
      </c>
      <c r="BX56" s="230">
        <v>1509950</v>
      </c>
      <c r="BY56" s="230">
        <v>1599500</v>
      </c>
      <c r="BZ56" s="230">
        <v>-89550</v>
      </c>
      <c r="CA56" s="229">
        <v>-5.6000000000000001E-2</v>
      </c>
      <c r="CB56" s="230">
        <v>1439600</v>
      </c>
      <c r="CC56" s="230">
        <v>1530200</v>
      </c>
      <c r="CD56" s="230">
        <v>-90600</v>
      </c>
      <c r="CE56" s="229">
        <v>-5.9200000000000003E-2</v>
      </c>
      <c r="CF56" s="230">
        <v>64700</v>
      </c>
      <c r="CG56" s="230">
        <v>64500</v>
      </c>
      <c r="CH56" s="228">
        <v>200</v>
      </c>
      <c r="CI56" s="229">
        <v>3.0999999999999999E-3</v>
      </c>
      <c r="CJ56" s="230">
        <v>5650</v>
      </c>
      <c r="CK56" s="230">
        <v>4800</v>
      </c>
      <c r="CL56" s="228">
        <v>850</v>
      </c>
      <c r="CM56" s="229">
        <v>0.17710000000000001</v>
      </c>
      <c r="CN56" s="230">
        <v>797950</v>
      </c>
      <c r="CO56" s="230">
        <v>897600</v>
      </c>
      <c r="CP56" s="230">
        <v>-99650</v>
      </c>
      <c r="CQ56" s="229">
        <v>-0.111</v>
      </c>
      <c r="CR56" s="230">
        <v>766700</v>
      </c>
      <c r="CS56" s="230">
        <v>733750</v>
      </c>
      <c r="CT56" s="230">
        <v>32950</v>
      </c>
      <c r="CU56" s="229">
        <v>4.4900000000000002E-2</v>
      </c>
      <c r="CV56" s="230">
        <v>3074600</v>
      </c>
      <c r="CW56" s="230">
        <v>3230850</v>
      </c>
      <c r="CX56" s="230">
        <v>-156250</v>
      </c>
      <c r="CY56" s="229">
        <v>-4.8399999999999999E-2</v>
      </c>
      <c r="CZ56" s="228">
        <v>30.44</v>
      </c>
      <c r="DA56" s="228">
        <v>31.9</v>
      </c>
      <c r="DB56" s="228">
        <v>-1.46</v>
      </c>
      <c r="DC56" s="228">
        <v>-1.46</v>
      </c>
      <c r="DD56" s="228">
        <v>45.27</v>
      </c>
      <c r="DE56" s="228">
        <v>45.31</v>
      </c>
      <c r="DF56" s="228">
        <v>-14.83</v>
      </c>
      <c r="DG56" s="228">
        <v>-0.04</v>
      </c>
      <c r="DH56" s="228">
        <v>29.37</v>
      </c>
      <c r="DI56" s="228">
        <v>30.98</v>
      </c>
      <c r="DJ56" s="228">
        <v>-1.61</v>
      </c>
      <c r="DK56" s="228">
        <v>-1.61</v>
      </c>
      <c r="DL56" s="228">
        <v>32.46</v>
      </c>
      <c r="DM56" s="228">
        <v>33.35</v>
      </c>
      <c r="DN56" s="228">
        <v>-0.89</v>
      </c>
      <c r="DO56" s="228">
        <v>-0.89</v>
      </c>
      <c r="DP56" s="228">
        <v>0.96</v>
      </c>
      <c r="DQ56" s="228">
        <v>0.82</v>
      </c>
      <c r="DR56" s="228">
        <v>0.14000000000000001</v>
      </c>
      <c r="DS56" s="229">
        <v>0.17069999999999999</v>
      </c>
      <c r="DT56" s="231">
        <v>20000</v>
      </c>
      <c r="DU56" s="231">
        <v>17000</v>
      </c>
      <c r="DV56" s="228">
        <v>0.53</v>
      </c>
      <c r="DW56" s="228">
        <v>0.64</v>
      </c>
      <c r="DX56" s="228">
        <v>-0.11</v>
      </c>
      <c r="DY56" s="229">
        <v>-0.1719</v>
      </c>
      <c r="DZ56" s="229">
        <v>4.6600000000000003E-2</v>
      </c>
      <c r="EA56" s="230">
        <v>69300</v>
      </c>
      <c r="EB56" s="229">
        <v>5.1999999999999998E-3</v>
      </c>
      <c r="EC56" s="229">
        <v>4.6600000000000003E-2</v>
      </c>
      <c r="ED56" s="228">
        <v>78.59</v>
      </c>
      <c r="EE56" s="229">
        <v>4.4999999999999997E-3</v>
      </c>
      <c r="EF56" s="230">
        <v>128324</v>
      </c>
      <c r="EG56" s="230">
        <v>42389</v>
      </c>
      <c r="EH56" s="229">
        <v>2.0272999999999999</v>
      </c>
      <c r="EI56" s="229">
        <v>0.51300000000000001</v>
      </c>
      <c r="EJ56" s="231">
        <v>307835.09000000003</v>
      </c>
      <c r="EK56" s="231">
        <v>146841.62</v>
      </c>
      <c r="EL56" s="231">
        <v>58737.22</v>
      </c>
      <c r="EM56" s="231">
        <v>5656</v>
      </c>
      <c r="EN56" s="231">
        <v>513413.93</v>
      </c>
      <c r="EO56" s="231">
        <v>305798.73</v>
      </c>
      <c r="EP56" s="231">
        <v>207615.2</v>
      </c>
      <c r="EQ56" s="229">
        <v>0.67889999999999995</v>
      </c>
      <c r="ER56" s="231">
        <v>145392</v>
      </c>
      <c r="ES56" s="231">
        <v>124113</v>
      </c>
      <c r="ET56" s="231">
        <v>264145</v>
      </c>
      <c r="EU56" s="231">
        <v>6445442</v>
      </c>
      <c r="EV56" s="231">
        <v>533649</v>
      </c>
      <c r="EW56" s="231">
        <v>556251</v>
      </c>
      <c r="EX56" s="231">
        <v>-22602</v>
      </c>
      <c r="EY56" s="229">
        <v>-4.0599999999999997E-2</v>
      </c>
      <c r="EZ56" s="229">
        <v>0.47699999999999998</v>
      </c>
      <c r="FA56" s="227" t="s">
        <v>556</v>
      </c>
      <c r="FB56" s="161">
        <f t="shared" si="0"/>
        <v>70350</v>
      </c>
    </row>
    <row r="57" spans="1:158" ht="17.25" hidden="1" thickBot="1" x14ac:dyDescent="0.3">
      <c r="A57" s="226">
        <v>45940</v>
      </c>
      <c r="B57" s="227" t="s">
        <v>206</v>
      </c>
      <c r="C57" s="227" t="s">
        <v>207</v>
      </c>
      <c r="D57" s="228">
        <v>825</v>
      </c>
      <c r="E57" s="228">
        <v>742.6</v>
      </c>
      <c r="F57" s="228">
        <v>733.1</v>
      </c>
      <c r="G57" s="228">
        <v>9.5</v>
      </c>
      <c r="H57" s="229">
        <v>1.2999999999999999E-2</v>
      </c>
      <c r="I57" s="228">
        <v>740.2</v>
      </c>
      <c r="J57" s="228">
        <v>729</v>
      </c>
      <c r="K57" s="228">
        <v>11.2</v>
      </c>
      <c r="L57" s="229">
        <v>1.54E-2</v>
      </c>
      <c r="M57" s="228">
        <v>742.6</v>
      </c>
      <c r="N57" s="228">
        <v>733.1</v>
      </c>
      <c r="O57" s="228">
        <v>9.5</v>
      </c>
      <c r="P57" s="229">
        <v>1.2999999999999999E-2</v>
      </c>
      <c r="Q57" s="228">
        <v>746.6</v>
      </c>
      <c r="R57" s="228">
        <v>737.3</v>
      </c>
      <c r="S57" s="228">
        <v>9.3000000000000007</v>
      </c>
      <c r="T57" s="229">
        <v>1.26E-2</v>
      </c>
      <c r="U57" s="228">
        <v>750.95</v>
      </c>
      <c r="V57" s="228">
        <v>740.45</v>
      </c>
      <c r="W57" s="228">
        <v>10.5</v>
      </c>
      <c r="X57" s="229">
        <v>1.4200000000000001E-2</v>
      </c>
      <c r="Y57" s="228">
        <v>2.4</v>
      </c>
      <c r="Z57" s="228">
        <v>4.0999999999999996</v>
      </c>
      <c r="AA57" s="228">
        <v>-1.7</v>
      </c>
      <c r="AB57" s="229">
        <v>3.2000000000000002E-3</v>
      </c>
      <c r="AC57" s="228">
        <v>2.4</v>
      </c>
      <c r="AD57" s="228">
        <v>4.0999999999999996</v>
      </c>
      <c r="AE57" s="228">
        <v>-1.7</v>
      </c>
      <c r="AF57" s="229">
        <v>3.2000000000000002E-3</v>
      </c>
      <c r="AG57" s="228">
        <v>6.4</v>
      </c>
      <c r="AH57" s="228">
        <v>8.3000000000000007</v>
      </c>
      <c r="AI57" s="228">
        <v>-1.9</v>
      </c>
      <c r="AJ57" s="229">
        <v>8.6E-3</v>
      </c>
      <c r="AK57" s="228">
        <v>10.75</v>
      </c>
      <c r="AL57" s="228">
        <v>11.45</v>
      </c>
      <c r="AM57" s="228">
        <v>-0.7</v>
      </c>
      <c r="AN57" s="229">
        <v>1.4500000000000001E-2</v>
      </c>
      <c r="AO57" s="228">
        <v>742.67</v>
      </c>
      <c r="AP57" s="228">
        <v>747.52</v>
      </c>
      <c r="AQ57" s="228">
        <v>0</v>
      </c>
      <c r="AR57" s="230">
        <v>6883800</v>
      </c>
      <c r="AS57" s="230">
        <v>4558125</v>
      </c>
      <c r="AT57" s="230">
        <v>2325675</v>
      </c>
      <c r="AU57" s="229">
        <v>0.51019999999999999</v>
      </c>
      <c r="AV57" s="230">
        <v>6342600</v>
      </c>
      <c r="AW57" s="230">
        <v>4268550</v>
      </c>
      <c r="AX57" s="230">
        <v>2074050</v>
      </c>
      <c r="AY57" s="229">
        <v>0.4859</v>
      </c>
      <c r="AZ57" s="230">
        <v>476025</v>
      </c>
      <c r="BA57" s="230">
        <v>261525</v>
      </c>
      <c r="BB57" s="230">
        <v>214500</v>
      </c>
      <c r="BC57" s="229">
        <v>0.82020000000000004</v>
      </c>
      <c r="BD57" s="230">
        <v>65175</v>
      </c>
      <c r="BE57" s="230">
        <v>28050</v>
      </c>
      <c r="BF57" s="230">
        <v>37125</v>
      </c>
      <c r="BG57" s="229">
        <v>1.3234999999999999</v>
      </c>
      <c r="BH57" s="230">
        <v>26532825</v>
      </c>
      <c r="BI57" s="230">
        <v>10950225</v>
      </c>
      <c r="BJ57" s="230">
        <v>15582600</v>
      </c>
      <c r="BK57" s="229">
        <v>1.423</v>
      </c>
      <c r="BL57" s="230">
        <v>10626000</v>
      </c>
      <c r="BM57" s="230">
        <v>3606075</v>
      </c>
      <c r="BN57" s="230">
        <v>7019925</v>
      </c>
      <c r="BO57" s="229">
        <v>1.9467000000000001</v>
      </c>
      <c r="BP57" s="230">
        <v>44042625</v>
      </c>
      <c r="BQ57" s="230">
        <v>19114425</v>
      </c>
      <c r="BR57" s="230">
        <v>24928200</v>
      </c>
      <c r="BS57" s="229">
        <v>1.3042</v>
      </c>
      <c r="BT57" s="230">
        <v>2210996</v>
      </c>
      <c r="BU57" s="230">
        <v>2057951</v>
      </c>
      <c r="BV57" s="230">
        <v>153045</v>
      </c>
      <c r="BW57" s="229">
        <v>7.4399999999999994E-2</v>
      </c>
      <c r="BX57" s="230">
        <v>42036225</v>
      </c>
      <c r="BY57" s="230">
        <v>42898350</v>
      </c>
      <c r="BZ57" s="230">
        <v>-862125</v>
      </c>
      <c r="CA57" s="229">
        <v>-2.01E-2</v>
      </c>
      <c r="CB57" s="230">
        <v>40655175</v>
      </c>
      <c r="CC57" s="230">
        <v>41436450</v>
      </c>
      <c r="CD57" s="230">
        <v>-781275</v>
      </c>
      <c r="CE57" s="229">
        <v>-1.89E-2</v>
      </c>
      <c r="CF57" s="230">
        <v>1292775</v>
      </c>
      <c r="CG57" s="230">
        <v>1388475</v>
      </c>
      <c r="CH57" s="230">
        <v>-95700</v>
      </c>
      <c r="CI57" s="229">
        <v>-6.8900000000000003E-2</v>
      </c>
      <c r="CJ57" s="230">
        <v>88275</v>
      </c>
      <c r="CK57" s="230">
        <v>73425</v>
      </c>
      <c r="CL57" s="230">
        <v>14850</v>
      </c>
      <c r="CM57" s="229">
        <v>0.20219999999999999</v>
      </c>
      <c r="CN57" s="230">
        <v>16212900</v>
      </c>
      <c r="CO57" s="230">
        <v>16302000</v>
      </c>
      <c r="CP57" s="230">
        <v>-89100</v>
      </c>
      <c r="CQ57" s="229">
        <v>-5.4999999999999997E-3</v>
      </c>
      <c r="CR57" s="230">
        <v>10488225</v>
      </c>
      <c r="CS57" s="230">
        <v>10440375</v>
      </c>
      <c r="CT57" s="230">
        <v>47850</v>
      </c>
      <c r="CU57" s="229">
        <v>4.5999999999999999E-3</v>
      </c>
      <c r="CV57" s="230">
        <v>68737350</v>
      </c>
      <c r="CW57" s="230">
        <v>69640725</v>
      </c>
      <c r="CX57" s="230">
        <v>-903375</v>
      </c>
      <c r="CY57" s="229">
        <v>-1.2999999999999999E-2</v>
      </c>
      <c r="CZ57" s="228">
        <v>26.35</v>
      </c>
      <c r="DA57" s="228">
        <v>27.35</v>
      </c>
      <c r="DB57" s="228">
        <v>-1</v>
      </c>
      <c r="DC57" s="228">
        <v>-1</v>
      </c>
      <c r="DD57" s="228">
        <v>37.18</v>
      </c>
      <c r="DE57" s="228">
        <v>37.21</v>
      </c>
      <c r="DF57" s="228">
        <v>-10.83</v>
      </c>
      <c r="DG57" s="228">
        <v>-0.03</v>
      </c>
      <c r="DH57" s="228">
        <v>26.15</v>
      </c>
      <c r="DI57" s="228">
        <v>27.32</v>
      </c>
      <c r="DJ57" s="228">
        <v>-1.17</v>
      </c>
      <c r="DK57" s="228">
        <v>-1.17</v>
      </c>
      <c r="DL57" s="228">
        <v>26.84</v>
      </c>
      <c r="DM57" s="228">
        <v>27.41</v>
      </c>
      <c r="DN57" s="228">
        <v>-0.56999999999999995</v>
      </c>
      <c r="DO57" s="228">
        <v>-0.56999999999999995</v>
      </c>
      <c r="DP57" s="228">
        <v>0.65</v>
      </c>
      <c r="DQ57" s="228">
        <v>0.64</v>
      </c>
      <c r="DR57" s="228">
        <v>0.01</v>
      </c>
      <c r="DS57" s="229">
        <v>1.5599999999999999E-2</v>
      </c>
      <c r="DT57" s="228">
        <v>800</v>
      </c>
      <c r="DU57" s="228">
        <v>720</v>
      </c>
      <c r="DV57" s="228">
        <v>0.4</v>
      </c>
      <c r="DW57" s="228">
        <v>0.33</v>
      </c>
      <c r="DX57" s="228">
        <v>7.0000000000000007E-2</v>
      </c>
      <c r="DY57" s="229">
        <v>0.21210000000000001</v>
      </c>
      <c r="DZ57" s="229">
        <v>3.2899999999999999E-2</v>
      </c>
      <c r="EA57" s="230">
        <v>1461900</v>
      </c>
      <c r="EB57" s="229">
        <v>5.4000000000000003E-3</v>
      </c>
      <c r="EC57" s="229">
        <v>3.2899999999999999E-2</v>
      </c>
      <c r="ED57" s="228">
        <v>4.8499999999999996</v>
      </c>
      <c r="EE57" s="229">
        <v>6.4999999999999997E-3</v>
      </c>
      <c r="EF57" s="230">
        <v>694988</v>
      </c>
      <c r="EG57" s="230">
        <v>1025325</v>
      </c>
      <c r="EH57" s="229">
        <v>-0.32219999999999999</v>
      </c>
      <c r="EI57" s="229">
        <v>0.31430000000000002</v>
      </c>
      <c r="EJ57" s="231">
        <v>204509.31</v>
      </c>
      <c r="EK57" s="231">
        <v>77071.81</v>
      </c>
      <c r="EL57" s="231">
        <v>51152.71</v>
      </c>
      <c r="EM57" s="231">
        <v>5927</v>
      </c>
      <c r="EN57" s="231">
        <v>332733.83</v>
      </c>
      <c r="EO57" s="231">
        <v>143074.95000000001</v>
      </c>
      <c r="EP57" s="231">
        <v>189658.88</v>
      </c>
      <c r="EQ57" s="229">
        <v>1.3255999999999999</v>
      </c>
      <c r="ER57" s="231">
        <v>124640</v>
      </c>
      <c r="ES57" s="231">
        <v>76365</v>
      </c>
      <c r="ET57" s="231">
        <v>312220</v>
      </c>
      <c r="EU57" s="231">
        <v>83667734</v>
      </c>
      <c r="EV57" s="231">
        <v>513225</v>
      </c>
      <c r="EW57" s="231">
        <v>515015</v>
      </c>
      <c r="EX57" s="231">
        <v>-1790</v>
      </c>
      <c r="EY57" s="229">
        <v>-3.5000000000000001E-3</v>
      </c>
      <c r="EZ57" s="229">
        <v>0.8216</v>
      </c>
      <c r="FA57" s="227" t="s">
        <v>556</v>
      </c>
      <c r="FB57" s="161">
        <f t="shared" si="0"/>
        <v>1381050</v>
      </c>
    </row>
    <row r="58" spans="1:158" ht="17.25" hidden="1" thickBot="1" x14ac:dyDescent="0.3">
      <c r="A58" s="226">
        <v>45940</v>
      </c>
      <c r="B58" s="227" t="s">
        <v>616</v>
      </c>
      <c r="C58" s="227" t="s">
        <v>584</v>
      </c>
      <c r="D58" s="228">
        <v>150</v>
      </c>
      <c r="E58" s="231">
        <v>4337.7</v>
      </c>
      <c r="F58" s="231">
        <v>4316.8999999999996</v>
      </c>
      <c r="G58" s="228">
        <v>20.8</v>
      </c>
      <c r="H58" s="229">
        <v>4.7999999999999996E-3</v>
      </c>
      <c r="I58" s="231">
        <v>4320.3999999999996</v>
      </c>
      <c r="J58" s="231">
        <v>4305.1000000000004</v>
      </c>
      <c r="K58" s="228">
        <v>15.3</v>
      </c>
      <c r="L58" s="229">
        <v>3.5999999999999999E-3</v>
      </c>
      <c r="M58" s="231">
        <v>4337.7</v>
      </c>
      <c r="N58" s="231">
        <v>4316.8999999999996</v>
      </c>
      <c r="O58" s="228">
        <v>20.8</v>
      </c>
      <c r="P58" s="229">
        <v>4.7999999999999996E-3</v>
      </c>
      <c r="Q58" s="231">
        <v>4316.3</v>
      </c>
      <c r="R58" s="231">
        <v>4289.6000000000004</v>
      </c>
      <c r="S58" s="228">
        <v>26.7</v>
      </c>
      <c r="T58" s="229">
        <v>6.1999999999999998E-3</v>
      </c>
      <c r="U58" s="231">
        <v>4301.6000000000004</v>
      </c>
      <c r="V58" s="231">
        <v>4272.5</v>
      </c>
      <c r="W58" s="228">
        <v>29.1</v>
      </c>
      <c r="X58" s="229">
        <v>6.7999999999999996E-3</v>
      </c>
      <c r="Y58" s="228">
        <v>17.3</v>
      </c>
      <c r="Z58" s="228">
        <v>11.8</v>
      </c>
      <c r="AA58" s="228">
        <v>5.5</v>
      </c>
      <c r="AB58" s="229">
        <v>4.0000000000000001E-3</v>
      </c>
      <c r="AC58" s="228">
        <v>17.3</v>
      </c>
      <c r="AD58" s="228">
        <v>11.8</v>
      </c>
      <c r="AE58" s="228">
        <v>5.5</v>
      </c>
      <c r="AF58" s="229">
        <v>4.0000000000000001E-3</v>
      </c>
      <c r="AG58" s="228">
        <v>-4.0999999999999996</v>
      </c>
      <c r="AH58" s="228">
        <v>-15.5</v>
      </c>
      <c r="AI58" s="228">
        <v>11.4</v>
      </c>
      <c r="AJ58" s="229">
        <v>-8.9999999999999998E-4</v>
      </c>
      <c r="AK58" s="228">
        <v>-18.8</v>
      </c>
      <c r="AL58" s="228">
        <v>-32.6</v>
      </c>
      <c r="AM58" s="228">
        <v>13.8</v>
      </c>
      <c r="AN58" s="229">
        <v>-4.4000000000000003E-3</v>
      </c>
      <c r="AO58" s="231">
        <v>4350.29</v>
      </c>
      <c r="AP58" s="231">
        <v>4320.34</v>
      </c>
      <c r="AQ58" s="228">
        <v>0</v>
      </c>
      <c r="AR58" s="230">
        <v>1081950</v>
      </c>
      <c r="AS58" s="230">
        <v>444450</v>
      </c>
      <c r="AT58" s="230">
        <v>637500</v>
      </c>
      <c r="AU58" s="229">
        <v>1.4343999999999999</v>
      </c>
      <c r="AV58" s="230">
        <v>979650</v>
      </c>
      <c r="AW58" s="230">
        <v>373650</v>
      </c>
      <c r="AX58" s="230">
        <v>606000</v>
      </c>
      <c r="AY58" s="229">
        <v>1.6217999999999999</v>
      </c>
      <c r="AZ58" s="230">
        <v>89400</v>
      </c>
      <c r="BA58" s="230">
        <v>67950</v>
      </c>
      <c r="BB58" s="230">
        <v>21450</v>
      </c>
      <c r="BC58" s="229">
        <v>0.31569999999999998</v>
      </c>
      <c r="BD58" s="230">
        <v>12900</v>
      </c>
      <c r="BE58" s="230">
        <v>2850</v>
      </c>
      <c r="BF58" s="230">
        <v>10050</v>
      </c>
      <c r="BG58" s="229">
        <v>3.5263</v>
      </c>
      <c r="BH58" s="230">
        <v>6924900</v>
      </c>
      <c r="BI58" s="230">
        <v>1597350</v>
      </c>
      <c r="BJ58" s="230">
        <v>5327550</v>
      </c>
      <c r="BK58" s="229">
        <v>3.3351999999999999</v>
      </c>
      <c r="BL58" s="230">
        <v>3068550</v>
      </c>
      <c r="BM58" s="230">
        <v>605250</v>
      </c>
      <c r="BN58" s="230">
        <v>2463300</v>
      </c>
      <c r="BO58" s="229">
        <v>4.0698999999999996</v>
      </c>
      <c r="BP58" s="230">
        <v>11075400</v>
      </c>
      <c r="BQ58" s="230">
        <v>2647050</v>
      </c>
      <c r="BR58" s="230">
        <v>8428350</v>
      </c>
      <c r="BS58" s="229">
        <v>3.1840999999999999</v>
      </c>
      <c r="BT58" s="230">
        <v>442751</v>
      </c>
      <c r="BU58" s="230">
        <v>229406</v>
      </c>
      <c r="BV58" s="230">
        <v>213345</v>
      </c>
      <c r="BW58" s="229">
        <v>0.93</v>
      </c>
      <c r="BX58" s="230">
        <v>6201000</v>
      </c>
      <c r="BY58" s="230">
        <v>6062400</v>
      </c>
      <c r="BZ58" s="230">
        <v>138600</v>
      </c>
      <c r="CA58" s="229">
        <v>2.29E-2</v>
      </c>
      <c r="CB58" s="230">
        <v>5959950</v>
      </c>
      <c r="CC58" s="230">
        <v>5858700</v>
      </c>
      <c r="CD58" s="230">
        <v>101250</v>
      </c>
      <c r="CE58" s="229">
        <v>1.7299999999999999E-2</v>
      </c>
      <c r="CF58" s="230">
        <v>220650</v>
      </c>
      <c r="CG58" s="230">
        <v>190350</v>
      </c>
      <c r="CH58" s="230">
        <v>30300</v>
      </c>
      <c r="CI58" s="229">
        <v>0.15920000000000001</v>
      </c>
      <c r="CJ58" s="230">
        <v>20400</v>
      </c>
      <c r="CK58" s="230">
        <v>13350</v>
      </c>
      <c r="CL58" s="230">
        <v>7050</v>
      </c>
      <c r="CM58" s="229">
        <v>0.52810000000000001</v>
      </c>
      <c r="CN58" s="230">
        <v>2814000</v>
      </c>
      <c r="CO58" s="230">
        <v>2041800</v>
      </c>
      <c r="CP58" s="230">
        <v>772200</v>
      </c>
      <c r="CQ58" s="229">
        <v>0.37819999999999998</v>
      </c>
      <c r="CR58" s="230">
        <v>1608600</v>
      </c>
      <c r="CS58" s="230">
        <v>1143450</v>
      </c>
      <c r="CT58" s="230">
        <v>465150</v>
      </c>
      <c r="CU58" s="229">
        <v>0.40679999999999999</v>
      </c>
      <c r="CV58" s="230">
        <v>10623600</v>
      </c>
      <c r="CW58" s="230">
        <v>9247650</v>
      </c>
      <c r="CX58" s="230">
        <v>1375950</v>
      </c>
      <c r="CY58" s="229">
        <v>0.14879999999999999</v>
      </c>
      <c r="CZ58" s="228">
        <v>31.79</v>
      </c>
      <c r="DA58" s="228">
        <v>33.1</v>
      </c>
      <c r="DB58" s="228">
        <v>-1.31</v>
      </c>
      <c r="DC58" s="228">
        <v>-1.31</v>
      </c>
      <c r="DD58" s="228">
        <v>32.86</v>
      </c>
      <c r="DE58" s="228">
        <v>32.94</v>
      </c>
      <c r="DF58" s="228">
        <v>-1.07</v>
      </c>
      <c r="DG58" s="228">
        <v>-0.08</v>
      </c>
      <c r="DH58" s="228">
        <v>32.04</v>
      </c>
      <c r="DI58" s="228">
        <v>33.159999999999997</v>
      </c>
      <c r="DJ58" s="228">
        <v>-1.1200000000000001</v>
      </c>
      <c r="DK58" s="228">
        <v>-1.1200000000000001</v>
      </c>
      <c r="DL58" s="228">
        <v>31.23</v>
      </c>
      <c r="DM58" s="228">
        <v>32.94</v>
      </c>
      <c r="DN58" s="228">
        <v>-1.71</v>
      </c>
      <c r="DO58" s="228">
        <v>-1.71</v>
      </c>
      <c r="DP58" s="228">
        <v>0.56999999999999995</v>
      </c>
      <c r="DQ58" s="228">
        <v>0.56000000000000005</v>
      </c>
      <c r="DR58" s="228">
        <v>0.01</v>
      </c>
      <c r="DS58" s="229">
        <v>1.7899999999999999E-2</v>
      </c>
      <c r="DT58" s="231">
        <v>4700</v>
      </c>
      <c r="DU58" s="231">
        <v>4000</v>
      </c>
      <c r="DV58" s="228">
        <v>0.44</v>
      </c>
      <c r="DW58" s="228">
        <v>0.38</v>
      </c>
      <c r="DX58" s="228">
        <v>0.06</v>
      </c>
      <c r="DY58" s="229">
        <v>0.15790000000000001</v>
      </c>
      <c r="DZ58" s="229">
        <v>3.8899999999999997E-2</v>
      </c>
      <c r="EA58" s="230">
        <v>203700</v>
      </c>
      <c r="EB58" s="229">
        <v>-4.8999999999999998E-3</v>
      </c>
      <c r="EC58" s="229">
        <v>3.8899999999999997E-2</v>
      </c>
      <c r="ED58" s="228">
        <v>-29.95</v>
      </c>
      <c r="EE58" s="229">
        <v>-6.8999999999999999E-3</v>
      </c>
      <c r="EF58" s="230">
        <v>226694</v>
      </c>
      <c r="EG58" s="230">
        <v>115481</v>
      </c>
      <c r="EH58" s="229">
        <v>0.96299999999999997</v>
      </c>
      <c r="EI58" s="229">
        <v>0.51200000000000001</v>
      </c>
      <c r="EJ58" s="231">
        <v>320071.90999999997</v>
      </c>
      <c r="EK58" s="231">
        <v>130059.77</v>
      </c>
      <c r="EL58" s="231">
        <v>47035.41</v>
      </c>
      <c r="EM58" s="231">
        <v>5242</v>
      </c>
      <c r="EN58" s="231">
        <v>497167.09</v>
      </c>
      <c r="EO58" s="231">
        <v>117730.3</v>
      </c>
      <c r="EP58" s="231">
        <v>379436.79</v>
      </c>
      <c r="EQ58" s="229">
        <v>3.2229000000000001</v>
      </c>
      <c r="ER58" s="231">
        <v>130702</v>
      </c>
      <c r="ES58" s="231">
        <v>66919</v>
      </c>
      <c r="ET58" s="231">
        <v>268926</v>
      </c>
      <c r="EU58" s="231">
        <v>22136392</v>
      </c>
      <c r="EV58" s="231">
        <v>466548</v>
      </c>
      <c r="EW58" s="231">
        <v>404086</v>
      </c>
      <c r="EX58" s="231">
        <v>62462</v>
      </c>
      <c r="EY58" s="229">
        <v>0.15459999999999999</v>
      </c>
      <c r="EZ58" s="229">
        <v>0.47989999999999999</v>
      </c>
      <c r="FA58" s="227" t="s">
        <v>555</v>
      </c>
      <c r="FB58" s="161">
        <f t="shared" si="0"/>
        <v>241050</v>
      </c>
    </row>
    <row r="59" spans="1:158" ht="17.25" hidden="1" thickBot="1" x14ac:dyDescent="0.3">
      <c r="A59" s="226">
        <v>45940</v>
      </c>
      <c r="B59" s="227" t="s">
        <v>170</v>
      </c>
      <c r="C59" s="227" t="s">
        <v>208</v>
      </c>
      <c r="D59" s="228">
        <v>625</v>
      </c>
      <c r="E59" s="231">
        <v>1270.9000000000001</v>
      </c>
      <c r="F59" s="231">
        <v>1252.9000000000001</v>
      </c>
      <c r="G59" s="228">
        <v>18</v>
      </c>
      <c r="H59" s="229">
        <v>1.44E-2</v>
      </c>
      <c r="I59" s="231">
        <v>1264.4000000000001</v>
      </c>
      <c r="J59" s="231">
        <v>1246.0999999999999</v>
      </c>
      <c r="K59" s="228">
        <v>18.3</v>
      </c>
      <c r="L59" s="229">
        <v>1.47E-2</v>
      </c>
      <c r="M59" s="231">
        <v>1270.9000000000001</v>
      </c>
      <c r="N59" s="231">
        <v>1252.9000000000001</v>
      </c>
      <c r="O59" s="228">
        <v>18</v>
      </c>
      <c r="P59" s="229">
        <v>1.44E-2</v>
      </c>
      <c r="Q59" s="231">
        <v>1274.5999999999999</v>
      </c>
      <c r="R59" s="231">
        <v>1256.4000000000001</v>
      </c>
      <c r="S59" s="228">
        <v>18.2</v>
      </c>
      <c r="T59" s="229">
        <v>1.4500000000000001E-2</v>
      </c>
      <c r="U59" s="231">
        <v>1279.2</v>
      </c>
      <c r="V59" s="231">
        <v>1257.8</v>
      </c>
      <c r="W59" s="228">
        <v>21.4</v>
      </c>
      <c r="X59" s="229">
        <v>1.7000000000000001E-2</v>
      </c>
      <c r="Y59" s="228">
        <v>6.5</v>
      </c>
      <c r="Z59" s="228">
        <v>6.8</v>
      </c>
      <c r="AA59" s="228">
        <v>-0.3</v>
      </c>
      <c r="AB59" s="229">
        <v>5.1000000000000004E-3</v>
      </c>
      <c r="AC59" s="228">
        <v>6.5</v>
      </c>
      <c r="AD59" s="228">
        <v>6.8</v>
      </c>
      <c r="AE59" s="228">
        <v>-0.3</v>
      </c>
      <c r="AF59" s="229">
        <v>5.1000000000000004E-3</v>
      </c>
      <c r="AG59" s="228">
        <v>10.199999999999999</v>
      </c>
      <c r="AH59" s="228">
        <v>10.3</v>
      </c>
      <c r="AI59" s="228">
        <v>-0.1</v>
      </c>
      <c r="AJ59" s="229">
        <v>8.0999999999999996E-3</v>
      </c>
      <c r="AK59" s="228">
        <v>14.8</v>
      </c>
      <c r="AL59" s="228">
        <v>11.7</v>
      </c>
      <c r="AM59" s="228">
        <v>3.1</v>
      </c>
      <c r="AN59" s="229">
        <v>1.17E-2</v>
      </c>
      <c r="AO59" s="231">
        <v>1266.72</v>
      </c>
      <c r="AP59" s="231">
        <v>1271.6600000000001</v>
      </c>
      <c r="AQ59" s="228">
        <v>0</v>
      </c>
      <c r="AR59" s="230">
        <v>2413750</v>
      </c>
      <c r="AS59" s="230">
        <v>3210625</v>
      </c>
      <c r="AT59" s="230">
        <v>-796875</v>
      </c>
      <c r="AU59" s="229">
        <v>-0.2482</v>
      </c>
      <c r="AV59" s="230">
        <v>2273750</v>
      </c>
      <c r="AW59" s="230">
        <v>3023125</v>
      </c>
      <c r="AX59" s="230">
        <v>-749375</v>
      </c>
      <c r="AY59" s="229">
        <v>-0.24790000000000001</v>
      </c>
      <c r="AZ59" s="230">
        <v>116250</v>
      </c>
      <c r="BA59" s="230">
        <v>183125</v>
      </c>
      <c r="BB59" s="230">
        <v>-66875</v>
      </c>
      <c r="BC59" s="229">
        <v>-0.36520000000000002</v>
      </c>
      <c r="BD59" s="230">
        <v>23750</v>
      </c>
      <c r="BE59" s="230">
        <v>4375</v>
      </c>
      <c r="BF59" s="230">
        <v>19375</v>
      </c>
      <c r="BG59" s="229">
        <v>4.4286000000000003</v>
      </c>
      <c r="BH59" s="230">
        <v>7698750</v>
      </c>
      <c r="BI59" s="230">
        <v>13688125</v>
      </c>
      <c r="BJ59" s="230">
        <v>-5989375</v>
      </c>
      <c r="BK59" s="229">
        <v>-0.43759999999999999</v>
      </c>
      <c r="BL59" s="230">
        <v>2741250</v>
      </c>
      <c r="BM59" s="230">
        <v>3806250</v>
      </c>
      <c r="BN59" s="230">
        <v>-1065000</v>
      </c>
      <c r="BO59" s="229">
        <v>-0.27979999999999999</v>
      </c>
      <c r="BP59" s="230">
        <v>12853750</v>
      </c>
      <c r="BQ59" s="230">
        <v>20705000</v>
      </c>
      <c r="BR59" s="230">
        <v>-7851250</v>
      </c>
      <c r="BS59" s="229">
        <v>-0.37919999999999998</v>
      </c>
      <c r="BT59" s="230">
        <v>1724902</v>
      </c>
      <c r="BU59" s="230">
        <v>2789764</v>
      </c>
      <c r="BV59" s="230">
        <v>-1064862</v>
      </c>
      <c r="BW59" s="229">
        <v>-0.38169999999999998</v>
      </c>
      <c r="BX59" s="230">
        <v>12598750</v>
      </c>
      <c r="BY59" s="230">
        <v>12480000</v>
      </c>
      <c r="BZ59" s="230">
        <v>118750</v>
      </c>
      <c r="CA59" s="229">
        <v>9.4999999999999998E-3</v>
      </c>
      <c r="CB59" s="230">
        <v>12370625</v>
      </c>
      <c r="CC59" s="230">
        <v>12285000</v>
      </c>
      <c r="CD59" s="230">
        <v>85625</v>
      </c>
      <c r="CE59" s="229">
        <v>7.0000000000000001E-3</v>
      </c>
      <c r="CF59" s="230">
        <v>200625</v>
      </c>
      <c r="CG59" s="230">
        <v>184375</v>
      </c>
      <c r="CH59" s="230">
        <v>16250</v>
      </c>
      <c r="CI59" s="229">
        <v>8.8099999999999998E-2</v>
      </c>
      <c r="CJ59" s="230">
        <v>27500</v>
      </c>
      <c r="CK59" s="230">
        <v>10625</v>
      </c>
      <c r="CL59" s="230">
        <v>16875</v>
      </c>
      <c r="CM59" s="229">
        <v>1.5882000000000001</v>
      </c>
      <c r="CN59" s="230">
        <v>5405625</v>
      </c>
      <c r="CO59" s="230">
        <v>5571250</v>
      </c>
      <c r="CP59" s="230">
        <v>-165625</v>
      </c>
      <c r="CQ59" s="229">
        <v>-2.9700000000000001E-2</v>
      </c>
      <c r="CR59" s="230">
        <v>3009375</v>
      </c>
      <c r="CS59" s="230">
        <v>3062500</v>
      </c>
      <c r="CT59" s="230">
        <v>-53125</v>
      </c>
      <c r="CU59" s="229">
        <v>-1.7299999999999999E-2</v>
      </c>
      <c r="CV59" s="230">
        <v>21013750</v>
      </c>
      <c r="CW59" s="230">
        <v>21113750</v>
      </c>
      <c r="CX59" s="230">
        <v>-100000</v>
      </c>
      <c r="CY59" s="229">
        <v>-4.7000000000000002E-3</v>
      </c>
      <c r="CZ59" s="228">
        <v>21.7</v>
      </c>
      <c r="DA59" s="228">
        <v>23.06</v>
      </c>
      <c r="DB59" s="228">
        <v>-1.36</v>
      </c>
      <c r="DC59" s="228">
        <v>-1.36</v>
      </c>
      <c r="DD59" s="228">
        <v>24.85</v>
      </c>
      <c r="DE59" s="228">
        <v>24.83</v>
      </c>
      <c r="DF59" s="228">
        <v>-3.15</v>
      </c>
      <c r="DG59" s="228">
        <v>0.02</v>
      </c>
      <c r="DH59" s="228">
        <v>21.19</v>
      </c>
      <c r="DI59" s="228">
        <v>22.69</v>
      </c>
      <c r="DJ59" s="228">
        <v>-1.5</v>
      </c>
      <c r="DK59" s="228">
        <v>-1.5</v>
      </c>
      <c r="DL59" s="228">
        <v>23.15</v>
      </c>
      <c r="DM59" s="228">
        <v>24.41</v>
      </c>
      <c r="DN59" s="228">
        <v>-1.26</v>
      </c>
      <c r="DO59" s="228">
        <v>-1.26</v>
      </c>
      <c r="DP59" s="228">
        <v>0.56000000000000005</v>
      </c>
      <c r="DQ59" s="228">
        <v>0.55000000000000004</v>
      </c>
      <c r="DR59" s="228">
        <v>0.01</v>
      </c>
      <c r="DS59" s="229">
        <v>1.8200000000000001E-2</v>
      </c>
      <c r="DT59" s="231">
        <v>1320</v>
      </c>
      <c r="DU59" s="231">
        <v>1250</v>
      </c>
      <c r="DV59" s="228">
        <v>0.36</v>
      </c>
      <c r="DW59" s="228">
        <v>0.28000000000000003</v>
      </c>
      <c r="DX59" s="228">
        <v>0.08</v>
      </c>
      <c r="DY59" s="229">
        <v>0.28570000000000001</v>
      </c>
      <c r="DZ59" s="229">
        <v>1.8100000000000002E-2</v>
      </c>
      <c r="EA59" s="230">
        <v>195000</v>
      </c>
      <c r="EB59" s="229">
        <v>2.8999999999999998E-3</v>
      </c>
      <c r="EC59" s="229">
        <v>1.8100000000000002E-2</v>
      </c>
      <c r="ED59" s="228">
        <v>4.9400000000000004</v>
      </c>
      <c r="EE59" s="229">
        <v>3.8999999999999998E-3</v>
      </c>
      <c r="EF59" s="230">
        <v>985592</v>
      </c>
      <c r="EG59" s="230">
        <v>1564596</v>
      </c>
      <c r="EH59" s="229">
        <v>-0.37009999999999998</v>
      </c>
      <c r="EI59" s="229">
        <v>0.57140000000000002</v>
      </c>
      <c r="EJ59" s="231">
        <v>100386.68</v>
      </c>
      <c r="EK59" s="231">
        <v>34436.82</v>
      </c>
      <c r="EL59" s="231">
        <v>30583.63</v>
      </c>
      <c r="EM59" s="231">
        <v>2936</v>
      </c>
      <c r="EN59" s="231">
        <v>165407.13</v>
      </c>
      <c r="EO59" s="231">
        <v>266510.09000000003</v>
      </c>
      <c r="EP59" s="231">
        <v>-101102.96</v>
      </c>
      <c r="EQ59" s="229">
        <v>-0.37940000000000002</v>
      </c>
      <c r="ER59" s="231">
        <v>71135</v>
      </c>
      <c r="ES59" s="231">
        <v>36564</v>
      </c>
      <c r="ET59" s="231">
        <v>160127</v>
      </c>
      <c r="EU59" s="231">
        <v>61006521</v>
      </c>
      <c r="EV59" s="231">
        <v>267826</v>
      </c>
      <c r="EW59" s="231">
        <v>266602</v>
      </c>
      <c r="EX59" s="231">
        <v>1224</v>
      </c>
      <c r="EY59" s="229">
        <v>4.5999999999999999E-3</v>
      </c>
      <c r="EZ59" s="229">
        <v>0.34449999999999997</v>
      </c>
      <c r="FA59" s="227" t="s">
        <v>555</v>
      </c>
      <c r="FB59" s="161">
        <f t="shared" si="0"/>
        <v>228125</v>
      </c>
    </row>
    <row r="60" spans="1:158" ht="17.25" hidden="1" thickBot="1" x14ac:dyDescent="0.3">
      <c r="A60" s="226">
        <v>45940</v>
      </c>
      <c r="B60" s="227" t="s">
        <v>162</v>
      </c>
      <c r="C60" s="227" t="s">
        <v>209</v>
      </c>
      <c r="D60" s="228">
        <v>175</v>
      </c>
      <c r="E60" s="231">
        <v>6984</v>
      </c>
      <c r="F60" s="231">
        <v>6914.5</v>
      </c>
      <c r="G60" s="228">
        <v>69.5</v>
      </c>
      <c r="H60" s="229">
        <v>1.01E-2</v>
      </c>
      <c r="I60" s="231">
        <v>6965</v>
      </c>
      <c r="J60" s="231">
        <v>6896.5</v>
      </c>
      <c r="K60" s="228">
        <v>68.5</v>
      </c>
      <c r="L60" s="229">
        <v>9.9000000000000008E-3</v>
      </c>
      <c r="M60" s="231">
        <v>6984</v>
      </c>
      <c r="N60" s="231">
        <v>6914.5</v>
      </c>
      <c r="O60" s="228">
        <v>69.5</v>
      </c>
      <c r="P60" s="229">
        <v>1.01E-2</v>
      </c>
      <c r="Q60" s="231">
        <v>7019</v>
      </c>
      <c r="R60" s="231">
        <v>6951</v>
      </c>
      <c r="S60" s="228">
        <v>68</v>
      </c>
      <c r="T60" s="229">
        <v>9.7999999999999997E-3</v>
      </c>
      <c r="U60" s="231">
        <v>7059</v>
      </c>
      <c r="V60" s="231">
        <v>6962</v>
      </c>
      <c r="W60" s="228">
        <v>97</v>
      </c>
      <c r="X60" s="229">
        <v>1.3899999999999999E-2</v>
      </c>
      <c r="Y60" s="228">
        <v>19</v>
      </c>
      <c r="Z60" s="228">
        <v>18</v>
      </c>
      <c r="AA60" s="228">
        <v>1</v>
      </c>
      <c r="AB60" s="229">
        <v>2.7000000000000001E-3</v>
      </c>
      <c r="AC60" s="228">
        <v>19</v>
      </c>
      <c r="AD60" s="228">
        <v>18</v>
      </c>
      <c r="AE60" s="228">
        <v>1</v>
      </c>
      <c r="AF60" s="229">
        <v>2.7000000000000001E-3</v>
      </c>
      <c r="AG60" s="228">
        <v>54</v>
      </c>
      <c r="AH60" s="228">
        <v>54.5</v>
      </c>
      <c r="AI60" s="228">
        <v>-0.5</v>
      </c>
      <c r="AJ60" s="229">
        <v>7.7999999999999996E-3</v>
      </c>
      <c r="AK60" s="228">
        <v>94</v>
      </c>
      <c r="AL60" s="228">
        <v>65.5</v>
      </c>
      <c r="AM60" s="228">
        <v>28.5</v>
      </c>
      <c r="AN60" s="229">
        <v>1.35E-2</v>
      </c>
      <c r="AO60" s="231">
        <v>6972.98</v>
      </c>
      <c r="AP60" s="231">
        <v>7001.63</v>
      </c>
      <c r="AQ60" s="228">
        <v>0</v>
      </c>
      <c r="AR60" s="230">
        <v>516950</v>
      </c>
      <c r="AS60" s="230">
        <v>679875</v>
      </c>
      <c r="AT60" s="230">
        <v>-162925</v>
      </c>
      <c r="AU60" s="229">
        <v>-0.23960000000000001</v>
      </c>
      <c r="AV60" s="230">
        <v>490175</v>
      </c>
      <c r="AW60" s="230">
        <v>643300</v>
      </c>
      <c r="AX60" s="230">
        <v>-153125</v>
      </c>
      <c r="AY60" s="229">
        <v>-0.23799999999999999</v>
      </c>
      <c r="AZ60" s="230">
        <v>19075</v>
      </c>
      <c r="BA60" s="230">
        <v>32200</v>
      </c>
      <c r="BB60" s="230">
        <v>-13125</v>
      </c>
      <c r="BC60" s="229">
        <v>-0.40760000000000002</v>
      </c>
      <c r="BD60" s="230">
        <v>7700</v>
      </c>
      <c r="BE60" s="230">
        <v>4375</v>
      </c>
      <c r="BF60" s="230">
        <v>3325</v>
      </c>
      <c r="BG60" s="229">
        <v>0.76</v>
      </c>
      <c r="BH60" s="230">
        <v>2017225</v>
      </c>
      <c r="BI60" s="230">
        <v>2382625</v>
      </c>
      <c r="BJ60" s="230">
        <v>-365400</v>
      </c>
      <c r="BK60" s="229">
        <v>-0.15340000000000001</v>
      </c>
      <c r="BL60" s="230">
        <v>1152375</v>
      </c>
      <c r="BM60" s="230">
        <v>1840825</v>
      </c>
      <c r="BN60" s="230">
        <v>-688450</v>
      </c>
      <c r="BO60" s="229">
        <v>-0.374</v>
      </c>
      <c r="BP60" s="230">
        <v>3686550</v>
      </c>
      <c r="BQ60" s="230">
        <v>4903325</v>
      </c>
      <c r="BR60" s="230">
        <v>-1216775</v>
      </c>
      <c r="BS60" s="229">
        <v>-0.2482</v>
      </c>
      <c r="BT60" s="230">
        <v>288207</v>
      </c>
      <c r="BU60" s="230">
        <v>410169</v>
      </c>
      <c r="BV60" s="230">
        <v>-121962</v>
      </c>
      <c r="BW60" s="229">
        <v>-0.29730000000000001</v>
      </c>
      <c r="BX60" s="230">
        <v>3494225</v>
      </c>
      <c r="BY60" s="230">
        <v>3450475</v>
      </c>
      <c r="BZ60" s="230">
        <v>43750</v>
      </c>
      <c r="CA60" s="229">
        <v>1.2699999999999999E-2</v>
      </c>
      <c r="CB60" s="230">
        <v>3409000</v>
      </c>
      <c r="CC60" s="230">
        <v>3377150</v>
      </c>
      <c r="CD60" s="230">
        <v>31850</v>
      </c>
      <c r="CE60" s="229">
        <v>9.4000000000000004E-3</v>
      </c>
      <c r="CF60" s="230">
        <v>68775</v>
      </c>
      <c r="CG60" s="230">
        <v>61775</v>
      </c>
      <c r="CH60" s="230">
        <v>7000</v>
      </c>
      <c r="CI60" s="229">
        <v>0.1133</v>
      </c>
      <c r="CJ60" s="230">
        <v>16450</v>
      </c>
      <c r="CK60" s="230">
        <v>11550</v>
      </c>
      <c r="CL60" s="230">
        <v>4900</v>
      </c>
      <c r="CM60" s="229">
        <v>0.42420000000000002</v>
      </c>
      <c r="CN60" s="230">
        <v>1846600</v>
      </c>
      <c r="CO60" s="230">
        <v>1877750</v>
      </c>
      <c r="CP60" s="230">
        <v>-31150</v>
      </c>
      <c r="CQ60" s="229">
        <v>-1.66E-2</v>
      </c>
      <c r="CR60" s="230">
        <v>1441300</v>
      </c>
      <c r="CS60" s="230">
        <v>1416450</v>
      </c>
      <c r="CT60" s="230">
        <v>24850</v>
      </c>
      <c r="CU60" s="229">
        <v>1.7500000000000002E-2</v>
      </c>
      <c r="CV60" s="230">
        <v>6782125</v>
      </c>
      <c r="CW60" s="230">
        <v>6744675</v>
      </c>
      <c r="CX60" s="230">
        <v>37450</v>
      </c>
      <c r="CY60" s="229">
        <v>5.5999999999999999E-3</v>
      </c>
      <c r="CZ60" s="228">
        <v>19.63</v>
      </c>
      <c r="DA60" s="228">
        <v>20.55</v>
      </c>
      <c r="DB60" s="228">
        <v>-0.92</v>
      </c>
      <c r="DC60" s="228">
        <v>-0.92</v>
      </c>
      <c r="DD60" s="228">
        <v>28.21</v>
      </c>
      <c r="DE60" s="228">
        <v>28.25</v>
      </c>
      <c r="DF60" s="228">
        <v>-8.58</v>
      </c>
      <c r="DG60" s="228">
        <v>-0.04</v>
      </c>
      <c r="DH60" s="228">
        <v>19.43</v>
      </c>
      <c r="DI60" s="228">
        <v>20.440000000000001</v>
      </c>
      <c r="DJ60" s="228">
        <v>-1.01</v>
      </c>
      <c r="DK60" s="228">
        <v>-1.01</v>
      </c>
      <c r="DL60" s="228">
        <v>19.97</v>
      </c>
      <c r="DM60" s="228">
        <v>20.68</v>
      </c>
      <c r="DN60" s="228">
        <v>-0.71</v>
      </c>
      <c r="DO60" s="228">
        <v>-0.71</v>
      </c>
      <c r="DP60" s="228">
        <v>0.78</v>
      </c>
      <c r="DQ60" s="228">
        <v>0.75</v>
      </c>
      <c r="DR60" s="228">
        <v>0.03</v>
      </c>
      <c r="DS60" s="229">
        <v>0.04</v>
      </c>
      <c r="DT60" s="231">
        <v>7000</v>
      </c>
      <c r="DU60" s="231">
        <v>6500</v>
      </c>
      <c r="DV60" s="228">
        <v>0.56999999999999995</v>
      </c>
      <c r="DW60" s="228">
        <v>0.77</v>
      </c>
      <c r="DX60" s="228">
        <v>-0.2</v>
      </c>
      <c r="DY60" s="229">
        <v>-0.25969999999999999</v>
      </c>
      <c r="DZ60" s="229">
        <v>2.4400000000000002E-2</v>
      </c>
      <c r="EA60" s="230">
        <v>73325</v>
      </c>
      <c r="EB60" s="229">
        <v>5.0000000000000001E-3</v>
      </c>
      <c r="EC60" s="229">
        <v>2.4400000000000002E-2</v>
      </c>
      <c r="ED60" s="228">
        <v>28.65</v>
      </c>
      <c r="EE60" s="229">
        <v>4.1000000000000003E-3</v>
      </c>
      <c r="EF60" s="230">
        <v>180641</v>
      </c>
      <c r="EG60" s="230">
        <v>247228</v>
      </c>
      <c r="EH60" s="229">
        <v>-0.26929999999999998</v>
      </c>
      <c r="EI60" s="229">
        <v>0.62680000000000002</v>
      </c>
      <c r="EJ60" s="231">
        <v>144891.92000000001</v>
      </c>
      <c r="EK60" s="231">
        <v>79505.149999999994</v>
      </c>
      <c r="EL60" s="231">
        <v>36057.980000000003</v>
      </c>
      <c r="EM60" s="231">
        <v>3829</v>
      </c>
      <c r="EN60" s="231">
        <v>260455.05</v>
      </c>
      <c r="EO60" s="231">
        <v>344054.89</v>
      </c>
      <c r="EP60" s="231">
        <v>-83599.839999999997</v>
      </c>
      <c r="EQ60" s="229">
        <v>-0.24299999999999999</v>
      </c>
      <c r="ER60" s="231">
        <v>133562</v>
      </c>
      <c r="ES60" s="231">
        <v>95086</v>
      </c>
      <c r="ET60" s="231">
        <v>244073</v>
      </c>
      <c r="EU60" s="231">
        <v>20353850</v>
      </c>
      <c r="EV60" s="231">
        <v>472722</v>
      </c>
      <c r="EW60" s="231">
        <v>467789</v>
      </c>
      <c r="EX60" s="231">
        <v>4933</v>
      </c>
      <c r="EY60" s="229">
        <v>1.0500000000000001E-2</v>
      </c>
      <c r="EZ60" s="229">
        <v>0.3332</v>
      </c>
      <c r="FA60" s="227" t="s">
        <v>555</v>
      </c>
      <c r="FB60" s="161">
        <f t="shared" si="0"/>
        <v>85225</v>
      </c>
    </row>
    <row r="61" spans="1:158" ht="17.25" hidden="1" thickBot="1" x14ac:dyDescent="0.3">
      <c r="A61" s="226">
        <v>45940</v>
      </c>
      <c r="B61" s="227" t="s">
        <v>616</v>
      </c>
      <c r="C61" s="227" t="s">
        <v>669</v>
      </c>
      <c r="D61" s="228">
        <v>2425</v>
      </c>
      <c r="E61" s="228">
        <v>349.4</v>
      </c>
      <c r="F61" s="228">
        <v>346.55</v>
      </c>
      <c r="G61" s="228">
        <v>2.85</v>
      </c>
      <c r="H61" s="229">
        <v>8.2000000000000007E-3</v>
      </c>
      <c r="I61" s="228">
        <v>348.3</v>
      </c>
      <c r="J61" s="228">
        <v>345.5</v>
      </c>
      <c r="K61" s="228">
        <v>2.8</v>
      </c>
      <c r="L61" s="229">
        <v>8.0999999999999996E-3</v>
      </c>
      <c r="M61" s="228">
        <v>349.4</v>
      </c>
      <c r="N61" s="228">
        <v>346.55</v>
      </c>
      <c r="O61" s="228">
        <v>2.85</v>
      </c>
      <c r="P61" s="229">
        <v>8.2000000000000007E-3</v>
      </c>
      <c r="Q61" s="228">
        <v>351.35</v>
      </c>
      <c r="R61" s="228">
        <v>348.5</v>
      </c>
      <c r="S61" s="228">
        <v>2.85</v>
      </c>
      <c r="T61" s="229">
        <v>8.2000000000000007E-3</v>
      </c>
      <c r="U61" s="228">
        <v>353.25</v>
      </c>
      <c r="V61" s="228">
        <v>350.15</v>
      </c>
      <c r="W61" s="228">
        <v>3.1</v>
      </c>
      <c r="X61" s="229">
        <v>8.8999999999999999E-3</v>
      </c>
      <c r="Y61" s="228">
        <v>1.1000000000000001</v>
      </c>
      <c r="Z61" s="228">
        <v>1.05</v>
      </c>
      <c r="AA61" s="228">
        <v>0.05</v>
      </c>
      <c r="AB61" s="229">
        <v>3.2000000000000002E-3</v>
      </c>
      <c r="AC61" s="228">
        <v>1.1000000000000001</v>
      </c>
      <c r="AD61" s="228">
        <v>1.05</v>
      </c>
      <c r="AE61" s="228">
        <v>0.05</v>
      </c>
      <c r="AF61" s="229">
        <v>3.2000000000000002E-3</v>
      </c>
      <c r="AG61" s="228">
        <v>3.05</v>
      </c>
      <c r="AH61" s="228">
        <v>3</v>
      </c>
      <c r="AI61" s="228">
        <v>0.05</v>
      </c>
      <c r="AJ61" s="229">
        <v>8.8000000000000005E-3</v>
      </c>
      <c r="AK61" s="228">
        <v>4.95</v>
      </c>
      <c r="AL61" s="228">
        <v>4.6500000000000004</v>
      </c>
      <c r="AM61" s="228">
        <v>0.3</v>
      </c>
      <c r="AN61" s="229">
        <v>1.4200000000000001E-2</v>
      </c>
      <c r="AO61" s="228">
        <v>347.56</v>
      </c>
      <c r="AP61" s="228">
        <v>349.83</v>
      </c>
      <c r="AQ61" s="228">
        <v>0</v>
      </c>
      <c r="AR61" s="230">
        <v>22557350</v>
      </c>
      <c r="AS61" s="230">
        <v>28719275</v>
      </c>
      <c r="AT61" s="230">
        <v>-6161925</v>
      </c>
      <c r="AU61" s="229">
        <v>-0.21460000000000001</v>
      </c>
      <c r="AV61" s="230">
        <v>20517925</v>
      </c>
      <c r="AW61" s="230">
        <v>27172125</v>
      </c>
      <c r="AX61" s="230">
        <v>-6654200</v>
      </c>
      <c r="AY61" s="229">
        <v>-0.24490000000000001</v>
      </c>
      <c r="AZ61" s="230">
        <v>1607775</v>
      </c>
      <c r="BA61" s="230">
        <v>1299800</v>
      </c>
      <c r="BB61" s="230">
        <v>307975</v>
      </c>
      <c r="BC61" s="229">
        <v>0.2369</v>
      </c>
      <c r="BD61" s="230">
        <v>431650</v>
      </c>
      <c r="BE61" s="230">
        <v>247350</v>
      </c>
      <c r="BF61" s="230">
        <v>184300</v>
      </c>
      <c r="BG61" s="229">
        <v>0.74509999999999998</v>
      </c>
      <c r="BH61" s="230">
        <v>53820450</v>
      </c>
      <c r="BI61" s="230">
        <v>95848125</v>
      </c>
      <c r="BJ61" s="230">
        <v>-42027675</v>
      </c>
      <c r="BK61" s="229">
        <v>-0.4385</v>
      </c>
      <c r="BL61" s="230">
        <v>36913350</v>
      </c>
      <c r="BM61" s="230">
        <v>55197850</v>
      </c>
      <c r="BN61" s="230">
        <v>-18284500</v>
      </c>
      <c r="BO61" s="229">
        <v>-0.33129999999999998</v>
      </c>
      <c r="BP61" s="230">
        <v>113291150</v>
      </c>
      <c r="BQ61" s="230">
        <v>179765250</v>
      </c>
      <c r="BR61" s="230">
        <v>-66474100</v>
      </c>
      <c r="BS61" s="229">
        <v>-0.36980000000000002</v>
      </c>
      <c r="BT61" s="230">
        <v>17152682</v>
      </c>
      <c r="BU61" s="230">
        <v>25284279</v>
      </c>
      <c r="BV61" s="230">
        <v>-8131597</v>
      </c>
      <c r="BW61" s="229">
        <v>-0.3216</v>
      </c>
      <c r="BX61" s="230">
        <v>242257500</v>
      </c>
      <c r="BY61" s="230">
        <v>244025325</v>
      </c>
      <c r="BZ61" s="230">
        <v>-1767825</v>
      </c>
      <c r="CA61" s="229">
        <v>-7.1999999999999998E-3</v>
      </c>
      <c r="CB61" s="230">
        <v>238811575</v>
      </c>
      <c r="CC61" s="230">
        <v>240977100</v>
      </c>
      <c r="CD61" s="230">
        <v>-2165525</v>
      </c>
      <c r="CE61" s="229">
        <v>-8.9999999999999993E-3</v>
      </c>
      <c r="CF61" s="230">
        <v>2890600</v>
      </c>
      <c r="CG61" s="230">
        <v>2638400</v>
      </c>
      <c r="CH61" s="230">
        <v>252200</v>
      </c>
      <c r="CI61" s="229">
        <v>9.5600000000000004E-2</v>
      </c>
      <c r="CJ61" s="230">
        <v>555325</v>
      </c>
      <c r="CK61" s="230">
        <v>409825</v>
      </c>
      <c r="CL61" s="230">
        <v>145500</v>
      </c>
      <c r="CM61" s="229">
        <v>0.35499999999999998</v>
      </c>
      <c r="CN61" s="230">
        <v>51938650</v>
      </c>
      <c r="CO61" s="230">
        <v>53114775</v>
      </c>
      <c r="CP61" s="230">
        <v>-1176125</v>
      </c>
      <c r="CQ61" s="229">
        <v>-2.2100000000000002E-2</v>
      </c>
      <c r="CR61" s="230">
        <v>38268925</v>
      </c>
      <c r="CS61" s="230">
        <v>36993375</v>
      </c>
      <c r="CT61" s="230">
        <v>1275550</v>
      </c>
      <c r="CU61" s="229">
        <v>3.4500000000000003E-2</v>
      </c>
      <c r="CV61" s="230">
        <v>332465075</v>
      </c>
      <c r="CW61" s="230">
        <v>334133475</v>
      </c>
      <c r="CX61" s="230">
        <v>-1668400</v>
      </c>
      <c r="CY61" s="229">
        <v>-5.0000000000000001E-3</v>
      </c>
      <c r="CZ61" s="228">
        <v>30.94</v>
      </c>
      <c r="DA61" s="228">
        <v>31.92</v>
      </c>
      <c r="DB61" s="228">
        <v>-0.98</v>
      </c>
      <c r="DC61" s="228">
        <v>-0.98</v>
      </c>
      <c r="DD61" s="228">
        <v>46.02</v>
      </c>
      <c r="DE61" s="228">
        <v>46.12</v>
      </c>
      <c r="DF61" s="228">
        <v>-15.08</v>
      </c>
      <c r="DG61" s="228">
        <v>-0.1</v>
      </c>
      <c r="DH61" s="228">
        <v>29.83</v>
      </c>
      <c r="DI61" s="228">
        <v>31.4</v>
      </c>
      <c r="DJ61" s="228">
        <v>-1.57</v>
      </c>
      <c r="DK61" s="228">
        <v>-1.57</v>
      </c>
      <c r="DL61" s="228">
        <v>32.57</v>
      </c>
      <c r="DM61" s="228">
        <v>32.840000000000003</v>
      </c>
      <c r="DN61" s="228">
        <v>-0.27</v>
      </c>
      <c r="DO61" s="228">
        <v>-0.27</v>
      </c>
      <c r="DP61" s="228">
        <v>0.74</v>
      </c>
      <c r="DQ61" s="228">
        <v>0.7</v>
      </c>
      <c r="DR61" s="228">
        <v>0.04</v>
      </c>
      <c r="DS61" s="229">
        <v>5.7099999999999998E-2</v>
      </c>
      <c r="DT61" s="228">
        <v>335</v>
      </c>
      <c r="DU61" s="228">
        <v>330</v>
      </c>
      <c r="DV61" s="228">
        <v>0.69</v>
      </c>
      <c r="DW61" s="228">
        <v>0.57999999999999996</v>
      </c>
      <c r="DX61" s="228">
        <v>0.11</v>
      </c>
      <c r="DY61" s="229">
        <v>0.18970000000000001</v>
      </c>
      <c r="DZ61" s="229">
        <v>1.4200000000000001E-2</v>
      </c>
      <c r="EA61" s="230">
        <v>3048225</v>
      </c>
      <c r="EB61" s="229">
        <v>5.5999999999999999E-3</v>
      </c>
      <c r="EC61" s="229">
        <v>1.4200000000000001E-2</v>
      </c>
      <c r="ED61" s="228">
        <v>2.27</v>
      </c>
      <c r="EE61" s="229">
        <v>6.4999999999999997E-3</v>
      </c>
      <c r="EF61" s="230">
        <v>8768146</v>
      </c>
      <c r="EG61" s="230">
        <v>14421945</v>
      </c>
      <c r="EH61" s="229">
        <v>-0.39200000000000002</v>
      </c>
      <c r="EI61" s="229">
        <v>0.51119999999999999</v>
      </c>
      <c r="EJ61" s="231">
        <v>194683.89</v>
      </c>
      <c r="EK61" s="231">
        <v>124260.21</v>
      </c>
      <c r="EL61" s="231">
        <v>78452.960000000006</v>
      </c>
      <c r="EM61" s="231">
        <v>9112</v>
      </c>
      <c r="EN61" s="231">
        <v>397397.06</v>
      </c>
      <c r="EO61" s="231">
        <v>626703.61</v>
      </c>
      <c r="EP61" s="231">
        <v>-229306.55</v>
      </c>
      <c r="EQ61" s="229">
        <v>-0.3659</v>
      </c>
      <c r="ER61" s="231">
        <v>178677</v>
      </c>
      <c r="ES61" s="231">
        <v>123132</v>
      </c>
      <c r="ET61" s="231">
        <v>846525</v>
      </c>
      <c r="EU61" s="231">
        <v>1361988292</v>
      </c>
      <c r="EV61" s="231">
        <v>1148335</v>
      </c>
      <c r="EW61" s="231">
        <v>1146343</v>
      </c>
      <c r="EX61" s="231">
        <v>1992</v>
      </c>
      <c r="EY61" s="229">
        <v>1.6999999999999999E-3</v>
      </c>
      <c r="EZ61" s="229">
        <v>0.24410000000000001</v>
      </c>
      <c r="FA61" s="227" t="s">
        <v>556</v>
      </c>
      <c r="FB61" s="161">
        <f t="shared" si="0"/>
        <v>3445925</v>
      </c>
    </row>
    <row r="62" spans="1:158" ht="17.25" hidden="1" thickBot="1" x14ac:dyDescent="0.3">
      <c r="A62" s="226">
        <v>45940</v>
      </c>
      <c r="B62" s="227" t="s">
        <v>162</v>
      </c>
      <c r="C62" s="227" t="s">
        <v>211</v>
      </c>
      <c r="D62" s="228">
        <v>1800</v>
      </c>
      <c r="E62" s="228">
        <v>402.85</v>
      </c>
      <c r="F62" s="228">
        <v>398.65</v>
      </c>
      <c r="G62" s="228">
        <v>4.2</v>
      </c>
      <c r="H62" s="229">
        <v>1.0500000000000001E-2</v>
      </c>
      <c r="I62" s="228">
        <v>400.65</v>
      </c>
      <c r="J62" s="228">
        <v>397.6</v>
      </c>
      <c r="K62" s="228">
        <v>3.05</v>
      </c>
      <c r="L62" s="229">
        <v>7.7000000000000002E-3</v>
      </c>
      <c r="M62" s="228">
        <v>402.85</v>
      </c>
      <c r="N62" s="228">
        <v>398.65</v>
      </c>
      <c r="O62" s="228">
        <v>4.2</v>
      </c>
      <c r="P62" s="229">
        <v>1.0500000000000001E-2</v>
      </c>
      <c r="Q62" s="228">
        <v>405</v>
      </c>
      <c r="R62" s="228">
        <v>400.95</v>
      </c>
      <c r="S62" s="228">
        <v>4.05</v>
      </c>
      <c r="T62" s="229">
        <v>1.01E-2</v>
      </c>
      <c r="U62" s="228">
        <v>407.15</v>
      </c>
      <c r="V62" s="228">
        <v>403.35</v>
      </c>
      <c r="W62" s="228">
        <v>3.8</v>
      </c>
      <c r="X62" s="229">
        <v>9.4000000000000004E-3</v>
      </c>
      <c r="Y62" s="228">
        <v>2.2000000000000002</v>
      </c>
      <c r="Z62" s="228">
        <v>1.05</v>
      </c>
      <c r="AA62" s="228">
        <v>1.1499999999999999</v>
      </c>
      <c r="AB62" s="229">
        <v>5.4999999999999997E-3</v>
      </c>
      <c r="AC62" s="228">
        <v>2.2000000000000002</v>
      </c>
      <c r="AD62" s="228">
        <v>1.05</v>
      </c>
      <c r="AE62" s="228">
        <v>1.1499999999999999</v>
      </c>
      <c r="AF62" s="229">
        <v>5.4999999999999997E-3</v>
      </c>
      <c r="AG62" s="228">
        <v>4.3499999999999996</v>
      </c>
      <c r="AH62" s="228">
        <v>3.35</v>
      </c>
      <c r="AI62" s="228">
        <v>1</v>
      </c>
      <c r="AJ62" s="229">
        <v>1.09E-2</v>
      </c>
      <c r="AK62" s="228">
        <v>6.5</v>
      </c>
      <c r="AL62" s="228">
        <v>5.75</v>
      </c>
      <c r="AM62" s="228">
        <v>0.75</v>
      </c>
      <c r="AN62" s="229">
        <v>1.6199999999999999E-2</v>
      </c>
      <c r="AO62" s="228">
        <v>401.57</v>
      </c>
      <c r="AP62" s="228">
        <v>403.34</v>
      </c>
      <c r="AQ62" s="228">
        <v>0</v>
      </c>
      <c r="AR62" s="230">
        <v>5002200</v>
      </c>
      <c r="AS62" s="230">
        <v>6165000</v>
      </c>
      <c r="AT62" s="230">
        <v>-1162800</v>
      </c>
      <c r="AU62" s="229">
        <v>-0.18859999999999999</v>
      </c>
      <c r="AV62" s="230">
        <v>4606200</v>
      </c>
      <c r="AW62" s="230">
        <v>5841000</v>
      </c>
      <c r="AX62" s="230">
        <v>-1234800</v>
      </c>
      <c r="AY62" s="229">
        <v>-0.2114</v>
      </c>
      <c r="AZ62" s="230">
        <v>343800</v>
      </c>
      <c r="BA62" s="230">
        <v>309600</v>
      </c>
      <c r="BB62" s="230">
        <v>34200</v>
      </c>
      <c r="BC62" s="229">
        <v>0.1105</v>
      </c>
      <c r="BD62" s="230">
        <v>52200</v>
      </c>
      <c r="BE62" s="230">
        <v>14400</v>
      </c>
      <c r="BF62" s="230">
        <v>37800</v>
      </c>
      <c r="BG62" s="229">
        <v>2.625</v>
      </c>
      <c r="BH62" s="230">
        <v>13134600</v>
      </c>
      <c r="BI62" s="230">
        <v>13204800</v>
      </c>
      <c r="BJ62" s="230">
        <v>-70200</v>
      </c>
      <c r="BK62" s="229">
        <v>-5.3E-3</v>
      </c>
      <c r="BL62" s="230">
        <v>11786400</v>
      </c>
      <c r="BM62" s="230">
        <v>11748600</v>
      </c>
      <c r="BN62" s="230">
        <v>37800</v>
      </c>
      <c r="BO62" s="229">
        <v>3.2000000000000002E-3</v>
      </c>
      <c r="BP62" s="230">
        <v>29923200</v>
      </c>
      <c r="BQ62" s="230">
        <v>31118400</v>
      </c>
      <c r="BR62" s="230">
        <v>-1195200</v>
      </c>
      <c r="BS62" s="229">
        <v>-3.8399999999999997E-2</v>
      </c>
      <c r="BT62" s="230">
        <v>1896213</v>
      </c>
      <c r="BU62" s="230">
        <v>1776369</v>
      </c>
      <c r="BV62" s="230">
        <v>119844</v>
      </c>
      <c r="BW62" s="229">
        <v>6.7500000000000004E-2</v>
      </c>
      <c r="BX62" s="230">
        <v>29761200</v>
      </c>
      <c r="BY62" s="230">
        <v>29894400</v>
      </c>
      <c r="BZ62" s="230">
        <v>-133200</v>
      </c>
      <c r="CA62" s="229">
        <v>-4.4999999999999997E-3</v>
      </c>
      <c r="CB62" s="230">
        <v>28459800</v>
      </c>
      <c r="CC62" s="230">
        <v>28618200</v>
      </c>
      <c r="CD62" s="230">
        <v>-158400</v>
      </c>
      <c r="CE62" s="229">
        <v>-5.4999999999999997E-3</v>
      </c>
      <c r="CF62" s="230">
        <v>1245600</v>
      </c>
      <c r="CG62" s="230">
        <v>1227600</v>
      </c>
      <c r="CH62" s="230">
        <v>18000</v>
      </c>
      <c r="CI62" s="229">
        <v>1.47E-2</v>
      </c>
      <c r="CJ62" s="230">
        <v>55800</v>
      </c>
      <c r="CK62" s="230">
        <v>48600</v>
      </c>
      <c r="CL62" s="230">
        <v>7200</v>
      </c>
      <c r="CM62" s="229">
        <v>0.14810000000000001</v>
      </c>
      <c r="CN62" s="230">
        <v>10866600</v>
      </c>
      <c r="CO62" s="230">
        <v>10575000</v>
      </c>
      <c r="CP62" s="230">
        <v>291600</v>
      </c>
      <c r="CQ62" s="229">
        <v>2.76E-2</v>
      </c>
      <c r="CR62" s="230">
        <v>9093600</v>
      </c>
      <c r="CS62" s="230">
        <v>8087400</v>
      </c>
      <c r="CT62" s="230">
        <v>1006200</v>
      </c>
      <c r="CU62" s="229">
        <v>0.1244</v>
      </c>
      <c r="CV62" s="230">
        <v>49721400</v>
      </c>
      <c r="CW62" s="230">
        <v>48556800</v>
      </c>
      <c r="CX62" s="230">
        <v>1164600</v>
      </c>
      <c r="CY62" s="229">
        <v>2.4E-2</v>
      </c>
      <c r="CZ62" s="228">
        <v>24.13</v>
      </c>
      <c r="DA62" s="228">
        <v>24.78</v>
      </c>
      <c r="DB62" s="228">
        <v>-0.65</v>
      </c>
      <c r="DC62" s="228">
        <v>-0.65</v>
      </c>
      <c r="DD62" s="228">
        <v>35.93</v>
      </c>
      <c r="DE62" s="228">
        <v>35.99</v>
      </c>
      <c r="DF62" s="228">
        <v>-11.8</v>
      </c>
      <c r="DG62" s="228">
        <v>-0.06</v>
      </c>
      <c r="DH62" s="228">
        <v>24</v>
      </c>
      <c r="DI62" s="228">
        <v>24.61</v>
      </c>
      <c r="DJ62" s="228">
        <v>-0.61</v>
      </c>
      <c r="DK62" s="228">
        <v>-0.61</v>
      </c>
      <c r="DL62" s="228">
        <v>24.28</v>
      </c>
      <c r="DM62" s="228">
        <v>24.97</v>
      </c>
      <c r="DN62" s="228">
        <v>-0.69</v>
      </c>
      <c r="DO62" s="228">
        <v>-0.69</v>
      </c>
      <c r="DP62" s="228">
        <v>0.84</v>
      </c>
      <c r="DQ62" s="228">
        <v>0.76</v>
      </c>
      <c r="DR62" s="228">
        <v>0.08</v>
      </c>
      <c r="DS62" s="229">
        <v>0.1053</v>
      </c>
      <c r="DT62" s="228">
        <v>400</v>
      </c>
      <c r="DU62" s="228">
        <v>400</v>
      </c>
      <c r="DV62" s="228">
        <v>0.9</v>
      </c>
      <c r="DW62" s="228">
        <v>0.89</v>
      </c>
      <c r="DX62" s="228">
        <v>0.01</v>
      </c>
      <c r="DY62" s="229">
        <v>1.12E-2</v>
      </c>
      <c r="DZ62" s="229">
        <v>4.3700000000000003E-2</v>
      </c>
      <c r="EA62" s="230">
        <v>1276200</v>
      </c>
      <c r="EB62" s="229">
        <v>5.3E-3</v>
      </c>
      <c r="EC62" s="229">
        <v>4.3700000000000003E-2</v>
      </c>
      <c r="ED62" s="228">
        <v>1.77</v>
      </c>
      <c r="EE62" s="229">
        <v>4.4000000000000003E-3</v>
      </c>
      <c r="EF62" s="230">
        <v>655723</v>
      </c>
      <c r="EG62" s="230">
        <v>799118</v>
      </c>
      <c r="EH62" s="229">
        <v>-0.1794</v>
      </c>
      <c r="EI62" s="229">
        <v>0.3458</v>
      </c>
      <c r="EJ62" s="231">
        <v>54816.7</v>
      </c>
      <c r="EK62" s="231">
        <v>47093.43</v>
      </c>
      <c r="EL62" s="231">
        <v>20095.14</v>
      </c>
      <c r="EM62" s="231">
        <v>2519</v>
      </c>
      <c r="EN62" s="231">
        <v>122005.27</v>
      </c>
      <c r="EO62" s="231">
        <v>126130.06</v>
      </c>
      <c r="EP62" s="231">
        <v>-4124.79</v>
      </c>
      <c r="EQ62" s="229">
        <v>-3.27E-2</v>
      </c>
      <c r="ER62" s="231">
        <v>45219</v>
      </c>
      <c r="ES62" s="231">
        <v>35835</v>
      </c>
      <c r="ET62" s="231">
        <v>119922</v>
      </c>
      <c r="EU62" s="231">
        <v>68856800</v>
      </c>
      <c r="EV62" s="231">
        <v>200976</v>
      </c>
      <c r="EW62" s="231">
        <v>195061</v>
      </c>
      <c r="EX62" s="231">
        <v>5915</v>
      </c>
      <c r="EY62" s="229">
        <v>3.0300000000000001E-2</v>
      </c>
      <c r="EZ62" s="229">
        <v>0.72209999999999996</v>
      </c>
      <c r="FA62" s="227" t="s">
        <v>556</v>
      </c>
      <c r="FB62" s="161">
        <f t="shared" si="0"/>
        <v>1301400</v>
      </c>
    </row>
    <row r="63" spans="1:158" ht="17.25" hidden="1" thickBot="1" x14ac:dyDescent="0.3">
      <c r="A63" s="226">
        <v>45940</v>
      </c>
      <c r="B63" s="227" t="s">
        <v>172</v>
      </c>
      <c r="C63" s="227" t="s">
        <v>212</v>
      </c>
      <c r="D63" s="228">
        <v>5000</v>
      </c>
      <c r="E63" s="228">
        <v>209.3</v>
      </c>
      <c r="F63" s="228">
        <v>207.92</v>
      </c>
      <c r="G63" s="228">
        <v>1.38</v>
      </c>
      <c r="H63" s="229">
        <v>6.6E-3</v>
      </c>
      <c r="I63" s="228">
        <v>208.3</v>
      </c>
      <c r="J63" s="228">
        <v>207.34</v>
      </c>
      <c r="K63" s="228">
        <v>0.96</v>
      </c>
      <c r="L63" s="229">
        <v>4.5999999999999999E-3</v>
      </c>
      <c r="M63" s="228">
        <v>209.3</v>
      </c>
      <c r="N63" s="228">
        <v>207.92</v>
      </c>
      <c r="O63" s="228">
        <v>1.38</v>
      </c>
      <c r="P63" s="229">
        <v>6.6E-3</v>
      </c>
      <c r="Q63" s="228">
        <v>210.33</v>
      </c>
      <c r="R63" s="228">
        <v>208.76</v>
      </c>
      <c r="S63" s="228">
        <v>1.57</v>
      </c>
      <c r="T63" s="229">
        <v>7.4999999999999997E-3</v>
      </c>
      <c r="U63" s="228">
        <v>211.37</v>
      </c>
      <c r="V63" s="228">
        <v>209.68</v>
      </c>
      <c r="W63" s="228">
        <v>1.69</v>
      </c>
      <c r="X63" s="229">
        <v>8.0999999999999996E-3</v>
      </c>
      <c r="Y63" s="228">
        <v>1</v>
      </c>
      <c r="Z63" s="228">
        <v>0.57999999999999996</v>
      </c>
      <c r="AA63" s="228">
        <v>0.42</v>
      </c>
      <c r="AB63" s="229">
        <v>4.7999999999999996E-3</v>
      </c>
      <c r="AC63" s="228">
        <v>1</v>
      </c>
      <c r="AD63" s="228">
        <v>0.57999999999999996</v>
      </c>
      <c r="AE63" s="228">
        <v>0.42</v>
      </c>
      <c r="AF63" s="229">
        <v>4.7999999999999996E-3</v>
      </c>
      <c r="AG63" s="228">
        <v>2.0299999999999998</v>
      </c>
      <c r="AH63" s="228">
        <v>1.42</v>
      </c>
      <c r="AI63" s="228">
        <v>0.61</v>
      </c>
      <c r="AJ63" s="229">
        <v>9.7000000000000003E-3</v>
      </c>
      <c r="AK63" s="228">
        <v>3.07</v>
      </c>
      <c r="AL63" s="228">
        <v>2.34</v>
      </c>
      <c r="AM63" s="228">
        <v>0.73</v>
      </c>
      <c r="AN63" s="229">
        <v>1.47E-2</v>
      </c>
      <c r="AO63" s="228">
        <v>209.6</v>
      </c>
      <c r="AP63" s="228">
        <v>210.57</v>
      </c>
      <c r="AQ63" s="228">
        <v>0</v>
      </c>
      <c r="AR63" s="230">
        <v>32195000</v>
      </c>
      <c r="AS63" s="230">
        <v>38050000</v>
      </c>
      <c r="AT63" s="230">
        <v>-5855000</v>
      </c>
      <c r="AU63" s="229">
        <v>-0.15390000000000001</v>
      </c>
      <c r="AV63" s="230">
        <v>29780000</v>
      </c>
      <c r="AW63" s="230">
        <v>35720000</v>
      </c>
      <c r="AX63" s="230">
        <v>-5940000</v>
      </c>
      <c r="AY63" s="229">
        <v>-0.1663</v>
      </c>
      <c r="AZ63" s="230">
        <v>2130000</v>
      </c>
      <c r="BA63" s="230">
        <v>2030000</v>
      </c>
      <c r="BB63" s="230">
        <v>100000</v>
      </c>
      <c r="BC63" s="229">
        <v>4.9299999999999997E-2</v>
      </c>
      <c r="BD63" s="230">
        <v>285000</v>
      </c>
      <c r="BE63" s="230">
        <v>300000</v>
      </c>
      <c r="BF63" s="230">
        <v>-15000</v>
      </c>
      <c r="BG63" s="229">
        <v>-0.05</v>
      </c>
      <c r="BH63" s="230">
        <v>98570000</v>
      </c>
      <c r="BI63" s="230">
        <v>140405000</v>
      </c>
      <c r="BJ63" s="230">
        <v>-41835000</v>
      </c>
      <c r="BK63" s="229">
        <v>-0.29799999999999999</v>
      </c>
      <c r="BL63" s="230">
        <v>63255000</v>
      </c>
      <c r="BM63" s="230">
        <v>62850000</v>
      </c>
      <c r="BN63" s="230">
        <v>405000</v>
      </c>
      <c r="BO63" s="229">
        <v>6.4000000000000003E-3</v>
      </c>
      <c r="BP63" s="230">
        <v>194020000</v>
      </c>
      <c r="BQ63" s="230">
        <v>241305000</v>
      </c>
      <c r="BR63" s="230">
        <v>-47285000</v>
      </c>
      <c r="BS63" s="229">
        <v>-0.19600000000000001</v>
      </c>
      <c r="BT63" s="230">
        <v>5443306</v>
      </c>
      <c r="BU63" s="230">
        <v>13369480</v>
      </c>
      <c r="BV63" s="230">
        <v>-7926174</v>
      </c>
      <c r="BW63" s="229">
        <v>-0.59289999999999998</v>
      </c>
      <c r="BX63" s="230">
        <v>89155000</v>
      </c>
      <c r="BY63" s="230">
        <v>86905000</v>
      </c>
      <c r="BZ63" s="230">
        <v>2250000</v>
      </c>
      <c r="CA63" s="229">
        <v>2.5899999999999999E-2</v>
      </c>
      <c r="CB63" s="230">
        <v>85605000</v>
      </c>
      <c r="CC63" s="230">
        <v>83845000</v>
      </c>
      <c r="CD63" s="230">
        <v>1760000</v>
      </c>
      <c r="CE63" s="229">
        <v>2.1000000000000001E-2</v>
      </c>
      <c r="CF63" s="230">
        <v>3105000</v>
      </c>
      <c r="CG63" s="230">
        <v>2660000</v>
      </c>
      <c r="CH63" s="230">
        <v>445000</v>
      </c>
      <c r="CI63" s="229">
        <v>0.1673</v>
      </c>
      <c r="CJ63" s="230">
        <v>445000</v>
      </c>
      <c r="CK63" s="230">
        <v>400000</v>
      </c>
      <c r="CL63" s="230">
        <v>45000</v>
      </c>
      <c r="CM63" s="229">
        <v>0.1125</v>
      </c>
      <c r="CN63" s="230">
        <v>45125000</v>
      </c>
      <c r="CO63" s="230">
        <v>45305000</v>
      </c>
      <c r="CP63" s="230">
        <v>-180000</v>
      </c>
      <c r="CQ63" s="229">
        <v>-4.0000000000000001E-3</v>
      </c>
      <c r="CR63" s="230">
        <v>37390000</v>
      </c>
      <c r="CS63" s="230">
        <v>36895000</v>
      </c>
      <c r="CT63" s="230">
        <v>495000</v>
      </c>
      <c r="CU63" s="229">
        <v>1.34E-2</v>
      </c>
      <c r="CV63" s="230">
        <v>171670000</v>
      </c>
      <c r="CW63" s="230">
        <v>169105000</v>
      </c>
      <c r="CX63" s="230">
        <v>2565000</v>
      </c>
      <c r="CY63" s="229">
        <v>1.52E-2</v>
      </c>
      <c r="CZ63" s="228">
        <v>24.77</v>
      </c>
      <c r="DA63" s="228">
        <v>25.52</v>
      </c>
      <c r="DB63" s="228">
        <v>-0.75</v>
      </c>
      <c r="DC63" s="228">
        <v>-0.75</v>
      </c>
      <c r="DD63" s="228">
        <v>28.71</v>
      </c>
      <c r="DE63" s="228">
        <v>28.77</v>
      </c>
      <c r="DF63" s="228">
        <v>-3.94</v>
      </c>
      <c r="DG63" s="228">
        <v>-0.06</v>
      </c>
      <c r="DH63" s="228">
        <v>24.37</v>
      </c>
      <c r="DI63" s="228">
        <v>25.14</v>
      </c>
      <c r="DJ63" s="228">
        <v>-0.77</v>
      </c>
      <c r="DK63" s="228">
        <v>-0.77</v>
      </c>
      <c r="DL63" s="228">
        <v>25.38</v>
      </c>
      <c r="DM63" s="228">
        <v>26.36</v>
      </c>
      <c r="DN63" s="228">
        <v>-0.98</v>
      </c>
      <c r="DO63" s="228">
        <v>-0.98</v>
      </c>
      <c r="DP63" s="228">
        <v>0.83</v>
      </c>
      <c r="DQ63" s="228">
        <v>0.81</v>
      </c>
      <c r="DR63" s="228">
        <v>0.02</v>
      </c>
      <c r="DS63" s="229">
        <v>2.47E-2</v>
      </c>
      <c r="DT63" s="228">
        <v>210</v>
      </c>
      <c r="DU63" s="228">
        <v>200</v>
      </c>
      <c r="DV63" s="228">
        <v>0.64</v>
      </c>
      <c r="DW63" s="228">
        <v>0.45</v>
      </c>
      <c r="DX63" s="228">
        <v>0.19</v>
      </c>
      <c r="DY63" s="229">
        <v>0.42220000000000002</v>
      </c>
      <c r="DZ63" s="229">
        <v>3.9800000000000002E-2</v>
      </c>
      <c r="EA63" s="230">
        <v>3060000</v>
      </c>
      <c r="EB63" s="229">
        <v>4.8999999999999998E-3</v>
      </c>
      <c r="EC63" s="229">
        <v>3.9800000000000002E-2</v>
      </c>
      <c r="ED63" s="228">
        <v>0.97</v>
      </c>
      <c r="EE63" s="229">
        <v>4.5999999999999999E-3</v>
      </c>
      <c r="EF63" s="230">
        <v>1745257</v>
      </c>
      <c r="EG63" s="230">
        <v>5696979</v>
      </c>
      <c r="EH63" s="229">
        <v>-0.69369999999999998</v>
      </c>
      <c r="EI63" s="229">
        <v>0.3206</v>
      </c>
      <c r="EJ63" s="231">
        <v>213109.09</v>
      </c>
      <c r="EK63" s="231">
        <v>131204.67000000001</v>
      </c>
      <c r="EL63" s="231">
        <v>67507.72</v>
      </c>
      <c r="EM63" s="231">
        <v>5831</v>
      </c>
      <c r="EN63" s="231">
        <v>411821.48</v>
      </c>
      <c r="EO63" s="231">
        <v>506915.88</v>
      </c>
      <c r="EP63" s="231">
        <v>-95094.399999999994</v>
      </c>
      <c r="EQ63" s="229">
        <v>-0.18759999999999999</v>
      </c>
      <c r="ER63" s="231">
        <v>94126</v>
      </c>
      <c r="ES63" s="231">
        <v>73795</v>
      </c>
      <c r="ET63" s="231">
        <v>186643</v>
      </c>
      <c r="EU63" s="231">
        <v>338654719</v>
      </c>
      <c r="EV63" s="231">
        <v>354564</v>
      </c>
      <c r="EW63" s="231">
        <v>346976</v>
      </c>
      <c r="EX63" s="231">
        <v>7588</v>
      </c>
      <c r="EY63" s="229">
        <v>2.1899999999999999E-2</v>
      </c>
      <c r="EZ63" s="229">
        <v>0.50690000000000002</v>
      </c>
      <c r="FA63" s="227" t="s">
        <v>555</v>
      </c>
      <c r="FB63" s="161">
        <f t="shared" si="0"/>
        <v>3550000</v>
      </c>
    </row>
    <row r="64" spans="1:158" ht="17.25" hidden="1" thickBot="1" x14ac:dyDescent="0.3">
      <c r="A64" s="226">
        <v>45940</v>
      </c>
      <c r="B64" s="227" t="s">
        <v>181</v>
      </c>
      <c r="C64" s="227" t="s">
        <v>480</v>
      </c>
      <c r="D64" s="228">
        <v>65</v>
      </c>
      <c r="E64" s="231">
        <v>26965.599999999999</v>
      </c>
      <c r="F64" s="231">
        <v>26833.5</v>
      </c>
      <c r="G64" s="228">
        <v>132.1</v>
      </c>
      <c r="H64" s="229">
        <v>4.8999999999999998E-3</v>
      </c>
      <c r="I64" s="231">
        <v>26842.25</v>
      </c>
      <c r="J64" s="231">
        <v>26724.3</v>
      </c>
      <c r="K64" s="228">
        <v>117.95</v>
      </c>
      <c r="L64" s="229">
        <v>4.4000000000000003E-3</v>
      </c>
      <c r="M64" s="231">
        <v>26965.599999999999</v>
      </c>
      <c r="N64" s="231">
        <v>26833.5</v>
      </c>
      <c r="O64" s="228">
        <v>132.1</v>
      </c>
      <c r="P64" s="229">
        <v>4.8999999999999998E-3</v>
      </c>
      <c r="Q64" s="231">
        <v>27106.400000000001</v>
      </c>
      <c r="R64" s="231">
        <v>26973.3</v>
      </c>
      <c r="S64" s="228">
        <v>133.1</v>
      </c>
      <c r="T64" s="229">
        <v>4.8999999999999998E-3</v>
      </c>
      <c r="U64" s="228">
        <v>0</v>
      </c>
      <c r="V64" s="228">
        <v>0</v>
      </c>
      <c r="W64" s="228">
        <v>0</v>
      </c>
      <c r="X64" s="229">
        <v>0</v>
      </c>
      <c r="Y64" s="228">
        <v>123.35</v>
      </c>
      <c r="Z64" s="228">
        <v>109.2</v>
      </c>
      <c r="AA64" s="228">
        <v>14.15</v>
      </c>
      <c r="AB64" s="229">
        <v>4.5999999999999999E-3</v>
      </c>
      <c r="AC64" s="228">
        <v>123.35</v>
      </c>
      <c r="AD64" s="228">
        <v>109.2</v>
      </c>
      <c r="AE64" s="228">
        <v>14.15</v>
      </c>
      <c r="AF64" s="229">
        <v>4.5999999999999999E-3</v>
      </c>
      <c r="AG64" s="228">
        <v>264.14999999999998</v>
      </c>
      <c r="AH64" s="228">
        <v>249</v>
      </c>
      <c r="AI64" s="228">
        <v>15.15</v>
      </c>
      <c r="AJ64" s="229">
        <v>9.7999999999999997E-3</v>
      </c>
      <c r="AK64" s="228">
        <v>0</v>
      </c>
      <c r="AL64" s="228">
        <v>0</v>
      </c>
      <c r="AM64" s="228">
        <v>0</v>
      </c>
      <c r="AN64" s="229">
        <v>0</v>
      </c>
      <c r="AO64" s="231">
        <v>26991.94</v>
      </c>
      <c r="AP64" s="231">
        <v>27133.52</v>
      </c>
      <c r="AQ64" s="228">
        <v>0</v>
      </c>
      <c r="AR64" s="230">
        <v>24635</v>
      </c>
      <c r="AS64" s="230">
        <v>22165</v>
      </c>
      <c r="AT64" s="230">
        <v>2470</v>
      </c>
      <c r="AU64" s="229">
        <v>0.1114</v>
      </c>
      <c r="AV64" s="230">
        <v>22815</v>
      </c>
      <c r="AW64" s="230">
        <v>21580</v>
      </c>
      <c r="AX64" s="230">
        <v>1235</v>
      </c>
      <c r="AY64" s="229">
        <v>5.7200000000000001E-2</v>
      </c>
      <c r="AZ64" s="230">
        <v>1820</v>
      </c>
      <c r="BA64" s="228">
        <v>585</v>
      </c>
      <c r="BB64" s="230">
        <v>1235</v>
      </c>
      <c r="BC64" s="229">
        <v>2.1111</v>
      </c>
      <c r="BD64" s="228">
        <v>0</v>
      </c>
      <c r="BE64" s="228">
        <v>0</v>
      </c>
      <c r="BF64" s="228">
        <v>0</v>
      </c>
      <c r="BG64" s="229">
        <v>0</v>
      </c>
      <c r="BH64" s="230">
        <v>2550665</v>
      </c>
      <c r="BI64" s="230">
        <v>1701310</v>
      </c>
      <c r="BJ64" s="230">
        <v>849355</v>
      </c>
      <c r="BK64" s="229">
        <v>0.49919999999999998</v>
      </c>
      <c r="BL64" s="230">
        <v>1332435</v>
      </c>
      <c r="BM64" s="230">
        <v>1064895</v>
      </c>
      <c r="BN64" s="230">
        <v>267540</v>
      </c>
      <c r="BO64" s="229">
        <v>0.25119999999999998</v>
      </c>
      <c r="BP64" s="230">
        <v>3907735</v>
      </c>
      <c r="BQ64" s="230">
        <v>2788370</v>
      </c>
      <c r="BR64" s="230">
        <v>1119365</v>
      </c>
      <c r="BS64" s="229">
        <v>0.40139999999999998</v>
      </c>
      <c r="BT64" s="228">
        <v>0</v>
      </c>
      <c r="BU64" s="228">
        <v>0</v>
      </c>
      <c r="BV64" s="228">
        <v>0</v>
      </c>
      <c r="BW64" s="229">
        <v>0</v>
      </c>
      <c r="BX64" s="230">
        <v>34645</v>
      </c>
      <c r="BY64" s="230">
        <v>35620</v>
      </c>
      <c r="BZ64" s="228">
        <v>-975</v>
      </c>
      <c r="CA64" s="229">
        <v>-2.7400000000000001E-2</v>
      </c>
      <c r="CB64" s="230">
        <v>33085</v>
      </c>
      <c r="CC64" s="230">
        <v>34190</v>
      </c>
      <c r="CD64" s="230">
        <v>-1105</v>
      </c>
      <c r="CE64" s="229">
        <v>-3.2300000000000002E-2</v>
      </c>
      <c r="CF64" s="230">
        <v>1560</v>
      </c>
      <c r="CG64" s="230">
        <v>1430</v>
      </c>
      <c r="CH64" s="228">
        <v>130</v>
      </c>
      <c r="CI64" s="229">
        <v>9.0899999999999995E-2</v>
      </c>
      <c r="CJ64" s="228">
        <v>0</v>
      </c>
      <c r="CK64" s="228">
        <v>0</v>
      </c>
      <c r="CL64" s="228">
        <v>0</v>
      </c>
      <c r="CM64" s="229">
        <v>0</v>
      </c>
      <c r="CN64" s="230">
        <v>1154790</v>
      </c>
      <c r="CO64" s="230">
        <v>1132300</v>
      </c>
      <c r="CP64" s="230">
        <v>22490</v>
      </c>
      <c r="CQ64" s="229">
        <v>1.9900000000000001E-2</v>
      </c>
      <c r="CR64" s="230">
        <v>774605</v>
      </c>
      <c r="CS64" s="230">
        <v>675870</v>
      </c>
      <c r="CT64" s="230">
        <v>98735</v>
      </c>
      <c r="CU64" s="229">
        <v>0.14610000000000001</v>
      </c>
      <c r="CV64" s="230">
        <v>1964040</v>
      </c>
      <c r="CW64" s="230">
        <v>1843790</v>
      </c>
      <c r="CX64" s="230">
        <v>120250</v>
      </c>
      <c r="CY64" s="229">
        <v>6.5199999999999994E-2</v>
      </c>
      <c r="CZ64" s="228">
        <v>11.38</v>
      </c>
      <c r="DA64" s="228">
        <v>11.29</v>
      </c>
      <c r="DB64" s="228">
        <v>0.09</v>
      </c>
      <c r="DC64" s="228">
        <v>0.09</v>
      </c>
      <c r="DD64" s="228">
        <v>17.77</v>
      </c>
      <c r="DE64" s="228">
        <v>17.809999999999999</v>
      </c>
      <c r="DF64" s="228">
        <v>-6.39</v>
      </c>
      <c r="DG64" s="228">
        <v>-0.04</v>
      </c>
      <c r="DH64" s="228">
        <v>11.07</v>
      </c>
      <c r="DI64" s="228">
        <v>10.94</v>
      </c>
      <c r="DJ64" s="228">
        <v>0.13</v>
      </c>
      <c r="DK64" s="228">
        <v>0.13</v>
      </c>
      <c r="DL64" s="228">
        <v>11.97</v>
      </c>
      <c r="DM64" s="228">
        <v>11.86</v>
      </c>
      <c r="DN64" s="228">
        <v>0.11</v>
      </c>
      <c r="DO64" s="228">
        <v>0.11</v>
      </c>
      <c r="DP64" s="228">
        <v>0.67</v>
      </c>
      <c r="DQ64" s="228">
        <v>0.6</v>
      </c>
      <c r="DR64" s="228">
        <v>7.0000000000000007E-2</v>
      </c>
      <c r="DS64" s="229">
        <v>0.1167</v>
      </c>
      <c r="DT64" s="231">
        <v>27300</v>
      </c>
      <c r="DU64" s="231">
        <v>26900</v>
      </c>
      <c r="DV64" s="228">
        <v>0.52</v>
      </c>
      <c r="DW64" s="228">
        <v>0.63</v>
      </c>
      <c r="DX64" s="228">
        <v>-0.11</v>
      </c>
      <c r="DY64" s="229">
        <v>-0.17460000000000001</v>
      </c>
      <c r="DZ64" s="229">
        <v>4.4999999999999998E-2</v>
      </c>
      <c r="EA64" s="230">
        <v>1430</v>
      </c>
      <c r="EB64" s="229">
        <v>5.1999999999999998E-3</v>
      </c>
      <c r="EC64" s="229">
        <v>4.4999999999999998E-2</v>
      </c>
      <c r="ED64" s="228">
        <v>141.58000000000001</v>
      </c>
      <c r="EE64" s="229">
        <v>5.1999999999999998E-3</v>
      </c>
      <c r="EF64" s="228">
        <v>0</v>
      </c>
      <c r="EG64" s="228">
        <v>0</v>
      </c>
      <c r="EH64" s="229">
        <v>0</v>
      </c>
      <c r="EI64" s="229">
        <v>0</v>
      </c>
      <c r="EJ64" s="231">
        <v>699701.78</v>
      </c>
      <c r="EK64" s="231">
        <v>355543.64</v>
      </c>
      <c r="EL64" s="231">
        <v>6652.04</v>
      </c>
      <c r="EM64" s="228">
        <v>0</v>
      </c>
      <c r="EN64" s="231">
        <v>1061897.46</v>
      </c>
      <c r="EO64" s="231">
        <v>752769.36</v>
      </c>
      <c r="EP64" s="231">
        <v>309128.09999999998</v>
      </c>
      <c r="EQ64" s="229">
        <v>0.41070000000000001</v>
      </c>
      <c r="ER64" s="231">
        <v>315579</v>
      </c>
      <c r="ES64" s="231">
        <v>203766</v>
      </c>
      <c r="ET64" s="231">
        <v>9344</v>
      </c>
      <c r="EU64" s="228">
        <v>0</v>
      </c>
      <c r="EV64" s="231">
        <v>528690</v>
      </c>
      <c r="EW64" s="231">
        <v>495526</v>
      </c>
      <c r="EX64" s="231">
        <v>33164</v>
      </c>
      <c r="EY64" s="229">
        <v>6.6900000000000001E-2</v>
      </c>
      <c r="EZ64" s="229">
        <v>0</v>
      </c>
      <c r="FA64" s="227" t="s">
        <v>556</v>
      </c>
      <c r="FB64" s="161">
        <f t="shared" si="0"/>
        <v>1560</v>
      </c>
    </row>
    <row r="65" spans="1:158" ht="17.25" hidden="1" thickBot="1" x14ac:dyDescent="0.3">
      <c r="A65" s="226">
        <v>45940</v>
      </c>
      <c r="B65" s="227" t="s">
        <v>170</v>
      </c>
      <c r="C65" s="227" t="s">
        <v>679</v>
      </c>
      <c r="D65" s="228">
        <v>775</v>
      </c>
      <c r="E65" s="231">
        <v>1066.7</v>
      </c>
      <c r="F65" s="231">
        <v>1071.8499999999999</v>
      </c>
      <c r="G65" s="228">
        <v>-5.15</v>
      </c>
      <c r="H65" s="229">
        <v>-4.7999999999999996E-3</v>
      </c>
      <c r="I65" s="231">
        <v>1060.3</v>
      </c>
      <c r="J65" s="231">
        <v>1068.8499999999999</v>
      </c>
      <c r="K65" s="228">
        <v>-8.5500000000000007</v>
      </c>
      <c r="L65" s="229">
        <v>-8.0000000000000002E-3</v>
      </c>
      <c r="M65" s="231">
        <v>1066.7</v>
      </c>
      <c r="N65" s="231">
        <v>1071.8499999999999</v>
      </c>
      <c r="O65" s="228">
        <v>-5.15</v>
      </c>
      <c r="P65" s="229">
        <v>-4.7999999999999996E-3</v>
      </c>
      <c r="Q65" s="231">
        <v>1068.8499999999999</v>
      </c>
      <c r="R65" s="231">
        <v>1072.75</v>
      </c>
      <c r="S65" s="228">
        <v>-3.9</v>
      </c>
      <c r="T65" s="229">
        <v>-3.5999999999999999E-3</v>
      </c>
      <c r="U65" s="231">
        <v>1066.95</v>
      </c>
      <c r="V65" s="231">
        <v>1070</v>
      </c>
      <c r="W65" s="228">
        <v>-3.05</v>
      </c>
      <c r="X65" s="229">
        <v>-2.8999999999999998E-3</v>
      </c>
      <c r="Y65" s="228">
        <v>6.4</v>
      </c>
      <c r="Z65" s="228">
        <v>3</v>
      </c>
      <c r="AA65" s="228">
        <v>3.4</v>
      </c>
      <c r="AB65" s="229">
        <v>6.0000000000000001E-3</v>
      </c>
      <c r="AC65" s="228">
        <v>6.4</v>
      </c>
      <c r="AD65" s="228">
        <v>3</v>
      </c>
      <c r="AE65" s="228">
        <v>3.4</v>
      </c>
      <c r="AF65" s="229">
        <v>6.0000000000000001E-3</v>
      </c>
      <c r="AG65" s="228">
        <v>8.5500000000000007</v>
      </c>
      <c r="AH65" s="228">
        <v>3.9</v>
      </c>
      <c r="AI65" s="228">
        <v>4.6500000000000004</v>
      </c>
      <c r="AJ65" s="229">
        <v>8.0999999999999996E-3</v>
      </c>
      <c r="AK65" s="228">
        <v>6.65</v>
      </c>
      <c r="AL65" s="228">
        <v>1.1499999999999999</v>
      </c>
      <c r="AM65" s="228">
        <v>5.5</v>
      </c>
      <c r="AN65" s="229">
        <v>6.3E-3</v>
      </c>
      <c r="AO65" s="231">
        <v>1064.01</v>
      </c>
      <c r="AP65" s="231">
        <v>1064.3499999999999</v>
      </c>
      <c r="AQ65" s="228">
        <v>0</v>
      </c>
      <c r="AR65" s="230">
        <v>1934400</v>
      </c>
      <c r="AS65" s="230">
        <v>1737550</v>
      </c>
      <c r="AT65" s="230">
        <v>196850</v>
      </c>
      <c r="AU65" s="229">
        <v>0.1133</v>
      </c>
      <c r="AV65" s="230">
        <v>1804975</v>
      </c>
      <c r="AW65" s="230">
        <v>1644550</v>
      </c>
      <c r="AX65" s="230">
        <v>160425</v>
      </c>
      <c r="AY65" s="229">
        <v>9.7500000000000003E-2</v>
      </c>
      <c r="AZ65" s="230">
        <v>117800</v>
      </c>
      <c r="BA65" s="230">
        <v>85250</v>
      </c>
      <c r="BB65" s="230">
        <v>32550</v>
      </c>
      <c r="BC65" s="229">
        <v>0.38179999999999997</v>
      </c>
      <c r="BD65" s="230">
        <v>11625</v>
      </c>
      <c r="BE65" s="230">
        <v>7750</v>
      </c>
      <c r="BF65" s="230">
        <v>3875</v>
      </c>
      <c r="BG65" s="229">
        <v>0.5</v>
      </c>
      <c r="BH65" s="230">
        <v>4484150</v>
      </c>
      <c r="BI65" s="230">
        <v>8169275</v>
      </c>
      <c r="BJ65" s="230">
        <v>-3685125</v>
      </c>
      <c r="BK65" s="229">
        <v>-0.4511</v>
      </c>
      <c r="BL65" s="230">
        <v>3089925</v>
      </c>
      <c r="BM65" s="230">
        <v>3928475</v>
      </c>
      <c r="BN65" s="230">
        <v>-838550</v>
      </c>
      <c r="BO65" s="229">
        <v>-0.2135</v>
      </c>
      <c r="BP65" s="230">
        <v>9508475</v>
      </c>
      <c r="BQ65" s="230">
        <v>13835300</v>
      </c>
      <c r="BR65" s="230">
        <v>-4326825</v>
      </c>
      <c r="BS65" s="229">
        <v>-0.31269999999999998</v>
      </c>
      <c r="BT65" s="230">
        <v>2341792</v>
      </c>
      <c r="BU65" s="230">
        <v>2296569</v>
      </c>
      <c r="BV65" s="230">
        <v>45223</v>
      </c>
      <c r="BW65" s="229">
        <v>1.9699999999999999E-2</v>
      </c>
      <c r="BX65" s="230">
        <v>8906300</v>
      </c>
      <c r="BY65" s="230">
        <v>8797800</v>
      </c>
      <c r="BZ65" s="230">
        <v>108500</v>
      </c>
      <c r="CA65" s="229">
        <v>1.23E-2</v>
      </c>
      <c r="CB65" s="230">
        <v>8539725</v>
      </c>
      <c r="CC65" s="230">
        <v>8449050</v>
      </c>
      <c r="CD65" s="230">
        <v>90675</v>
      </c>
      <c r="CE65" s="229">
        <v>1.0699999999999999E-2</v>
      </c>
      <c r="CF65" s="230">
        <v>342550</v>
      </c>
      <c r="CG65" s="230">
        <v>330150</v>
      </c>
      <c r="CH65" s="230">
        <v>12400</v>
      </c>
      <c r="CI65" s="229">
        <v>3.7600000000000001E-2</v>
      </c>
      <c r="CJ65" s="230">
        <v>24025</v>
      </c>
      <c r="CK65" s="230">
        <v>18600</v>
      </c>
      <c r="CL65" s="230">
        <v>5425</v>
      </c>
      <c r="CM65" s="229">
        <v>0.29170000000000001</v>
      </c>
      <c r="CN65" s="230">
        <v>3379775</v>
      </c>
      <c r="CO65" s="230">
        <v>3544075</v>
      </c>
      <c r="CP65" s="230">
        <v>-164300</v>
      </c>
      <c r="CQ65" s="229">
        <v>-4.6399999999999997E-2</v>
      </c>
      <c r="CR65" s="230">
        <v>2882225</v>
      </c>
      <c r="CS65" s="230">
        <v>3015525</v>
      </c>
      <c r="CT65" s="230">
        <v>-133300</v>
      </c>
      <c r="CU65" s="229">
        <v>-4.4200000000000003E-2</v>
      </c>
      <c r="CV65" s="230">
        <v>15168300</v>
      </c>
      <c r="CW65" s="230">
        <v>15357400</v>
      </c>
      <c r="CX65" s="230">
        <v>-189100</v>
      </c>
      <c r="CY65" s="229">
        <v>-1.23E-2</v>
      </c>
      <c r="CZ65" s="228">
        <v>25.09</v>
      </c>
      <c r="DA65" s="228">
        <v>26.07</v>
      </c>
      <c r="DB65" s="228">
        <v>-0.98</v>
      </c>
      <c r="DC65" s="228">
        <v>-0.98</v>
      </c>
      <c r="DD65" s="228">
        <v>36.909999999999997</v>
      </c>
      <c r="DE65" s="228">
        <v>36.979999999999997</v>
      </c>
      <c r="DF65" s="228">
        <v>-11.82</v>
      </c>
      <c r="DG65" s="228">
        <v>-7.0000000000000007E-2</v>
      </c>
      <c r="DH65" s="228">
        <v>24.51</v>
      </c>
      <c r="DI65" s="228">
        <v>25.38</v>
      </c>
      <c r="DJ65" s="228">
        <v>-0.87</v>
      </c>
      <c r="DK65" s="228">
        <v>-0.87</v>
      </c>
      <c r="DL65" s="228">
        <v>25.93</v>
      </c>
      <c r="DM65" s="228">
        <v>27.51</v>
      </c>
      <c r="DN65" s="228">
        <v>-1.58</v>
      </c>
      <c r="DO65" s="228">
        <v>-1.58</v>
      </c>
      <c r="DP65" s="228">
        <v>0.85</v>
      </c>
      <c r="DQ65" s="228">
        <v>0.85</v>
      </c>
      <c r="DR65" s="228">
        <v>0</v>
      </c>
      <c r="DS65" s="229">
        <v>0</v>
      </c>
      <c r="DT65" s="231">
        <v>1100</v>
      </c>
      <c r="DU65" s="231">
        <v>1000</v>
      </c>
      <c r="DV65" s="228">
        <v>0.69</v>
      </c>
      <c r="DW65" s="228">
        <v>0.48</v>
      </c>
      <c r="DX65" s="228">
        <v>0.21</v>
      </c>
      <c r="DY65" s="229">
        <v>0.4375</v>
      </c>
      <c r="DZ65" s="229">
        <v>4.1200000000000001E-2</v>
      </c>
      <c r="EA65" s="230">
        <v>348750</v>
      </c>
      <c r="EB65" s="229">
        <v>2E-3</v>
      </c>
      <c r="EC65" s="229">
        <v>4.1200000000000001E-2</v>
      </c>
      <c r="ED65" s="228">
        <v>0.34</v>
      </c>
      <c r="EE65" s="229">
        <v>2.9999999999999997E-4</v>
      </c>
      <c r="EF65" s="230">
        <v>1534743</v>
      </c>
      <c r="EG65" s="230">
        <v>1311932</v>
      </c>
      <c r="EH65" s="229">
        <v>0.16980000000000001</v>
      </c>
      <c r="EI65" s="229">
        <v>0.65539999999999998</v>
      </c>
      <c r="EJ65" s="231">
        <v>49527.39</v>
      </c>
      <c r="EK65" s="231">
        <v>32268.07</v>
      </c>
      <c r="EL65" s="231">
        <v>20582.61</v>
      </c>
      <c r="EM65" s="231">
        <v>4328</v>
      </c>
      <c r="EN65" s="231">
        <v>102378.07</v>
      </c>
      <c r="EO65" s="231">
        <v>149986.82</v>
      </c>
      <c r="EP65" s="231">
        <v>-47608.75</v>
      </c>
      <c r="EQ65" s="229">
        <v>-0.31740000000000002</v>
      </c>
      <c r="ER65" s="231">
        <v>36256</v>
      </c>
      <c r="ES65" s="231">
        <v>28719</v>
      </c>
      <c r="ET65" s="231">
        <v>95011</v>
      </c>
      <c r="EU65" s="231">
        <v>62490435</v>
      </c>
      <c r="EV65" s="231">
        <v>159985</v>
      </c>
      <c r="EW65" s="231">
        <v>162305</v>
      </c>
      <c r="EX65" s="231">
        <v>-2320</v>
      </c>
      <c r="EY65" s="229">
        <v>-1.43E-2</v>
      </c>
      <c r="EZ65" s="229">
        <v>0.2427</v>
      </c>
      <c r="FA65" s="227" t="s">
        <v>567</v>
      </c>
      <c r="FB65" s="161">
        <f t="shared" si="0"/>
        <v>366575</v>
      </c>
    </row>
    <row r="66" spans="1:158" ht="17.25" hidden="1" thickBot="1" x14ac:dyDescent="0.3">
      <c r="A66" s="226">
        <v>45940</v>
      </c>
      <c r="B66" s="227" t="s">
        <v>193</v>
      </c>
      <c r="C66" s="227" t="s">
        <v>213</v>
      </c>
      <c r="D66" s="228">
        <v>3150</v>
      </c>
      <c r="E66" s="228">
        <v>179.58</v>
      </c>
      <c r="F66" s="228">
        <v>178.99</v>
      </c>
      <c r="G66" s="228">
        <v>0.59</v>
      </c>
      <c r="H66" s="229">
        <v>3.3E-3</v>
      </c>
      <c r="I66" s="228">
        <v>179.21</v>
      </c>
      <c r="J66" s="228">
        <v>178.45</v>
      </c>
      <c r="K66" s="228">
        <v>0.76</v>
      </c>
      <c r="L66" s="229">
        <v>4.3E-3</v>
      </c>
      <c r="M66" s="228">
        <v>179.58</v>
      </c>
      <c r="N66" s="228">
        <v>178.99</v>
      </c>
      <c r="O66" s="228">
        <v>0.59</v>
      </c>
      <c r="P66" s="229">
        <v>3.3E-3</v>
      </c>
      <c r="Q66" s="228">
        <v>180.45</v>
      </c>
      <c r="R66" s="228">
        <v>180.01</v>
      </c>
      <c r="S66" s="228">
        <v>0.44</v>
      </c>
      <c r="T66" s="229">
        <v>2.3999999999999998E-3</v>
      </c>
      <c r="U66" s="228">
        <v>181.48</v>
      </c>
      <c r="V66" s="228">
        <v>181.02</v>
      </c>
      <c r="W66" s="228">
        <v>0.46</v>
      </c>
      <c r="X66" s="229">
        <v>2.5000000000000001E-3</v>
      </c>
      <c r="Y66" s="228">
        <v>0.37</v>
      </c>
      <c r="Z66" s="228">
        <v>0.54</v>
      </c>
      <c r="AA66" s="228">
        <v>-0.17</v>
      </c>
      <c r="AB66" s="229">
        <v>2.0999999999999999E-3</v>
      </c>
      <c r="AC66" s="228">
        <v>0.37</v>
      </c>
      <c r="AD66" s="228">
        <v>0.54</v>
      </c>
      <c r="AE66" s="228">
        <v>-0.17</v>
      </c>
      <c r="AF66" s="229">
        <v>2.0999999999999999E-3</v>
      </c>
      <c r="AG66" s="228">
        <v>1.24</v>
      </c>
      <c r="AH66" s="228">
        <v>1.56</v>
      </c>
      <c r="AI66" s="228">
        <v>-0.32</v>
      </c>
      <c r="AJ66" s="229">
        <v>6.8999999999999999E-3</v>
      </c>
      <c r="AK66" s="228">
        <v>2.27</v>
      </c>
      <c r="AL66" s="228">
        <v>2.57</v>
      </c>
      <c r="AM66" s="228">
        <v>-0.3</v>
      </c>
      <c r="AN66" s="229">
        <v>1.2699999999999999E-2</v>
      </c>
      <c r="AO66" s="228">
        <v>180.04</v>
      </c>
      <c r="AP66" s="228">
        <v>181.33</v>
      </c>
      <c r="AQ66" s="228">
        <v>0</v>
      </c>
      <c r="AR66" s="230">
        <v>14445900</v>
      </c>
      <c r="AS66" s="230">
        <v>6372450</v>
      </c>
      <c r="AT66" s="230">
        <v>8073450</v>
      </c>
      <c r="AU66" s="229">
        <v>1.2668999999999999</v>
      </c>
      <c r="AV66" s="230">
        <v>12744900</v>
      </c>
      <c r="AW66" s="230">
        <v>5956650</v>
      </c>
      <c r="AX66" s="230">
        <v>6788250</v>
      </c>
      <c r="AY66" s="229">
        <v>1.1395999999999999</v>
      </c>
      <c r="AZ66" s="230">
        <v>1436400</v>
      </c>
      <c r="BA66" s="230">
        <v>296100</v>
      </c>
      <c r="BB66" s="230">
        <v>1140300</v>
      </c>
      <c r="BC66" s="229">
        <v>3.8511000000000002</v>
      </c>
      <c r="BD66" s="230">
        <v>264600</v>
      </c>
      <c r="BE66" s="230">
        <v>119700</v>
      </c>
      <c r="BF66" s="230">
        <v>144900</v>
      </c>
      <c r="BG66" s="229">
        <v>1.2104999999999999</v>
      </c>
      <c r="BH66" s="230">
        <v>32382000</v>
      </c>
      <c r="BI66" s="230">
        <v>21539700</v>
      </c>
      <c r="BJ66" s="230">
        <v>10842300</v>
      </c>
      <c r="BK66" s="229">
        <v>0.50339999999999996</v>
      </c>
      <c r="BL66" s="230">
        <v>13463100</v>
      </c>
      <c r="BM66" s="230">
        <v>7966350</v>
      </c>
      <c r="BN66" s="230">
        <v>5496750</v>
      </c>
      <c r="BO66" s="229">
        <v>0.69</v>
      </c>
      <c r="BP66" s="230">
        <v>60291000</v>
      </c>
      <c r="BQ66" s="230">
        <v>35878500</v>
      </c>
      <c r="BR66" s="230">
        <v>24412500</v>
      </c>
      <c r="BS66" s="229">
        <v>0.6804</v>
      </c>
      <c r="BT66" s="230">
        <v>12829167</v>
      </c>
      <c r="BU66" s="230">
        <v>5785871</v>
      </c>
      <c r="BV66" s="230">
        <v>7043296</v>
      </c>
      <c r="BW66" s="229">
        <v>1.2173</v>
      </c>
      <c r="BX66" s="230">
        <v>99253350</v>
      </c>
      <c r="BY66" s="230">
        <v>101877300</v>
      </c>
      <c r="BZ66" s="230">
        <v>-2623950</v>
      </c>
      <c r="CA66" s="229">
        <v>-2.58E-2</v>
      </c>
      <c r="CB66" s="230">
        <v>94925250</v>
      </c>
      <c r="CC66" s="230">
        <v>98273700</v>
      </c>
      <c r="CD66" s="230">
        <v>-3348450</v>
      </c>
      <c r="CE66" s="229">
        <v>-3.4099999999999998E-2</v>
      </c>
      <c r="CF66" s="230">
        <v>4117050</v>
      </c>
      <c r="CG66" s="230">
        <v>3367350</v>
      </c>
      <c r="CH66" s="230">
        <v>749700</v>
      </c>
      <c r="CI66" s="229">
        <v>0.22259999999999999</v>
      </c>
      <c r="CJ66" s="230">
        <v>211050</v>
      </c>
      <c r="CK66" s="230">
        <v>236250</v>
      </c>
      <c r="CL66" s="230">
        <v>-25200</v>
      </c>
      <c r="CM66" s="229">
        <v>-0.1067</v>
      </c>
      <c r="CN66" s="230">
        <v>38634750</v>
      </c>
      <c r="CO66" s="230">
        <v>39324600</v>
      </c>
      <c r="CP66" s="230">
        <v>-689850</v>
      </c>
      <c r="CQ66" s="229">
        <v>-1.7500000000000002E-2</v>
      </c>
      <c r="CR66" s="230">
        <v>25707150</v>
      </c>
      <c r="CS66" s="230">
        <v>25641000</v>
      </c>
      <c r="CT66" s="230">
        <v>66150</v>
      </c>
      <c r="CU66" s="229">
        <v>2.5999999999999999E-3</v>
      </c>
      <c r="CV66" s="230">
        <v>163595250</v>
      </c>
      <c r="CW66" s="230">
        <v>166842900</v>
      </c>
      <c r="CX66" s="230">
        <v>-3247650</v>
      </c>
      <c r="CY66" s="229">
        <v>-1.95E-2</v>
      </c>
      <c r="CZ66" s="228">
        <v>22.71</v>
      </c>
      <c r="DA66" s="228">
        <v>23.81</v>
      </c>
      <c r="DB66" s="228">
        <v>-1.1000000000000001</v>
      </c>
      <c r="DC66" s="228">
        <v>-1.1000000000000001</v>
      </c>
      <c r="DD66" s="228">
        <v>36.549999999999997</v>
      </c>
      <c r="DE66" s="228">
        <v>36.64</v>
      </c>
      <c r="DF66" s="228">
        <v>-13.84</v>
      </c>
      <c r="DG66" s="228">
        <v>-0.09</v>
      </c>
      <c r="DH66" s="228">
        <v>22.85</v>
      </c>
      <c r="DI66" s="228">
        <v>23.78</v>
      </c>
      <c r="DJ66" s="228">
        <v>-0.93</v>
      </c>
      <c r="DK66" s="228">
        <v>-0.93</v>
      </c>
      <c r="DL66" s="228">
        <v>22.38</v>
      </c>
      <c r="DM66" s="228">
        <v>23.88</v>
      </c>
      <c r="DN66" s="228">
        <v>-1.5</v>
      </c>
      <c r="DO66" s="228">
        <v>-1.5</v>
      </c>
      <c r="DP66" s="228">
        <v>0.67</v>
      </c>
      <c r="DQ66" s="228">
        <v>0.65</v>
      </c>
      <c r="DR66" s="228">
        <v>0.02</v>
      </c>
      <c r="DS66" s="229">
        <v>3.0800000000000001E-2</v>
      </c>
      <c r="DT66" s="228">
        <v>180</v>
      </c>
      <c r="DU66" s="228">
        <v>180</v>
      </c>
      <c r="DV66" s="228">
        <v>0.42</v>
      </c>
      <c r="DW66" s="228">
        <v>0.37</v>
      </c>
      <c r="DX66" s="228">
        <v>0.05</v>
      </c>
      <c r="DY66" s="229">
        <v>0.1351</v>
      </c>
      <c r="DZ66" s="229">
        <v>4.36E-2</v>
      </c>
      <c r="EA66" s="230">
        <v>3603600</v>
      </c>
      <c r="EB66" s="229">
        <v>4.7999999999999996E-3</v>
      </c>
      <c r="EC66" s="229">
        <v>4.36E-2</v>
      </c>
      <c r="ED66" s="228">
        <v>1.29</v>
      </c>
      <c r="EE66" s="229">
        <v>7.1999999999999998E-3</v>
      </c>
      <c r="EF66" s="230">
        <v>8763708</v>
      </c>
      <c r="EG66" s="230">
        <v>3474282</v>
      </c>
      <c r="EH66" s="229">
        <v>1.5225</v>
      </c>
      <c r="EI66" s="229">
        <v>0.68310000000000004</v>
      </c>
      <c r="EJ66" s="231">
        <v>60627.22</v>
      </c>
      <c r="EK66" s="231">
        <v>24272.99</v>
      </c>
      <c r="EL66" s="231">
        <v>26032.78</v>
      </c>
      <c r="EM66" s="231">
        <v>3890</v>
      </c>
      <c r="EN66" s="231">
        <v>110932.99</v>
      </c>
      <c r="EO66" s="231">
        <v>65665.69</v>
      </c>
      <c r="EP66" s="231">
        <v>45267.3</v>
      </c>
      <c r="EQ66" s="229">
        <v>0.68940000000000001</v>
      </c>
      <c r="ER66" s="231">
        <v>71810</v>
      </c>
      <c r="ES66" s="231">
        <v>46218</v>
      </c>
      <c r="ET66" s="231">
        <v>178279</v>
      </c>
      <c r="EU66" s="231">
        <v>402429848</v>
      </c>
      <c r="EV66" s="231">
        <v>296307</v>
      </c>
      <c r="EW66" s="231">
        <v>301344</v>
      </c>
      <c r="EX66" s="231">
        <v>-5037</v>
      </c>
      <c r="EY66" s="229">
        <v>-1.67E-2</v>
      </c>
      <c r="EZ66" s="229">
        <v>0.40649999999999997</v>
      </c>
      <c r="FA66" s="227" t="s">
        <v>556</v>
      </c>
      <c r="FB66" s="161">
        <f t="shared" si="0"/>
        <v>4328100</v>
      </c>
    </row>
    <row r="67" spans="1:158" ht="17.25" hidden="1" thickBot="1" x14ac:dyDescent="0.3">
      <c r="A67" s="226">
        <v>45940</v>
      </c>
      <c r="B67" s="227" t="s">
        <v>170</v>
      </c>
      <c r="C67" s="227" t="s">
        <v>214</v>
      </c>
      <c r="D67" s="228">
        <v>375</v>
      </c>
      <c r="E67" s="231">
        <v>1949.7</v>
      </c>
      <c r="F67" s="231">
        <v>1946.4</v>
      </c>
      <c r="G67" s="228">
        <v>3.3</v>
      </c>
      <c r="H67" s="229">
        <v>1.6999999999999999E-3</v>
      </c>
      <c r="I67" s="231">
        <v>1939.3</v>
      </c>
      <c r="J67" s="231">
        <v>1935.6</v>
      </c>
      <c r="K67" s="228">
        <v>3.7</v>
      </c>
      <c r="L67" s="229">
        <v>1.9E-3</v>
      </c>
      <c r="M67" s="231">
        <v>1949.7</v>
      </c>
      <c r="N67" s="231">
        <v>1946.4</v>
      </c>
      <c r="O67" s="228">
        <v>3.3</v>
      </c>
      <c r="P67" s="229">
        <v>1.6999999999999999E-3</v>
      </c>
      <c r="Q67" s="231">
        <v>1960.8</v>
      </c>
      <c r="R67" s="231">
        <v>1956.3</v>
      </c>
      <c r="S67" s="228">
        <v>4.5</v>
      </c>
      <c r="T67" s="229">
        <v>2.3E-3</v>
      </c>
      <c r="U67" s="231">
        <v>1973</v>
      </c>
      <c r="V67" s="231">
        <v>1965</v>
      </c>
      <c r="W67" s="228">
        <v>8</v>
      </c>
      <c r="X67" s="229">
        <v>4.1000000000000003E-3</v>
      </c>
      <c r="Y67" s="228">
        <v>10.4</v>
      </c>
      <c r="Z67" s="228">
        <v>10.8</v>
      </c>
      <c r="AA67" s="228">
        <v>-0.4</v>
      </c>
      <c r="AB67" s="229">
        <v>5.4000000000000003E-3</v>
      </c>
      <c r="AC67" s="228">
        <v>10.4</v>
      </c>
      <c r="AD67" s="228">
        <v>10.8</v>
      </c>
      <c r="AE67" s="228">
        <v>-0.4</v>
      </c>
      <c r="AF67" s="229">
        <v>5.4000000000000003E-3</v>
      </c>
      <c r="AG67" s="228">
        <v>21.5</v>
      </c>
      <c r="AH67" s="228">
        <v>20.7</v>
      </c>
      <c r="AI67" s="228">
        <v>0.8</v>
      </c>
      <c r="AJ67" s="229">
        <v>1.11E-2</v>
      </c>
      <c r="AK67" s="228">
        <v>33.700000000000003</v>
      </c>
      <c r="AL67" s="228">
        <v>29.4</v>
      </c>
      <c r="AM67" s="228">
        <v>4.3</v>
      </c>
      <c r="AN67" s="229">
        <v>1.7399999999999999E-2</v>
      </c>
      <c r="AO67" s="231">
        <v>1961.35</v>
      </c>
      <c r="AP67" s="231">
        <v>1972.17</v>
      </c>
      <c r="AQ67" s="228">
        <v>0</v>
      </c>
      <c r="AR67" s="230">
        <v>1207125</v>
      </c>
      <c r="AS67" s="230">
        <v>726375</v>
      </c>
      <c r="AT67" s="230">
        <v>480750</v>
      </c>
      <c r="AU67" s="229">
        <v>0.66180000000000005</v>
      </c>
      <c r="AV67" s="230">
        <v>1138500</v>
      </c>
      <c r="AW67" s="230">
        <v>690750</v>
      </c>
      <c r="AX67" s="230">
        <v>447750</v>
      </c>
      <c r="AY67" s="229">
        <v>0.6482</v>
      </c>
      <c r="AZ67" s="230">
        <v>63375</v>
      </c>
      <c r="BA67" s="230">
        <v>32625</v>
      </c>
      <c r="BB67" s="230">
        <v>30750</v>
      </c>
      <c r="BC67" s="229">
        <v>0.9425</v>
      </c>
      <c r="BD67" s="230">
        <v>5250</v>
      </c>
      <c r="BE67" s="230">
        <v>3000</v>
      </c>
      <c r="BF67" s="230">
        <v>2250</v>
      </c>
      <c r="BG67" s="229">
        <v>0.75</v>
      </c>
      <c r="BH67" s="230">
        <v>2230875</v>
      </c>
      <c r="BI67" s="230">
        <v>1726500</v>
      </c>
      <c r="BJ67" s="230">
        <v>504375</v>
      </c>
      <c r="BK67" s="229">
        <v>0.29210000000000003</v>
      </c>
      <c r="BL67" s="230">
        <v>752250</v>
      </c>
      <c r="BM67" s="230">
        <v>462750</v>
      </c>
      <c r="BN67" s="230">
        <v>289500</v>
      </c>
      <c r="BO67" s="229">
        <v>0.62560000000000004</v>
      </c>
      <c r="BP67" s="230">
        <v>4190250</v>
      </c>
      <c r="BQ67" s="230">
        <v>2915625</v>
      </c>
      <c r="BR67" s="230">
        <v>1274625</v>
      </c>
      <c r="BS67" s="229">
        <v>0.43719999999999998</v>
      </c>
      <c r="BT67" s="230">
        <v>903374</v>
      </c>
      <c r="BU67" s="230">
        <v>634686</v>
      </c>
      <c r="BV67" s="230">
        <v>268688</v>
      </c>
      <c r="BW67" s="229">
        <v>0.42330000000000001</v>
      </c>
      <c r="BX67" s="230">
        <v>7653000</v>
      </c>
      <c r="BY67" s="230">
        <v>7546500</v>
      </c>
      <c r="BZ67" s="230">
        <v>106500</v>
      </c>
      <c r="CA67" s="229">
        <v>1.41E-2</v>
      </c>
      <c r="CB67" s="230">
        <v>7547250</v>
      </c>
      <c r="CC67" s="230">
        <v>7454250</v>
      </c>
      <c r="CD67" s="230">
        <v>93000</v>
      </c>
      <c r="CE67" s="229">
        <v>1.2500000000000001E-2</v>
      </c>
      <c r="CF67" s="230">
        <v>95250</v>
      </c>
      <c r="CG67" s="230">
        <v>81750</v>
      </c>
      <c r="CH67" s="230">
        <v>13500</v>
      </c>
      <c r="CI67" s="229">
        <v>0.1651</v>
      </c>
      <c r="CJ67" s="230">
        <v>10500</v>
      </c>
      <c r="CK67" s="230">
        <v>10500</v>
      </c>
      <c r="CL67" s="228">
        <v>0</v>
      </c>
      <c r="CM67" s="229">
        <v>0</v>
      </c>
      <c r="CN67" s="230">
        <v>1767000</v>
      </c>
      <c r="CO67" s="230">
        <v>1682625</v>
      </c>
      <c r="CP67" s="230">
        <v>84375</v>
      </c>
      <c r="CQ67" s="229">
        <v>5.0099999999999999E-2</v>
      </c>
      <c r="CR67" s="230">
        <v>1081125</v>
      </c>
      <c r="CS67" s="230">
        <v>1043625</v>
      </c>
      <c r="CT67" s="230">
        <v>37500</v>
      </c>
      <c r="CU67" s="229">
        <v>3.5900000000000001E-2</v>
      </c>
      <c r="CV67" s="230">
        <v>10501125</v>
      </c>
      <c r="CW67" s="230">
        <v>10272750</v>
      </c>
      <c r="CX67" s="230">
        <v>228375</v>
      </c>
      <c r="CY67" s="229">
        <v>2.2200000000000001E-2</v>
      </c>
      <c r="CZ67" s="228">
        <v>27.8</v>
      </c>
      <c r="DA67" s="228">
        <v>27.73</v>
      </c>
      <c r="DB67" s="228">
        <v>7.0000000000000007E-2</v>
      </c>
      <c r="DC67" s="228">
        <v>7.0000000000000007E-2</v>
      </c>
      <c r="DD67" s="228">
        <v>38.479999999999997</v>
      </c>
      <c r="DE67" s="228">
        <v>38.57</v>
      </c>
      <c r="DF67" s="228">
        <v>-10.68</v>
      </c>
      <c r="DG67" s="228">
        <v>-0.09</v>
      </c>
      <c r="DH67" s="228">
        <v>28.17</v>
      </c>
      <c r="DI67" s="228">
        <v>28.04</v>
      </c>
      <c r="DJ67" s="228">
        <v>0.13</v>
      </c>
      <c r="DK67" s="228">
        <v>0.13</v>
      </c>
      <c r="DL67" s="228">
        <v>26.7</v>
      </c>
      <c r="DM67" s="228">
        <v>26.56</v>
      </c>
      <c r="DN67" s="228">
        <v>0.14000000000000001</v>
      </c>
      <c r="DO67" s="228">
        <v>0.14000000000000001</v>
      </c>
      <c r="DP67" s="228">
        <v>0.61</v>
      </c>
      <c r="DQ67" s="228">
        <v>0.62</v>
      </c>
      <c r="DR67" s="228">
        <v>-0.01</v>
      </c>
      <c r="DS67" s="229">
        <v>-1.61E-2</v>
      </c>
      <c r="DT67" s="231">
        <v>2200</v>
      </c>
      <c r="DU67" s="231">
        <v>1860</v>
      </c>
      <c r="DV67" s="228">
        <v>0.34</v>
      </c>
      <c r="DW67" s="228">
        <v>0.27</v>
      </c>
      <c r="DX67" s="228">
        <v>7.0000000000000007E-2</v>
      </c>
      <c r="DY67" s="229">
        <v>0.25929999999999997</v>
      </c>
      <c r="DZ67" s="229">
        <v>1.38E-2</v>
      </c>
      <c r="EA67" s="230">
        <v>92250</v>
      </c>
      <c r="EB67" s="229">
        <v>5.7000000000000002E-3</v>
      </c>
      <c r="EC67" s="229">
        <v>1.38E-2</v>
      </c>
      <c r="ED67" s="228">
        <v>10.82</v>
      </c>
      <c r="EE67" s="229">
        <v>5.4999999999999997E-3</v>
      </c>
      <c r="EF67" s="230">
        <v>616249</v>
      </c>
      <c r="EG67" s="230">
        <v>381210</v>
      </c>
      <c r="EH67" s="229">
        <v>0.61660000000000004</v>
      </c>
      <c r="EI67" s="229">
        <v>0.68220000000000003</v>
      </c>
      <c r="EJ67" s="231">
        <v>45550.32</v>
      </c>
      <c r="EK67" s="231">
        <v>14534.94</v>
      </c>
      <c r="EL67" s="231">
        <v>23684.12</v>
      </c>
      <c r="EM67" s="231">
        <v>1635</v>
      </c>
      <c r="EN67" s="231">
        <v>83769.38</v>
      </c>
      <c r="EO67" s="231">
        <v>58423.14</v>
      </c>
      <c r="EP67" s="231">
        <v>25346.240000000002</v>
      </c>
      <c r="EQ67" s="229">
        <v>0.43380000000000002</v>
      </c>
      <c r="ER67" s="231">
        <v>36842</v>
      </c>
      <c r="ES67" s="231">
        <v>20659</v>
      </c>
      <c r="ET67" s="231">
        <v>149224</v>
      </c>
      <c r="EU67" s="231">
        <v>22585180</v>
      </c>
      <c r="EV67" s="231">
        <v>206725</v>
      </c>
      <c r="EW67" s="231">
        <v>202009</v>
      </c>
      <c r="EX67" s="231">
        <v>4716</v>
      </c>
      <c r="EY67" s="229">
        <v>2.3300000000000001E-2</v>
      </c>
      <c r="EZ67" s="229">
        <v>0.46500000000000002</v>
      </c>
      <c r="FA67" s="227" t="s">
        <v>555</v>
      </c>
      <c r="FB67" s="161">
        <f t="shared" ref="FB67:FB130" si="1">BX67-CB67</f>
        <v>105750</v>
      </c>
    </row>
    <row r="68" spans="1:158" ht="17.25" hidden="1" thickBot="1" x14ac:dyDescent="0.3">
      <c r="A68" s="226">
        <v>45940</v>
      </c>
      <c r="B68" s="227" t="s">
        <v>215</v>
      </c>
      <c r="C68" s="227" t="s">
        <v>632</v>
      </c>
      <c r="D68" s="228">
        <v>6975</v>
      </c>
      <c r="E68" s="228">
        <v>90.68</v>
      </c>
      <c r="F68" s="228">
        <v>91.15</v>
      </c>
      <c r="G68" s="228">
        <v>-0.47</v>
      </c>
      <c r="H68" s="229">
        <v>-5.1999999999999998E-3</v>
      </c>
      <c r="I68" s="228">
        <v>90.35</v>
      </c>
      <c r="J68" s="228">
        <v>90.71</v>
      </c>
      <c r="K68" s="228">
        <v>-0.36</v>
      </c>
      <c r="L68" s="229">
        <v>-4.0000000000000001E-3</v>
      </c>
      <c r="M68" s="228">
        <v>90.68</v>
      </c>
      <c r="N68" s="228">
        <v>91.15</v>
      </c>
      <c r="O68" s="228">
        <v>-0.47</v>
      </c>
      <c r="P68" s="229">
        <v>-5.1999999999999998E-3</v>
      </c>
      <c r="Q68" s="228">
        <v>91.02</v>
      </c>
      <c r="R68" s="228">
        <v>91.61</v>
      </c>
      <c r="S68" s="228">
        <v>-0.59</v>
      </c>
      <c r="T68" s="229">
        <v>-6.4000000000000003E-3</v>
      </c>
      <c r="U68" s="228">
        <v>91.53</v>
      </c>
      <c r="V68" s="228">
        <v>91.66</v>
      </c>
      <c r="W68" s="228">
        <v>-0.13</v>
      </c>
      <c r="X68" s="229">
        <v>-1.4E-3</v>
      </c>
      <c r="Y68" s="228">
        <v>0.33</v>
      </c>
      <c r="Z68" s="228">
        <v>0.44</v>
      </c>
      <c r="AA68" s="228">
        <v>-0.11</v>
      </c>
      <c r="AB68" s="229">
        <v>3.7000000000000002E-3</v>
      </c>
      <c r="AC68" s="228">
        <v>0.33</v>
      </c>
      <c r="AD68" s="228">
        <v>0.44</v>
      </c>
      <c r="AE68" s="228">
        <v>-0.11</v>
      </c>
      <c r="AF68" s="229">
        <v>3.7000000000000002E-3</v>
      </c>
      <c r="AG68" s="228">
        <v>0.67</v>
      </c>
      <c r="AH68" s="228">
        <v>0.9</v>
      </c>
      <c r="AI68" s="228">
        <v>-0.23</v>
      </c>
      <c r="AJ68" s="229">
        <v>7.4000000000000003E-3</v>
      </c>
      <c r="AK68" s="228">
        <v>1.18</v>
      </c>
      <c r="AL68" s="228">
        <v>0.95</v>
      </c>
      <c r="AM68" s="228">
        <v>0.23</v>
      </c>
      <c r="AN68" s="229">
        <v>1.3100000000000001E-2</v>
      </c>
      <c r="AO68" s="228">
        <v>90.61</v>
      </c>
      <c r="AP68" s="228">
        <v>91.07</v>
      </c>
      <c r="AQ68" s="228">
        <v>0</v>
      </c>
      <c r="AR68" s="230">
        <v>19502100</v>
      </c>
      <c r="AS68" s="230">
        <v>38641500</v>
      </c>
      <c r="AT68" s="230">
        <v>-19139400</v>
      </c>
      <c r="AU68" s="229">
        <v>-0.49530000000000002</v>
      </c>
      <c r="AV68" s="230">
        <v>16195950</v>
      </c>
      <c r="AW68" s="230">
        <v>33507900</v>
      </c>
      <c r="AX68" s="230">
        <v>-17311950</v>
      </c>
      <c r="AY68" s="229">
        <v>-0.51670000000000005</v>
      </c>
      <c r="AZ68" s="230">
        <v>3243375</v>
      </c>
      <c r="BA68" s="230">
        <v>4903425</v>
      </c>
      <c r="BB68" s="230">
        <v>-1660050</v>
      </c>
      <c r="BC68" s="229">
        <v>-0.33850000000000002</v>
      </c>
      <c r="BD68" s="230">
        <v>62775</v>
      </c>
      <c r="BE68" s="230">
        <v>230175</v>
      </c>
      <c r="BF68" s="230">
        <v>-167400</v>
      </c>
      <c r="BG68" s="229">
        <v>-0.72729999999999995</v>
      </c>
      <c r="BH68" s="230">
        <v>37790550</v>
      </c>
      <c r="BI68" s="230">
        <v>96778125</v>
      </c>
      <c r="BJ68" s="230">
        <v>-58987575</v>
      </c>
      <c r="BK68" s="229">
        <v>-0.60950000000000004</v>
      </c>
      <c r="BL68" s="230">
        <v>12387600</v>
      </c>
      <c r="BM68" s="230">
        <v>40901400</v>
      </c>
      <c r="BN68" s="230">
        <v>-28513800</v>
      </c>
      <c r="BO68" s="229">
        <v>-0.69710000000000005</v>
      </c>
      <c r="BP68" s="230">
        <v>69680250</v>
      </c>
      <c r="BQ68" s="230">
        <v>176321025</v>
      </c>
      <c r="BR68" s="230">
        <v>-106640775</v>
      </c>
      <c r="BS68" s="229">
        <v>-0.6048</v>
      </c>
      <c r="BT68" s="230">
        <v>4874972</v>
      </c>
      <c r="BU68" s="230">
        <v>12062943</v>
      </c>
      <c r="BV68" s="230">
        <v>-7187971</v>
      </c>
      <c r="BW68" s="229">
        <v>-0.59589999999999999</v>
      </c>
      <c r="BX68" s="230">
        <v>221798025</v>
      </c>
      <c r="BY68" s="230">
        <v>220256550</v>
      </c>
      <c r="BZ68" s="230">
        <v>1541475</v>
      </c>
      <c r="CA68" s="229">
        <v>7.0000000000000001E-3</v>
      </c>
      <c r="CB68" s="230">
        <v>207408600</v>
      </c>
      <c r="CC68" s="230">
        <v>208099125</v>
      </c>
      <c r="CD68" s="230">
        <v>-690525</v>
      </c>
      <c r="CE68" s="229">
        <v>-3.3E-3</v>
      </c>
      <c r="CF68" s="230">
        <v>14159250</v>
      </c>
      <c r="CG68" s="230">
        <v>11962125</v>
      </c>
      <c r="CH68" s="230">
        <v>2197125</v>
      </c>
      <c r="CI68" s="229">
        <v>0.1837</v>
      </c>
      <c r="CJ68" s="230">
        <v>230175</v>
      </c>
      <c r="CK68" s="230">
        <v>195300</v>
      </c>
      <c r="CL68" s="230">
        <v>34875</v>
      </c>
      <c r="CM68" s="229">
        <v>0.17860000000000001</v>
      </c>
      <c r="CN68" s="230">
        <v>71249625</v>
      </c>
      <c r="CO68" s="230">
        <v>71723925</v>
      </c>
      <c r="CP68" s="230">
        <v>-474300</v>
      </c>
      <c r="CQ68" s="229">
        <v>-6.6E-3</v>
      </c>
      <c r="CR68" s="230">
        <v>36004950</v>
      </c>
      <c r="CS68" s="230">
        <v>36283950</v>
      </c>
      <c r="CT68" s="230">
        <v>-279000</v>
      </c>
      <c r="CU68" s="229">
        <v>-7.7000000000000002E-3</v>
      </c>
      <c r="CV68" s="230">
        <v>329052600</v>
      </c>
      <c r="CW68" s="230">
        <v>328264425</v>
      </c>
      <c r="CX68" s="230">
        <v>788175</v>
      </c>
      <c r="CY68" s="229">
        <v>2.3999999999999998E-3</v>
      </c>
      <c r="CZ68" s="228">
        <v>25.72</v>
      </c>
      <c r="DA68" s="228">
        <v>26.92</v>
      </c>
      <c r="DB68" s="228">
        <v>-1.2</v>
      </c>
      <c r="DC68" s="228">
        <v>-1.2</v>
      </c>
      <c r="DD68" s="228">
        <v>37.58</v>
      </c>
      <c r="DE68" s="228">
        <v>37.659999999999997</v>
      </c>
      <c r="DF68" s="228">
        <v>-11.86</v>
      </c>
      <c r="DG68" s="228">
        <v>-0.08</v>
      </c>
      <c r="DH68" s="228">
        <v>25.8</v>
      </c>
      <c r="DI68" s="228">
        <v>26.32</v>
      </c>
      <c r="DJ68" s="228">
        <v>-0.52</v>
      </c>
      <c r="DK68" s="228">
        <v>-0.52</v>
      </c>
      <c r="DL68" s="228">
        <v>25.46</v>
      </c>
      <c r="DM68" s="228">
        <v>28.33</v>
      </c>
      <c r="DN68" s="228">
        <v>-2.87</v>
      </c>
      <c r="DO68" s="228">
        <v>-2.87</v>
      </c>
      <c r="DP68" s="228">
        <v>0.51</v>
      </c>
      <c r="DQ68" s="228">
        <v>0.51</v>
      </c>
      <c r="DR68" s="228">
        <v>0</v>
      </c>
      <c r="DS68" s="229">
        <v>0</v>
      </c>
      <c r="DT68" s="228">
        <v>95</v>
      </c>
      <c r="DU68" s="228">
        <v>90</v>
      </c>
      <c r="DV68" s="228">
        <v>0.33</v>
      </c>
      <c r="DW68" s="228">
        <v>0.42</v>
      </c>
      <c r="DX68" s="228">
        <v>-0.09</v>
      </c>
      <c r="DY68" s="229">
        <v>-0.21429999999999999</v>
      </c>
      <c r="DZ68" s="229">
        <v>6.4899999999999999E-2</v>
      </c>
      <c r="EA68" s="230">
        <v>12157425</v>
      </c>
      <c r="EB68" s="229">
        <v>3.7000000000000002E-3</v>
      </c>
      <c r="EC68" s="229">
        <v>6.4899999999999999E-2</v>
      </c>
      <c r="ED68" s="228">
        <v>0.46</v>
      </c>
      <c r="EE68" s="229">
        <v>5.1000000000000004E-3</v>
      </c>
      <c r="EF68" s="230">
        <v>2424685</v>
      </c>
      <c r="EG68" s="230">
        <v>4836816</v>
      </c>
      <c r="EH68" s="229">
        <v>-0.49869999999999998</v>
      </c>
      <c r="EI68" s="229">
        <v>0.49740000000000001</v>
      </c>
      <c r="EJ68" s="231">
        <v>35766.49</v>
      </c>
      <c r="EK68" s="231">
        <v>11277.17</v>
      </c>
      <c r="EL68" s="231">
        <v>17686.080000000002</v>
      </c>
      <c r="EM68" s="231">
        <v>3094</v>
      </c>
      <c r="EN68" s="231">
        <v>64729.74</v>
      </c>
      <c r="EO68" s="231">
        <v>162014.19</v>
      </c>
      <c r="EP68" s="231">
        <v>-97284.45</v>
      </c>
      <c r="EQ68" s="229">
        <v>-0.60050000000000003</v>
      </c>
      <c r="ER68" s="231">
        <v>66926</v>
      </c>
      <c r="ES68" s="231">
        <v>31380</v>
      </c>
      <c r="ET68" s="231">
        <v>201177</v>
      </c>
      <c r="EU68" s="231">
        <v>534704421</v>
      </c>
      <c r="EV68" s="231">
        <v>299483</v>
      </c>
      <c r="EW68" s="231">
        <v>299810</v>
      </c>
      <c r="EX68" s="228">
        <v>-327</v>
      </c>
      <c r="EY68" s="229">
        <v>-1.1000000000000001E-3</v>
      </c>
      <c r="EZ68" s="229">
        <v>0.61539999999999995</v>
      </c>
      <c r="FA68" s="227" t="s">
        <v>567</v>
      </c>
      <c r="FB68" s="161">
        <f t="shared" si="1"/>
        <v>14389425</v>
      </c>
    </row>
    <row r="69" spans="1:158" ht="17.25" hidden="1" thickBot="1" x14ac:dyDescent="0.3">
      <c r="A69" s="226">
        <v>45940</v>
      </c>
      <c r="B69" s="227" t="s">
        <v>168</v>
      </c>
      <c r="C69" s="227" t="s">
        <v>217</v>
      </c>
      <c r="D69" s="228">
        <v>500</v>
      </c>
      <c r="E69" s="231">
        <v>1134.8</v>
      </c>
      <c r="F69" s="231">
        <v>1131.3</v>
      </c>
      <c r="G69" s="228">
        <v>3.5</v>
      </c>
      <c r="H69" s="229">
        <v>3.0999999999999999E-3</v>
      </c>
      <c r="I69" s="231">
        <v>1129.8</v>
      </c>
      <c r="J69" s="231">
        <v>1128.8</v>
      </c>
      <c r="K69" s="228">
        <v>1</v>
      </c>
      <c r="L69" s="229">
        <v>8.9999999999999998E-4</v>
      </c>
      <c r="M69" s="231">
        <v>1134.8</v>
      </c>
      <c r="N69" s="231">
        <v>1131.3</v>
      </c>
      <c r="O69" s="228">
        <v>3.5</v>
      </c>
      <c r="P69" s="229">
        <v>3.0999999999999999E-3</v>
      </c>
      <c r="Q69" s="231">
        <v>1126.5999999999999</v>
      </c>
      <c r="R69" s="231">
        <v>1122.8</v>
      </c>
      <c r="S69" s="228">
        <v>3.8</v>
      </c>
      <c r="T69" s="229">
        <v>3.3999999999999998E-3</v>
      </c>
      <c r="U69" s="231">
        <v>1119</v>
      </c>
      <c r="V69" s="231">
        <v>1116.9000000000001</v>
      </c>
      <c r="W69" s="228">
        <v>2.1</v>
      </c>
      <c r="X69" s="229">
        <v>1.9E-3</v>
      </c>
      <c r="Y69" s="228">
        <v>5</v>
      </c>
      <c r="Z69" s="228">
        <v>2.5</v>
      </c>
      <c r="AA69" s="228">
        <v>2.5</v>
      </c>
      <c r="AB69" s="229">
        <v>4.4000000000000003E-3</v>
      </c>
      <c r="AC69" s="228">
        <v>5</v>
      </c>
      <c r="AD69" s="228">
        <v>2.5</v>
      </c>
      <c r="AE69" s="228">
        <v>2.5</v>
      </c>
      <c r="AF69" s="229">
        <v>4.4000000000000003E-3</v>
      </c>
      <c r="AG69" s="228">
        <v>-3.2</v>
      </c>
      <c r="AH69" s="228">
        <v>-6</v>
      </c>
      <c r="AI69" s="228">
        <v>2.8</v>
      </c>
      <c r="AJ69" s="229">
        <v>-2.8E-3</v>
      </c>
      <c r="AK69" s="228">
        <v>-10.8</v>
      </c>
      <c r="AL69" s="228">
        <v>-11.9</v>
      </c>
      <c r="AM69" s="228">
        <v>1.1000000000000001</v>
      </c>
      <c r="AN69" s="229">
        <v>-9.5999999999999992E-3</v>
      </c>
      <c r="AO69" s="231">
        <v>1131.6600000000001</v>
      </c>
      <c r="AP69" s="231">
        <v>1123.96</v>
      </c>
      <c r="AQ69" s="228">
        <v>0</v>
      </c>
      <c r="AR69" s="230">
        <v>1342000</v>
      </c>
      <c r="AS69" s="230">
        <v>1428500</v>
      </c>
      <c r="AT69" s="230">
        <v>-86500</v>
      </c>
      <c r="AU69" s="229">
        <v>-6.0600000000000001E-2</v>
      </c>
      <c r="AV69" s="230">
        <v>1169500</v>
      </c>
      <c r="AW69" s="230">
        <v>1365000</v>
      </c>
      <c r="AX69" s="230">
        <v>-195500</v>
      </c>
      <c r="AY69" s="229">
        <v>-0.14319999999999999</v>
      </c>
      <c r="AZ69" s="230">
        <v>167000</v>
      </c>
      <c r="BA69" s="230">
        <v>60500</v>
      </c>
      <c r="BB69" s="230">
        <v>106500</v>
      </c>
      <c r="BC69" s="229">
        <v>1.7603</v>
      </c>
      <c r="BD69" s="230">
        <v>5500</v>
      </c>
      <c r="BE69" s="230">
        <v>3000</v>
      </c>
      <c r="BF69" s="230">
        <v>2500</v>
      </c>
      <c r="BG69" s="229">
        <v>0.83330000000000004</v>
      </c>
      <c r="BH69" s="230">
        <v>2262000</v>
      </c>
      <c r="BI69" s="230">
        <v>2281000</v>
      </c>
      <c r="BJ69" s="230">
        <v>-19000</v>
      </c>
      <c r="BK69" s="229">
        <v>-8.3000000000000001E-3</v>
      </c>
      <c r="BL69" s="230">
        <v>487500</v>
      </c>
      <c r="BM69" s="230">
        <v>720500</v>
      </c>
      <c r="BN69" s="230">
        <v>-233000</v>
      </c>
      <c r="BO69" s="229">
        <v>-0.32340000000000002</v>
      </c>
      <c r="BP69" s="230">
        <v>4091500</v>
      </c>
      <c r="BQ69" s="230">
        <v>4430000</v>
      </c>
      <c r="BR69" s="230">
        <v>-338500</v>
      </c>
      <c r="BS69" s="229">
        <v>-7.6399999999999996E-2</v>
      </c>
      <c r="BT69" s="230">
        <v>1852717</v>
      </c>
      <c r="BU69" s="230">
        <v>2531839</v>
      </c>
      <c r="BV69" s="230">
        <v>-679122</v>
      </c>
      <c r="BW69" s="229">
        <v>-0.26819999999999999</v>
      </c>
      <c r="BX69" s="230">
        <v>11702500</v>
      </c>
      <c r="BY69" s="230">
        <v>11549500</v>
      </c>
      <c r="BZ69" s="230">
        <v>153000</v>
      </c>
      <c r="CA69" s="229">
        <v>1.32E-2</v>
      </c>
      <c r="CB69" s="230">
        <v>11245500</v>
      </c>
      <c r="CC69" s="230">
        <v>11187500</v>
      </c>
      <c r="CD69" s="230">
        <v>58000</v>
      </c>
      <c r="CE69" s="229">
        <v>5.1999999999999998E-3</v>
      </c>
      <c r="CF69" s="230">
        <v>445500</v>
      </c>
      <c r="CG69" s="230">
        <v>354000</v>
      </c>
      <c r="CH69" s="230">
        <v>91500</v>
      </c>
      <c r="CI69" s="229">
        <v>0.25850000000000001</v>
      </c>
      <c r="CJ69" s="230">
        <v>11500</v>
      </c>
      <c r="CK69" s="230">
        <v>8000</v>
      </c>
      <c r="CL69" s="230">
        <v>3500</v>
      </c>
      <c r="CM69" s="229">
        <v>0.4375</v>
      </c>
      <c r="CN69" s="230">
        <v>3821500</v>
      </c>
      <c r="CO69" s="230">
        <v>3520000</v>
      </c>
      <c r="CP69" s="230">
        <v>301500</v>
      </c>
      <c r="CQ69" s="229">
        <v>8.5699999999999998E-2</v>
      </c>
      <c r="CR69" s="230">
        <v>1964000</v>
      </c>
      <c r="CS69" s="230">
        <v>1935000</v>
      </c>
      <c r="CT69" s="230">
        <v>29000</v>
      </c>
      <c r="CU69" s="229">
        <v>1.4999999999999999E-2</v>
      </c>
      <c r="CV69" s="230">
        <v>17488000</v>
      </c>
      <c r="CW69" s="230">
        <v>17004500</v>
      </c>
      <c r="CX69" s="230">
        <v>483500</v>
      </c>
      <c r="CY69" s="229">
        <v>2.8400000000000002E-2</v>
      </c>
      <c r="CZ69" s="228">
        <v>24.44</v>
      </c>
      <c r="DA69" s="228">
        <v>24.64</v>
      </c>
      <c r="DB69" s="228">
        <v>-0.2</v>
      </c>
      <c r="DC69" s="228">
        <v>-0.2</v>
      </c>
      <c r="DD69" s="228">
        <v>30.06</v>
      </c>
      <c r="DE69" s="228">
        <v>30.13</v>
      </c>
      <c r="DF69" s="228">
        <v>-5.62</v>
      </c>
      <c r="DG69" s="228">
        <v>-7.0000000000000007E-2</v>
      </c>
      <c r="DH69" s="228">
        <v>24.45</v>
      </c>
      <c r="DI69" s="228">
        <v>24.71</v>
      </c>
      <c r="DJ69" s="228">
        <v>-0.26</v>
      </c>
      <c r="DK69" s="228">
        <v>-0.26</v>
      </c>
      <c r="DL69" s="228">
        <v>24.42</v>
      </c>
      <c r="DM69" s="228">
        <v>24.42</v>
      </c>
      <c r="DN69" s="228">
        <v>0</v>
      </c>
      <c r="DO69" s="228">
        <v>0</v>
      </c>
      <c r="DP69" s="228">
        <v>0.51</v>
      </c>
      <c r="DQ69" s="228">
        <v>0.55000000000000004</v>
      </c>
      <c r="DR69" s="228">
        <v>-0.04</v>
      </c>
      <c r="DS69" s="229">
        <v>-7.2700000000000001E-2</v>
      </c>
      <c r="DT69" s="231">
        <v>1200</v>
      </c>
      <c r="DU69" s="231">
        <v>1100</v>
      </c>
      <c r="DV69" s="228">
        <v>0.22</v>
      </c>
      <c r="DW69" s="228">
        <v>0.32</v>
      </c>
      <c r="DX69" s="228">
        <v>-0.1</v>
      </c>
      <c r="DY69" s="229">
        <v>-0.3125</v>
      </c>
      <c r="DZ69" s="229">
        <v>3.9100000000000003E-2</v>
      </c>
      <c r="EA69" s="230">
        <v>362000</v>
      </c>
      <c r="EB69" s="229">
        <v>-7.1999999999999998E-3</v>
      </c>
      <c r="EC69" s="229">
        <v>3.9100000000000003E-2</v>
      </c>
      <c r="ED69" s="228">
        <v>-7.7</v>
      </c>
      <c r="EE69" s="229">
        <v>-6.7999999999999996E-3</v>
      </c>
      <c r="EF69" s="230">
        <v>1423165</v>
      </c>
      <c r="EG69" s="230">
        <v>1872808</v>
      </c>
      <c r="EH69" s="229">
        <v>-0.24010000000000001</v>
      </c>
      <c r="EI69" s="229">
        <v>0.76819999999999999</v>
      </c>
      <c r="EJ69" s="231">
        <v>26804.67</v>
      </c>
      <c r="EK69" s="231">
        <v>5469.91</v>
      </c>
      <c r="EL69" s="231">
        <v>15173.31</v>
      </c>
      <c r="EM69" s="231">
        <v>3063</v>
      </c>
      <c r="EN69" s="231">
        <v>47447.89</v>
      </c>
      <c r="EO69" s="231">
        <v>51317.32</v>
      </c>
      <c r="EP69" s="231">
        <v>-3869.43</v>
      </c>
      <c r="EQ69" s="229">
        <v>-7.5399999999999995E-2</v>
      </c>
      <c r="ER69" s="231">
        <v>46217</v>
      </c>
      <c r="ES69" s="231">
        <v>21812</v>
      </c>
      <c r="ET69" s="231">
        <v>132762</v>
      </c>
      <c r="EU69" s="231">
        <v>58001204</v>
      </c>
      <c r="EV69" s="231">
        <v>200791</v>
      </c>
      <c r="EW69" s="231">
        <v>194782</v>
      </c>
      <c r="EX69" s="231">
        <v>6009</v>
      </c>
      <c r="EY69" s="229">
        <v>3.0800000000000001E-2</v>
      </c>
      <c r="EZ69" s="229">
        <v>0.30149999999999999</v>
      </c>
      <c r="FA69" s="227" t="s">
        <v>555</v>
      </c>
      <c r="FB69" s="161">
        <f t="shared" si="1"/>
        <v>457000</v>
      </c>
    </row>
    <row r="70" spans="1:158" ht="17.25" hidden="1" thickBot="1" x14ac:dyDescent="0.3">
      <c r="A70" s="226">
        <v>45940</v>
      </c>
      <c r="B70" s="227" t="s">
        <v>206</v>
      </c>
      <c r="C70" s="227" t="s">
        <v>218</v>
      </c>
      <c r="D70" s="228">
        <v>275</v>
      </c>
      <c r="E70" s="231">
        <v>2100.1999999999998</v>
      </c>
      <c r="F70" s="231">
        <v>2043</v>
      </c>
      <c r="G70" s="228">
        <v>57.2</v>
      </c>
      <c r="H70" s="229">
        <v>2.8000000000000001E-2</v>
      </c>
      <c r="I70" s="231">
        <v>2091.9</v>
      </c>
      <c r="J70" s="231">
        <v>2031.5</v>
      </c>
      <c r="K70" s="228">
        <v>60.4</v>
      </c>
      <c r="L70" s="229">
        <v>2.9700000000000001E-2</v>
      </c>
      <c r="M70" s="231">
        <v>2100.1999999999998</v>
      </c>
      <c r="N70" s="231">
        <v>2043</v>
      </c>
      <c r="O70" s="228">
        <v>57.2</v>
      </c>
      <c r="P70" s="229">
        <v>2.8000000000000001E-2</v>
      </c>
      <c r="Q70" s="231">
        <v>2110.8000000000002</v>
      </c>
      <c r="R70" s="231">
        <v>2054.1</v>
      </c>
      <c r="S70" s="228">
        <v>56.7</v>
      </c>
      <c r="T70" s="229">
        <v>2.76E-2</v>
      </c>
      <c r="U70" s="231">
        <v>2124.4</v>
      </c>
      <c r="V70" s="231">
        <v>2069.9</v>
      </c>
      <c r="W70" s="228">
        <v>54.5</v>
      </c>
      <c r="X70" s="229">
        <v>2.63E-2</v>
      </c>
      <c r="Y70" s="228">
        <v>8.3000000000000007</v>
      </c>
      <c r="Z70" s="228">
        <v>11.5</v>
      </c>
      <c r="AA70" s="228">
        <v>-3.2</v>
      </c>
      <c r="AB70" s="229">
        <v>4.0000000000000001E-3</v>
      </c>
      <c r="AC70" s="228">
        <v>8.3000000000000007</v>
      </c>
      <c r="AD70" s="228">
        <v>11.5</v>
      </c>
      <c r="AE70" s="228">
        <v>-3.2</v>
      </c>
      <c r="AF70" s="229">
        <v>4.0000000000000001E-3</v>
      </c>
      <c r="AG70" s="228">
        <v>18.899999999999999</v>
      </c>
      <c r="AH70" s="228">
        <v>22.6</v>
      </c>
      <c r="AI70" s="228">
        <v>-3.7</v>
      </c>
      <c r="AJ70" s="229">
        <v>8.9999999999999993E-3</v>
      </c>
      <c r="AK70" s="228">
        <v>32.5</v>
      </c>
      <c r="AL70" s="228">
        <v>38.4</v>
      </c>
      <c r="AM70" s="228">
        <v>-5.9</v>
      </c>
      <c r="AN70" s="229">
        <v>1.55E-2</v>
      </c>
      <c r="AO70" s="231">
        <v>2087.0500000000002</v>
      </c>
      <c r="AP70" s="231">
        <v>2098.8200000000002</v>
      </c>
      <c r="AQ70" s="228">
        <v>0</v>
      </c>
      <c r="AR70" s="230">
        <v>2289375</v>
      </c>
      <c r="AS70" s="230">
        <v>1404425</v>
      </c>
      <c r="AT70" s="230">
        <v>884950</v>
      </c>
      <c r="AU70" s="229">
        <v>0.63009999999999999</v>
      </c>
      <c r="AV70" s="230">
        <v>2145275</v>
      </c>
      <c r="AW70" s="230">
        <v>1324400</v>
      </c>
      <c r="AX70" s="230">
        <v>820875</v>
      </c>
      <c r="AY70" s="229">
        <v>0.61980000000000002</v>
      </c>
      <c r="AZ70" s="230">
        <v>124575</v>
      </c>
      <c r="BA70" s="230">
        <v>76725</v>
      </c>
      <c r="BB70" s="230">
        <v>47850</v>
      </c>
      <c r="BC70" s="229">
        <v>0.62370000000000003</v>
      </c>
      <c r="BD70" s="230">
        <v>19525</v>
      </c>
      <c r="BE70" s="230">
        <v>3300</v>
      </c>
      <c r="BF70" s="230">
        <v>16225</v>
      </c>
      <c r="BG70" s="229">
        <v>4.9166999999999996</v>
      </c>
      <c r="BH70" s="230">
        <v>7538025</v>
      </c>
      <c r="BI70" s="230">
        <v>3019775</v>
      </c>
      <c r="BJ70" s="230">
        <v>4518250</v>
      </c>
      <c r="BK70" s="229">
        <v>1.4962</v>
      </c>
      <c r="BL70" s="230">
        <v>2501675</v>
      </c>
      <c r="BM70" s="230">
        <v>1235300</v>
      </c>
      <c r="BN70" s="230">
        <v>1266375</v>
      </c>
      <c r="BO70" s="229">
        <v>1.0251999999999999</v>
      </c>
      <c r="BP70" s="230">
        <v>12329075</v>
      </c>
      <c r="BQ70" s="230">
        <v>5659500</v>
      </c>
      <c r="BR70" s="230">
        <v>6669575</v>
      </c>
      <c r="BS70" s="229">
        <v>1.1785000000000001</v>
      </c>
      <c r="BT70" s="230">
        <v>917959</v>
      </c>
      <c r="BU70" s="230">
        <v>529557</v>
      </c>
      <c r="BV70" s="230">
        <v>388402</v>
      </c>
      <c r="BW70" s="229">
        <v>0.73340000000000005</v>
      </c>
      <c r="BX70" s="230">
        <v>9777900</v>
      </c>
      <c r="BY70" s="230">
        <v>10013300</v>
      </c>
      <c r="BZ70" s="230">
        <v>-235400</v>
      </c>
      <c r="CA70" s="229">
        <v>-2.35E-2</v>
      </c>
      <c r="CB70" s="230">
        <v>9541675</v>
      </c>
      <c r="CC70" s="230">
        <v>9764700</v>
      </c>
      <c r="CD70" s="230">
        <v>-223025</v>
      </c>
      <c r="CE70" s="229">
        <v>-2.2800000000000001E-2</v>
      </c>
      <c r="CF70" s="230">
        <v>218625</v>
      </c>
      <c r="CG70" s="230">
        <v>238425</v>
      </c>
      <c r="CH70" s="230">
        <v>-19800</v>
      </c>
      <c r="CI70" s="229">
        <v>-8.3000000000000004E-2</v>
      </c>
      <c r="CJ70" s="230">
        <v>17600</v>
      </c>
      <c r="CK70" s="230">
        <v>10175</v>
      </c>
      <c r="CL70" s="230">
        <v>7425</v>
      </c>
      <c r="CM70" s="229">
        <v>0.72970000000000002</v>
      </c>
      <c r="CN70" s="230">
        <v>2746150</v>
      </c>
      <c r="CO70" s="230">
        <v>2798125</v>
      </c>
      <c r="CP70" s="230">
        <v>-51975</v>
      </c>
      <c r="CQ70" s="229">
        <v>-1.8599999999999998E-2</v>
      </c>
      <c r="CR70" s="230">
        <v>1807300</v>
      </c>
      <c r="CS70" s="230">
        <v>1725350</v>
      </c>
      <c r="CT70" s="230">
        <v>81950</v>
      </c>
      <c r="CU70" s="229">
        <v>4.7500000000000001E-2</v>
      </c>
      <c r="CV70" s="230">
        <v>14331350</v>
      </c>
      <c r="CW70" s="230">
        <v>14536775</v>
      </c>
      <c r="CX70" s="230">
        <v>-205425</v>
      </c>
      <c r="CY70" s="229">
        <v>-1.41E-2</v>
      </c>
      <c r="CZ70" s="228">
        <v>31.27</v>
      </c>
      <c r="DA70" s="228">
        <v>32.159999999999997</v>
      </c>
      <c r="DB70" s="228">
        <v>-0.89</v>
      </c>
      <c r="DC70" s="228">
        <v>-0.89</v>
      </c>
      <c r="DD70" s="228">
        <v>44.36</v>
      </c>
      <c r="DE70" s="228">
        <v>44.31</v>
      </c>
      <c r="DF70" s="228">
        <v>-13.09</v>
      </c>
      <c r="DG70" s="228">
        <v>0.05</v>
      </c>
      <c r="DH70" s="228">
        <v>31.22</v>
      </c>
      <c r="DI70" s="228">
        <v>32.159999999999997</v>
      </c>
      <c r="DJ70" s="228">
        <v>-0.94</v>
      </c>
      <c r="DK70" s="228">
        <v>-0.94</v>
      </c>
      <c r="DL70" s="228">
        <v>31.4</v>
      </c>
      <c r="DM70" s="228">
        <v>32.18</v>
      </c>
      <c r="DN70" s="228">
        <v>-0.78</v>
      </c>
      <c r="DO70" s="228">
        <v>-0.78</v>
      </c>
      <c r="DP70" s="228">
        <v>0.66</v>
      </c>
      <c r="DQ70" s="228">
        <v>0.62</v>
      </c>
      <c r="DR70" s="228">
        <v>0.04</v>
      </c>
      <c r="DS70" s="229">
        <v>6.4500000000000002E-2</v>
      </c>
      <c r="DT70" s="231">
        <v>2100</v>
      </c>
      <c r="DU70" s="231">
        <v>2000</v>
      </c>
      <c r="DV70" s="228">
        <v>0.33</v>
      </c>
      <c r="DW70" s="228">
        <v>0.41</v>
      </c>
      <c r="DX70" s="228">
        <v>-0.08</v>
      </c>
      <c r="DY70" s="229">
        <v>-0.1951</v>
      </c>
      <c r="DZ70" s="229">
        <v>2.4199999999999999E-2</v>
      </c>
      <c r="EA70" s="230">
        <v>248600</v>
      </c>
      <c r="EB70" s="229">
        <v>5.0000000000000001E-3</v>
      </c>
      <c r="EC70" s="229">
        <v>2.4199999999999999E-2</v>
      </c>
      <c r="ED70" s="228">
        <v>11.77</v>
      </c>
      <c r="EE70" s="229">
        <v>5.5999999999999999E-3</v>
      </c>
      <c r="EF70" s="230">
        <v>348965</v>
      </c>
      <c r="EG70" s="230">
        <v>194591</v>
      </c>
      <c r="EH70" s="229">
        <v>0.79330000000000001</v>
      </c>
      <c r="EI70" s="229">
        <v>0.38019999999999998</v>
      </c>
      <c r="EJ70" s="231">
        <v>163383.74</v>
      </c>
      <c r="EK70" s="231">
        <v>51738.45</v>
      </c>
      <c r="EL70" s="231">
        <v>47800.62</v>
      </c>
      <c r="EM70" s="231">
        <v>3646</v>
      </c>
      <c r="EN70" s="231">
        <v>262922.81</v>
      </c>
      <c r="EO70" s="231">
        <v>118768.32000000001</v>
      </c>
      <c r="EP70" s="231">
        <v>144154.49</v>
      </c>
      <c r="EQ70" s="229">
        <v>1.2137</v>
      </c>
      <c r="ER70" s="231">
        <v>59786</v>
      </c>
      <c r="ES70" s="231">
        <v>36291</v>
      </c>
      <c r="ET70" s="231">
        <v>205383</v>
      </c>
      <c r="EU70" s="231">
        <v>24082879</v>
      </c>
      <c r="EV70" s="231">
        <v>301459</v>
      </c>
      <c r="EW70" s="231">
        <v>299891</v>
      </c>
      <c r="EX70" s="231">
        <v>1568</v>
      </c>
      <c r="EY70" s="229">
        <v>5.1999999999999998E-3</v>
      </c>
      <c r="EZ70" s="229">
        <v>0.59509999999999996</v>
      </c>
      <c r="FA70" s="227" t="s">
        <v>556</v>
      </c>
      <c r="FB70" s="161">
        <f t="shared" si="1"/>
        <v>236225</v>
      </c>
    </row>
    <row r="71" spans="1:158" ht="17.25" hidden="1" thickBot="1" x14ac:dyDescent="0.3">
      <c r="A71" s="226">
        <v>45940</v>
      </c>
      <c r="B71" s="227" t="s">
        <v>157</v>
      </c>
      <c r="C71" s="227" t="s">
        <v>219</v>
      </c>
      <c r="D71" s="228">
        <v>250</v>
      </c>
      <c r="E71" s="231">
        <v>2826.5</v>
      </c>
      <c r="F71" s="231">
        <v>2824.7</v>
      </c>
      <c r="G71" s="228">
        <v>1.8</v>
      </c>
      <c r="H71" s="229">
        <v>5.9999999999999995E-4</v>
      </c>
      <c r="I71" s="231">
        <v>2811</v>
      </c>
      <c r="J71" s="231">
        <v>2810.6</v>
      </c>
      <c r="K71" s="228">
        <v>0.4</v>
      </c>
      <c r="L71" s="229">
        <v>1E-4</v>
      </c>
      <c r="M71" s="231">
        <v>2826.5</v>
      </c>
      <c r="N71" s="231">
        <v>2824.7</v>
      </c>
      <c r="O71" s="228">
        <v>1.8</v>
      </c>
      <c r="P71" s="229">
        <v>5.9999999999999995E-4</v>
      </c>
      <c r="Q71" s="231">
        <v>2843</v>
      </c>
      <c r="R71" s="231">
        <v>2839.6</v>
      </c>
      <c r="S71" s="228">
        <v>3.4</v>
      </c>
      <c r="T71" s="229">
        <v>1.1999999999999999E-3</v>
      </c>
      <c r="U71" s="231">
        <v>2859.8</v>
      </c>
      <c r="V71" s="231">
        <v>2835</v>
      </c>
      <c r="W71" s="228">
        <v>24.8</v>
      </c>
      <c r="X71" s="229">
        <v>8.6999999999999994E-3</v>
      </c>
      <c r="Y71" s="228">
        <v>15.5</v>
      </c>
      <c r="Z71" s="228">
        <v>14.1</v>
      </c>
      <c r="AA71" s="228">
        <v>1.4</v>
      </c>
      <c r="AB71" s="229">
        <v>5.4999999999999997E-3</v>
      </c>
      <c r="AC71" s="228">
        <v>15.5</v>
      </c>
      <c r="AD71" s="228">
        <v>14.1</v>
      </c>
      <c r="AE71" s="228">
        <v>1.4</v>
      </c>
      <c r="AF71" s="229">
        <v>5.4999999999999997E-3</v>
      </c>
      <c r="AG71" s="228">
        <v>32</v>
      </c>
      <c r="AH71" s="228">
        <v>29</v>
      </c>
      <c r="AI71" s="228">
        <v>3</v>
      </c>
      <c r="AJ71" s="229">
        <v>1.14E-2</v>
      </c>
      <c r="AK71" s="228">
        <v>48.8</v>
      </c>
      <c r="AL71" s="228">
        <v>24.4</v>
      </c>
      <c r="AM71" s="228">
        <v>24.4</v>
      </c>
      <c r="AN71" s="229">
        <v>1.7399999999999999E-2</v>
      </c>
      <c r="AO71" s="231">
        <v>2829.11</v>
      </c>
      <c r="AP71" s="231">
        <v>2847.69</v>
      </c>
      <c r="AQ71" s="228">
        <v>0</v>
      </c>
      <c r="AR71" s="230">
        <v>726750</v>
      </c>
      <c r="AS71" s="230">
        <v>577000</v>
      </c>
      <c r="AT71" s="230">
        <v>149750</v>
      </c>
      <c r="AU71" s="229">
        <v>0.25950000000000001</v>
      </c>
      <c r="AV71" s="230">
        <v>667500</v>
      </c>
      <c r="AW71" s="230">
        <v>557500</v>
      </c>
      <c r="AX71" s="230">
        <v>110000</v>
      </c>
      <c r="AY71" s="229">
        <v>0.1973</v>
      </c>
      <c r="AZ71" s="230">
        <v>48250</v>
      </c>
      <c r="BA71" s="230">
        <v>19000</v>
      </c>
      <c r="BB71" s="230">
        <v>29250</v>
      </c>
      <c r="BC71" s="229">
        <v>1.5395000000000001</v>
      </c>
      <c r="BD71" s="230">
        <v>11000</v>
      </c>
      <c r="BE71" s="228">
        <v>500</v>
      </c>
      <c r="BF71" s="230">
        <v>10500</v>
      </c>
      <c r="BG71" s="229">
        <v>21</v>
      </c>
      <c r="BH71" s="230">
        <v>1565750</v>
      </c>
      <c r="BI71" s="230">
        <v>1737250</v>
      </c>
      <c r="BJ71" s="230">
        <v>-171500</v>
      </c>
      <c r="BK71" s="229">
        <v>-9.8699999999999996E-2</v>
      </c>
      <c r="BL71" s="230">
        <v>571500</v>
      </c>
      <c r="BM71" s="230">
        <v>668500</v>
      </c>
      <c r="BN71" s="230">
        <v>-97000</v>
      </c>
      <c r="BO71" s="229">
        <v>-0.14510000000000001</v>
      </c>
      <c r="BP71" s="230">
        <v>2864000</v>
      </c>
      <c r="BQ71" s="230">
        <v>2982750</v>
      </c>
      <c r="BR71" s="230">
        <v>-118750</v>
      </c>
      <c r="BS71" s="229">
        <v>-3.9800000000000002E-2</v>
      </c>
      <c r="BT71" s="230">
        <v>590080</v>
      </c>
      <c r="BU71" s="230">
        <v>411666</v>
      </c>
      <c r="BV71" s="230">
        <v>178414</v>
      </c>
      <c r="BW71" s="229">
        <v>0.43340000000000001</v>
      </c>
      <c r="BX71" s="230">
        <v>14454250</v>
      </c>
      <c r="BY71" s="230">
        <v>14297000</v>
      </c>
      <c r="BZ71" s="230">
        <v>157250</v>
      </c>
      <c r="CA71" s="229">
        <v>1.0999999999999999E-2</v>
      </c>
      <c r="CB71" s="230">
        <v>14371500</v>
      </c>
      <c r="CC71" s="230">
        <v>14242500</v>
      </c>
      <c r="CD71" s="230">
        <v>129000</v>
      </c>
      <c r="CE71" s="229">
        <v>9.1000000000000004E-3</v>
      </c>
      <c r="CF71" s="230">
        <v>71750</v>
      </c>
      <c r="CG71" s="230">
        <v>52500</v>
      </c>
      <c r="CH71" s="230">
        <v>19250</v>
      </c>
      <c r="CI71" s="229">
        <v>0.36670000000000003</v>
      </c>
      <c r="CJ71" s="230">
        <v>11000</v>
      </c>
      <c r="CK71" s="230">
        <v>2000</v>
      </c>
      <c r="CL71" s="230">
        <v>9000</v>
      </c>
      <c r="CM71" s="229">
        <v>4.5</v>
      </c>
      <c r="CN71" s="230">
        <v>1699250</v>
      </c>
      <c r="CO71" s="230">
        <v>1730250</v>
      </c>
      <c r="CP71" s="230">
        <v>-31000</v>
      </c>
      <c r="CQ71" s="229">
        <v>-1.7899999999999999E-2</v>
      </c>
      <c r="CR71" s="230">
        <v>1011500</v>
      </c>
      <c r="CS71" s="230">
        <v>1020500</v>
      </c>
      <c r="CT71" s="230">
        <v>-9000</v>
      </c>
      <c r="CU71" s="229">
        <v>-8.8000000000000005E-3</v>
      </c>
      <c r="CV71" s="230">
        <v>17165000</v>
      </c>
      <c r="CW71" s="230">
        <v>17047750</v>
      </c>
      <c r="CX71" s="230">
        <v>117250</v>
      </c>
      <c r="CY71" s="229">
        <v>6.8999999999999999E-3</v>
      </c>
      <c r="CZ71" s="228">
        <v>17.73</v>
      </c>
      <c r="DA71" s="228">
        <v>18.739999999999998</v>
      </c>
      <c r="DB71" s="228">
        <v>-1.01</v>
      </c>
      <c r="DC71" s="228">
        <v>-1.01</v>
      </c>
      <c r="DD71" s="228">
        <v>25.61</v>
      </c>
      <c r="DE71" s="228">
        <v>25.67</v>
      </c>
      <c r="DF71" s="228">
        <v>-7.88</v>
      </c>
      <c r="DG71" s="228">
        <v>-0.06</v>
      </c>
      <c r="DH71" s="228">
        <v>17.64</v>
      </c>
      <c r="DI71" s="228">
        <v>18.78</v>
      </c>
      <c r="DJ71" s="228">
        <v>-1.1399999999999999</v>
      </c>
      <c r="DK71" s="228">
        <v>-1.1399999999999999</v>
      </c>
      <c r="DL71" s="228">
        <v>17.989999999999998</v>
      </c>
      <c r="DM71" s="228">
        <v>18.63</v>
      </c>
      <c r="DN71" s="228">
        <v>-0.64</v>
      </c>
      <c r="DO71" s="228">
        <v>-0.64</v>
      </c>
      <c r="DP71" s="228">
        <v>0.6</v>
      </c>
      <c r="DQ71" s="228">
        <v>0.59</v>
      </c>
      <c r="DR71" s="228">
        <v>0.01</v>
      </c>
      <c r="DS71" s="229">
        <v>1.6899999999999998E-2</v>
      </c>
      <c r="DT71" s="231">
        <v>2900</v>
      </c>
      <c r="DU71" s="231">
        <v>2700</v>
      </c>
      <c r="DV71" s="228">
        <v>0.37</v>
      </c>
      <c r="DW71" s="228">
        <v>0.38</v>
      </c>
      <c r="DX71" s="228">
        <v>-0.01</v>
      </c>
      <c r="DY71" s="229">
        <v>-2.63E-2</v>
      </c>
      <c r="DZ71" s="229">
        <v>5.7000000000000002E-3</v>
      </c>
      <c r="EA71" s="230">
        <v>54500</v>
      </c>
      <c r="EB71" s="229">
        <v>5.7999999999999996E-3</v>
      </c>
      <c r="EC71" s="229">
        <v>5.7000000000000002E-3</v>
      </c>
      <c r="ED71" s="228">
        <v>18.579999999999998</v>
      </c>
      <c r="EE71" s="229">
        <v>6.6E-3</v>
      </c>
      <c r="EF71" s="230">
        <v>363615</v>
      </c>
      <c r="EG71" s="230">
        <v>245764</v>
      </c>
      <c r="EH71" s="229">
        <v>0.47949999999999998</v>
      </c>
      <c r="EI71" s="229">
        <v>0.61619999999999997</v>
      </c>
      <c r="EJ71" s="231">
        <v>45455.62</v>
      </c>
      <c r="EK71" s="231">
        <v>15965.78</v>
      </c>
      <c r="EL71" s="231">
        <v>20573.45</v>
      </c>
      <c r="EM71" s="231">
        <v>3106</v>
      </c>
      <c r="EN71" s="231">
        <v>81994.850000000006</v>
      </c>
      <c r="EO71" s="231">
        <v>85204.82</v>
      </c>
      <c r="EP71" s="231">
        <v>-3209.97</v>
      </c>
      <c r="EQ71" s="229">
        <v>-3.7699999999999997E-2</v>
      </c>
      <c r="ER71" s="231">
        <v>49755</v>
      </c>
      <c r="ES71" s="231">
        <v>27638</v>
      </c>
      <c r="ET71" s="231">
        <v>408565</v>
      </c>
      <c r="EU71" s="231">
        <v>38514157</v>
      </c>
      <c r="EV71" s="231">
        <v>485958</v>
      </c>
      <c r="EW71" s="231">
        <v>482302</v>
      </c>
      <c r="EX71" s="231">
        <v>3656</v>
      </c>
      <c r="EY71" s="229">
        <v>7.6E-3</v>
      </c>
      <c r="EZ71" s="229">
        <v>0.44569999999999999</v>
      </c>
      <c r="FA71" s="227" t="s">
        <v>555</v>
      </c>
      <c r="FB71" s="161">
        <f t="shared" si="1"/>
        <v>82750</v>
      </c>
    </row>
    <row r="72" spans="1:158" ht="17.25" hidden="1" thickBot="1" x14ac:dyDescent="0.3">
      <c r="A72" s="226">
        <v>45940</v>
      </c>
      <c r="B72" s="227" t="s">
        <v>184</v>
      </c>
      <c r="C72" s="227" t="s">
        <v>513</v>
      </c>
      <c r="D72" s="228">
        <v>150</v>
      </c>
      <c r="E72" s="231">
        <v>4859.3999999999996</v>
      </c>
      <c r="F72" s="231">
        <v>4873.7</v>
      </c>
      <c r="G72" s="228">
        <v>-14.3</v>
      </c>
      <c r="H72" s="229">
        <v>-2.8999999999999998E-3</v>
      </c>
      <c r="I72" s="231">
        <v>4832.8999999999996</v>
      </c>
      <c r="J72" s="231">
        <v>4846.3</v>
      </c>
      <c r="K72" s="228">
        <v>-13.4</v>
      </c>
      <c r="L72" s="229">
        <v>-2.8E-3</v>
      </c>
      <c r="M72" s="231">
        <v>4859.3999999999996</v>
      </c>
      <c r="N72" s="231">
        <v>4873.7</v>
      </c>
      <c r="O72" s="228">
        <v>-14.3</v>
      </c>
      <c r="P72" s="229">
        <v>-2.8999999999999998E-3</v>
      </c>
      <c r="Q72" s="231">
        <v>4883.5</v>
      </c>
      <c r="R72" s="231">
        <v>4898.3</v>
      </c>
      <c r="S72" s="228">
        <v>-14.8</v>
      </c>
      <c r="T72" s="229">
        <v>-3.0000000000000001E-3</v>
      </c>
      <c r="U72" s="231">
        <v>4913.8999999999996</v>
      </c>
      <c r="V72" s="231">
        <v>4927.8</v>
      </c>
      <c r="W72" s="228">
        <v>-13.9</v>
      </c>
      <c r="X72" s="229">
        <v>-2.8E-3</v>
      </c>
      <c r="Y72" s="228">
        <v>26.5</v>
      </c>
      <c r="Z72" s="228">
        <v>27.4</v>
      </c>
      <c r="AA72" s="228">
        <v>-0.9</v>
      </c>
      <c r="AB72" s="229">
        <v>5.4999999999999997E-3</v>
      </c>
      <c r="AC72" s="228">
        <v>26.5</v>
      </c>
      <c r="AD72" s="228">
        <v>27.4</v>
      </c>
      <c r="AE72" s="228">
        <v>-0.9</v>
      </c>
      <c r="AF72" s="229">
        <v>5.4999999999999997E-3</v>
      </c>
      <c r="AG72" s="228">
        <v>50.6</v>
      </c>
      <c r="AH72" s="228">
        <v>52</v>
      </c>
      <c r="AI72" s="228">
        <v>-1.4</v>
      </c>
      <c r="AJ72" s="229">
        <v>1.0500000000000001E-2</v>
      </c>
      <c r="AK72" s="228">
        <v>81</v>
      </c>
      <c r="AL72" s="228">
        <v>81.5</v>
      </c>
      <c r="AM72" s="228">
        <v>-0.5</v>
      </c>
      <c r="AN72" s="229">
        <v>1.6799999999999999E-2</v>
      </c>
      <c r="AO72" s="231">
        <v>4887.63</v>
      </c>
      <c r="AP72" s="231">
        <v>4913.49</v>
      </c>
      <c r="AQ72" s="228">
        <v>0</v>
      </c>
      <c r="AR72" s="230">
        <v>1190550</v>
      </c>
      <c r="AS72" s="230">
        <v>1838250</v>
      </c>
      <c r="AT72" s="230">
        <v>-647700</v>
      </c>
      <c r="AU72" s="229">
        <v>-0.3523</v>
      </c>
      <c r="AV72" s="230">
        <v>1038750</v>
      </c>
      <c r="AW72" s="230">
        <v>1655850</v>
      </c>
      <c r="AX72" s="230">
        <v>-617100</v>
      </c>
      <c r="AY72" s="229">
        <v>-0.37269999999999998</v>
      </c>
      <c r="AZ72" s="230">
        <v>124500</v>
      </c>
      <c r="BA72" s="230">
        <v>154650</v>
      </c>
      <c r="BB72" s="230">
        <v>-30150</v>
      </c>
      <c r="BC72" s="229">
        <v>-0.19500000000000001</v>
      </c>
      <c r="BD72" s="230">
        <v>27300</v>
      </c>
      <c r="BE72" s="230">
        <v>27750</v>
      </c>
      <c r="BF72" s="228">
        <v>-450</v>
      </c>
      <c r="BG72" s="229">
        <v>-1.6199999999999999E-2</v>
      </c>
      <c r="BH72" s="230">
        <v>5709150</v>
      </c>
      <c r="BI72" s="230">
        <v>6965550</v>
      </c>
      <c r="BJ72" s="230">
        <v>-1256400</v>
      </c>
      <c r="BK72" s="229">
        <v>-0.1804</v>
      </c>
      <c r="BL72" s="230">
        <v>2181900</v>
      </c>
      <c r="BM72" s="230">
        <v>2426850</v>
      </c>
      <c r="BN72" s="230">
        <v>-244950</v>
      </c>
      <c r="BO72" s="229">
        <v>-0.1009</v>
      </c>
      <c r="BP72" s="230">
        <v>9081600</v>
      </c>
      <c r="BQ72" s="230">
        <v>11230650</v>
      </c>
      <c r="BR72" s="230">
        <v>-2149050</v>
      </c>
      <c r="BS72" s="229">
        <v>-0.19139999999999999</v>
      </c>
      <c r="BT72" s="230">
        <v>698754</v>
      </c>
      <c r="BU72" s="230">
        <v>1041997</v>
      </c>
      <c r="BV72" s="230">
        <v>-343243</v>
      </c>
      <c r="BW72" s="229">
        <v>-0.32940000000000003</v>
      </c>
      <c r="BX72" s="230">
        <v>9054600</v>
      </c>
      <c r="BY72" s="230">
        <v>8968500</v>
      </c>
      <c r="BZ72" s="230">
        <v>86100</v>
      </c>
      <c r="CA72" s="229">
        <v>9.5999999999999992E-3</v>
      </c>
      <c r="CB72" s="230">
        <v>8538450</v>
      </c>
      <c r="CC72" s="230">
        <v>8455800</v>
      </c>
      <c r="CD72" s="230">
        <v>82650</v>
      </c>
      <c r="CE72" s="229">
        <v>9.7999999999999997E-3</v>
      </c>
      <c r="CF72" s="230">
        <v>464100</v>
      </c>
      <c r="CG72" s="230">
        <v>463650</v>
      </c>
      <c r="CH72" s="228">
        <v>450</v>
      </c>
      <c r="CI72" s="229">
        <v>1E-3</v>
      </c>
      <c r="CJ72" s="230">
        <v>52050</v>
      </c>
      <c r="CK72" s="230">
        <v>49050</v>
      </c>
      <c r="CL72" s="230">
        <v>3000</v>
      </c>
      <c r="CM72" s="229">
        <v>6.1199999999999997E-2</v>
      </c>
      <c r="CN72" s="230">
        <v>4205850</v>
      </c>
      <c r="CO72" s="230">
        <v>3878700</v>
      </c>
      <c r="CP72" s="230">
        <v>327150</v>
      </c>
      <c r="CQ72" s="229">
        <v>8.43E-2</v>
      </c>
      <c r="CR72" s="230">
        <v>2578500</v>
      </c>
      <c r="CS72" s="230">
        <v>2591250</v>
      </c>
      <c r="CT72" s="230">
        <v>-12750</v>
      </c>
      <c r="CU72" s="229">
        <v>-4.8999999999999998E-3</v>
      </c>
      <c r="CV72" s="230">
        <v>15838950</v>
      </c>
      <c r="CW72" s="230">
        <v>15438450</v>
      </c>
      <c r="CX72" s="230">
        <v>400500</v>
      </c>
      <c r="CY72" s="229">
        <v>2.5899999999999999E-2</v>
      </c>
      <c r="CZ72" s="228">
        <v>26.25</v>
      </c>
      <c r="DA72" s="228">
        <v>26.99</v>
      </c>
      <c r="DB72" s="228">
        <v>-0.74</v>
      </c>
      <c r="DC72" s="228">
        <v>-0.74</v>
      </c>
      <c r="DD72" s="228">
        <v>40.07</v>
      </c>
      <c r="DE72" s="228">
        <v>40.17</v>
      </c>
      <c r="DF72" s="228">
        <v>-13.82</v>
      </c>
      <c r="DG72" s="228">
        <v>-0.1</v>
      </c>
      <c r="DH72" s="228">
        <v>26.21</v>
      </c>
      <c r="DI72" s="228">
        <v>27.01</v>
      </c>
      <c r="DJ72" s="228">
        <v>-0.8</v>
      </c>
      <c r="DK72" s="228">
        <v>-0.8</v>
      </c>
      <c r="DL72" s="228">
        <v>26.34</v>
      </c>
      <c r="DM72" s="228">
        <v>26.95</v>
      </c>
      <c r="DN72" s="228">
        <v>-0.61</v>
      </c>
      <c r="DO72" s="228">
        <v>-0.61</v>
      </c>
      <c r="DP72" s="228">
        <v>0.61</v>
      </c>
      <c r="DQ72" s="228">
        <v>0.67</v>
      </c>
      <c r="DR72" s="228">
        <v>-0.06</v>
      </c>
      <c r="DS72" s="229">
        <v>-8.9599999999999999E-2</v>
      </c>
      <c r="DT72" s="231">
        <v>5000</v>
      </c>
      <c r="DU72" s="231">
        <v>4800</v>
      </c>
      <c r="DV72" s="228">
        <v>0.38</v>
      </c>
      <c r="DW72" s="228">
        <v>0.35</v>
      </c>
      <c r="DX72" s="228">
        <v>0.03</v>
      </c>
      <c r="DY72" s="229">
        <v>8.5699999999999998E-2</v>
      </c>
      <c r="DZ72" s="229">
        <v>5.7000000000000002E-2</v>
      </c>
      <c r="EA72" s="230">
        <v>512700</v>
      </c>
      <c r="EB72" s="229">
        <v>5.0000000000000001E-3</v>
      </c>
      <c r="EC72" s="229">
        <v>5.7000000000000002E-2</v>
      </c>
      <c r="ED72" s="228">
        <v>25.86</v>
      </c>
      <c r="EE72" s="229">
        <v>5.3E-3</v>
      </c>
      <c r="EF72" s="230">
        <v>361378</v>
      </c>
      <c r="EG72" s="230">
        <v>502308</v>
      </c>
      <c r="EH72" s="229">
        <v>-0.28060000000000002</v>
      </c>
      <c r="EI72" s="229">
        <v>0.51719999999999999</v>
      </c>
      <c r="EJ72" s="231">
        <v>289786.68</v>
      </c>
      <c r="EK72" s="231">
        <v>103976.37</v>
      </c>
      <c r="EL72" s="231">
        <v>58236.47</v>
      </c>
      <c r="EM72" s="231">
        <v>8419</v>
      </c>
      <c r="EN72" s="231">
        <v>451999.52</v>
      </c>
      <c r="EO72" s="231">
        <v>556794.17000000004</v>
      </c>
      <c r="EP72" s="231">
        <v>-104794.65</v>
      </c>
      <c r="EQ72" s="229">
        <v>-0.18820000000000001</v>
      </c>
      <c r="ER72" s="231">
        <v>211321</v>
      </c>
      <c r="ES72" s="231">
        <v>121319</v>
      </c>
      <c r="ET72" s="231">
        <v>440139</v>
      </c>
      <c r="EU72" s="231">
        <v>28450886</v>
      </c>
      <c r="EV72" s="231">
        <v>772779</v>
      </c>
      <c r="EW72" s="231">
        <v>753763</v>
      </c>
      <c r="EX72" s="231">
        <v>19016</v>
      </c>
      <c r="EY72" s="229">
        <v>2.52E-2</v>
      </c>
      <c r="EZ72" s="229">
        <v>0.55669999999999997</v>
      </c>
      <c r="FA72" s="227" t="s">
        <v>567</v>
      </c>
      <c r="FB72" s="161">
        <f t="shared" si="1"/>
        <v>516150</v>
      </c>
    </row>
    <row r="73" spans="1:158" ht="17.25" hidden="1" thickBot="1" x14ac:dyDescent="0.3">
      <c r="A73" s="226">
        <v>45940</v>
      </c>
      <c r="B73" s="227" t="s">
        <v>184</v>
      </c>
      <c r="C73" s="227" t="s">
        <v>220</v>
      </c>
      <c r="D73" s="228">
        <v>500</v>
      </c>
      <c r="E73" s="231">
        <v>1504.1</v>
      </c>
      <c r="F73" s="231">
        <v>1492.3</v>
      </c>
      <c r="G73" s="228">
        <v>11.8</v>
      </c>
      <c r="H73" s="229">
        <v>7.9000000000000008E-3</v>
      </c>
      <c r="I73" s="231">
        <v>1495.9</v>
      </c>
      <c r="J73" s="231">
        <v>1485.8</v>
      </c>
      <c r="K73" s="228">
        <v>10.1</v>
      </c>
      <c r="L73" s="229">
        <v>6.7999999999999996E-3</v>
      </c>
      <c r="M73" s="231">
        <v>1504.1</v>
      </c>
      <c r="N73" s="231">
        <v>1492.3</v>
      </c>
      <c r="O73" s="228">
        <v>11.8</v>
      </c>
      <c r="P73" s="229">
        <v>7.9000000000000008E-3</v>
      </c>
      <c r="Q73" s="231">
        <v>1511.3</v>
      </c>
      <c r="R73" s="231">
        <v>1500.4</v>
      </c>
      <c r="S73" s="228">
        <v>10.9</v>
      </c>
      <c r="T73" s="229">
        <v>7.3000000000000001E-3</v>
      </c>
      <c r="U73" s="231">
        <v>1522.3</v>
      </c>
      <c r="V73" s="231">
        <v>1504</v>
      </c>
      <c r="W73" s="228">
        <v>18.3</v>
      </c>
      <c r="X73" s="229">
        <v>1.2200000000000001E-2</v>
      </c>
      <c r="Y73" s="228">
        <v>8.1999999999999993</v>
      </c>
      <c r="Z73" s="228">
        <v>6.5</v>
      </c>
      <c r="AA73" s="228">
        <v>1.7</v>
      </c>
      <c r="AB73" s="229">
        <v>5.4999999999999997E-3</v>
      </c>
      <c r="AC73" s="228">
        <v>8.1999999999999993</v>
      </c>
      <c r="AD73" s="228">
        <v>6.5</v>
      </c>
      <c r="AE73" s="228">
        <v>1.7</v>
      </c>
      <c r="AF73" s="229">
        <v>5.4999999999999997E-3</v>
      </c>
      <c r="AG73" s="228">
        <v>15.4</v>
      </c>
      <c r="AH73" s="228">
        <v>14.6</v>
      </c>
      <c r="AI73" s="228">
        <v>0.8</v>
      </c>
      <c r="AJ73" s="229">
        <v>1.03E-2</v>
      </c>
      <c r="AK73" s="228">
        <v>26.4</v>
      </c>
      <c r="AL73" s="228">
        <v>18.2</v>
      </c>
      <c r="AM73" s="228">
        <v>8.1999999999999993</v>
      </c>
      <c r="AN73" s="229">
        <v>1.7600000000000001E-2</v>
      </c>
      <c r="AO73" s="231">
        <v>1512.1</v>
      </c>
      <c r="AP73" s="231">
        <v>1520.42</v>
      </c>
      <c r="AQ73" s="228">
        <v>0</v>
      </c>
      <c r="AR73" s="230">
        <v>2769500</v>
      </c>
      <c r="AS73" s="230">
        <v>1851000</v>
      </c>
      <c r="AT73" s="230">
        <v>918500</v>
      </c>
      <c r="AU73" s="229">
        <v>0.49619999999999997</v>
      </c>
      <c r="AV73" s="230">
        <v>2595500</v>
      </c>
      <c r="AW73" s="230">
        <v>1749000</v>
      </c>
      <c r="AX73" s="230">
        <v>846500</v>
      </c>
      <c r="AY73" s="229">
        <v>0.48399999999999999</v>
      </c>
      <c r="AZ73" s="230">
        <v>156000</v>
      </c>
      <c r="BA73" s="230">
        <v>92500</v>
      </c>
      <c r="BB73" s="230">
        <v>63500</v>
      </c>
      <c r="BC73" s="229">
        <v>0.6865</v>
      </c>
      <c r="BD73" s="230">
        <v>18000</v>
      </c>
      <c r="BE73" s="230">
        <v>9500</v>
      </c>
      <c r="BF73" s="230">
        <v>8500</v>
      </c>
      <c r="BG73" s="229">
        <v>0.89470000000000005</v>
      </c>
      <c r="BH73" s="230">
        <v>5956000</v>
      </c>
      <c r="BI73" s="230">
        <v>2952000</v>
      </c>
      <c r="BJ73" s="230">
        <v>3004000</v>
      </c>
      <c r="BK73" s="229">
        <v>1.0176000000000001</v>
      </c>
      <c r="BL73" s="230">
        <v>2279000</v>
      </c>
      <c r="BM73" s="230">
        <v>1570000</v>
      </c>
      <c r="BN73" s="230">
        <v>709000</v>
      </c>
      <c r="BO73" s="229">
        <v>0.4516</v>
      </c>
      <c r="BP73" s="230">
        <v>11004500</v>
      </c>
      <c r="BQ73" s="230">
        <v>6373000</v>
      </c>
      <c r="BR73" s="230">
        <v>4631500</v>
      </c>
      <c r="BS73" s="229">
        <v>0.72670000000000001</v>
      </c>
      <c r="BT73" s="230">
        <v>842285</v>
      </c>
      <c r="BU73" s="230">
        <v>628325</v>
      </c>
      <c r="BV73" s="230">
        <v>213960</v>
      </c>
      <c r="BW73" s="229">
        <v>0.34050000000000002</v>
      </c>
      <c r="BX73" s="230">
        <v>10504500</v>
      </c>
      <c r="BY73" s="230">
        <v>10536000</v>
      </c>
      <c r="BZ73" s="230">
        <v>-31500</v>
      </c>
      <c r="CA73" s="229">
        <v>-3.0000000000000001E-3</v>
      </c>
      <c r="CB73" s="230">
        <v>10251500</v>
      </c>
      <c r="CC73" s="230">
        <v>10297000</v>
      </c>
      <c r="CD73" s="230">
        <v>-45500</v>
      </c>
      <c r="CE73" s="229">
        <v>-4.4000000000000003E-3</v>
      </c>
      <c r="CF73" s="230">
        <v>225000</v>
      </c>
      <c r="CG73" s="230">
        <v>215000</v>
      </c>
      <c r="CH73" s="230">
        <v>10000</v>
      </c>
      <c r="CI73" s="229">
        <v>4.65E-2</v>
      </c>
      <c r="CJ73" s="230">
        <v>28000</v>
      </c>
      <c r="CK73" s="230">
        <v>24000</v>
      </c>
      <c r="CL73" s="230">
        <v>4000</v>
      </c>
      <c r="CM73" s="229">
        <v>0.16669999999999999</v>
      </c>
      <c r="CN73" s="230">
        <v>2586000</v>
      </c>
      <c r="CO73" s="230">
        <v>2765000</v>
      </c>
      <c r="CP73" s="230">
        <v>-179000</v>
      </c>
      <c r="CQ73" s="229">
        <v>-6.4699999999999994E-2</v>
      </c>
      <c r="CR73" s="230">
        <v>1589000</v>
      </c>
      <c r="CS73" s="230">
        <v>1579500</v>
      </c>
      <c r="CT73" s="230">
        <v>9500</v>
      </c>
      <c r="CU73" s="229">
        <v>6.0000000000000001E-3</v>
      </c>
      <c r="CV73" s="230">
        <v>14679500</v>
      </c>
      <c r="CW73" s="230">
        <v>14880500</v>
      </c>
      <c r="CX73" s="230">
        <v>-201000</v>
      </c>
      <c r="CY73" s="229">
        <v>-1.35E-2</v>
      </c>
      <c r="CZ73" s="228">
        <v>26.7</v>
      </c>
      <c r="DA73" s="228">
        <v>27.21</v>
      </c>
      <c r="DB73" s="228">
        <v>-0.51</v>
      </c>
      <c r="DC73" s="228">
        <v>-0.51</v>
      </c>
      <c r="DD73" s="228">
        <v>28.57</v>
      </c>
      <c r="DE73" s="228">
        <v>28.62</v>
      </c>
      <c r="DF73" s="228">
        <v>-1.87</v>
      </c>
      <c r="DG73" s="228">
        <v>-0.05</v>
      </c>
      <c r="DH73" s="228">
        <v>26.85</v>
      </c>
      <c r="DI73" s="228">
        <v>27.23</v>
      </c>
      <c r="DJ73" s="228">
        <v>-0.38</v>
      </c>
      <c r="DK73" s="228">
        <v>-0.38</v>
      </c>
      <c r="DL73" s="228">
        <v>26.33</v>
      </c>
      <c r="DM73" s="228">
        <v>27.17</v>
      </c>
      <c r="DN73" s="228">
        <v>-0.84</v>
      </c>
      <c r="DO73" s="228">
        <v>-0.84</v>
      </c>
      <c r="DP73" s="228">
        <v>0.61</v>
      </c>
      <c r="DQ73" s="228">
        <v>0.56999999999999995</v>
      </c>
      <c r="DR73" s="228">
        <v>0.04</v>
      </c>
      <c r="DS73" s="229">
        <v>7.0199999999999999E-2</v>
      </c>
      <c r="DT73" s="231">
        <v>1600</v>
      </c>
      <c r="DU73" s="231">
        <v>1500</v>
      </c>
      <c r="DV73" s="228">
        <v>0.38</v>
      </c>
      <c r="DW73" s="228">
        <v>0.53</v>
      </c>
      <c r="DX73" s="228">
        <v>-0.15</v>
      </c>
      <c r="DY73" s="229">
        <v>-0.28299999999999997</v>
      </c>
      <c r="DZ73" s="229">
        <v>2.41E-2</v>
      </c>
      <c r="EA73" s="230">
        <v>239000</v>
      </c>
      <c r="EB73" s="229">
        <v>4.7999999999999996E-3</v>
      </c>
      <c r="EC73" s="229">
        <v>2.41E-2</v>
      </c>
      <c r="ED73" s="228">
        <v>8.32</v>
      </c>
      <c r="EE73" s="229">
        <v>5.4999999999999997E-3</v>
      </c>
      <c r="EF73" s="230">
        <v>406443</v>
      </c>
      <c r="EG73" s="230">
        <v>359739</v>
      </c>
      <c r="EH73" s="229">
        <v>0.1298</v>
      </c>
      <c r="EI73" s="229">
        <v>0.48249999999999998</v>
      </c>
      <c r="EJ73" s="231">
        <v>93478.37</v>
      </c>
      <c r="EK73" s="231">
        <v>34323.839999999997</v>
      </c>
      <c r="EL73" s="231">
        <v>41893.33</v>
      </c>
      <c r="EM73" s="231">
        <v>2734</v>
      </c>
      <c r="EN73" s="231">
        <v>169695.54</v>
      </c>
      <c r="EO73" s="231">
        <v>97125.69</v>
      </c>
      <c r="EP73" s="231">
        <v>72569.850000000006</v>
      </c>
      <c r="EQ73" s="229">
        <v>0.74719999999999998</v>
      </c>
      <c r="ER73" s="231">
        <v>40835</v>
      </c>
      <c r="ES73" s="231">
        <v>23522</v>
      </c>
      <c r="ET73" s="231">
        <v>158019</v>
      </c>
      <c r="EU73" s="231">
        <v>38133766</v>
      </c>
      <c r="EV73" s="231">
        <v>222377</v>
      </c>
      <c r="EW73" s="231">
        <v>224222</v>
      </c>
      <c r="EX73" s="231">
        <v>-1845</v>
      </c>
      <c r="EY73" s="229">
        <v>-8.2000000000000007E-3</v>
      </c>
      <c r="EZ73" s="229">
        <v>0.38490000000000002</v>
      </c>
      <c r="FA73" s="227" t="s">
        <v>556</v>
      </c>
      <c r="FB73" s="161">
        <f t="shared" si="1"/>
        <v>253000</v>
      </c>
    </row>
    <row r="74" spans="1:158" ht="17.25" hidden="1" thickBot="1" x14ac:dyDescent="0.3">
      <c r="A74" s="226">
        <v>45940</v>
      </c>
      <c r="B74" s="227" t="s">
        <v>221</v>
      </c>
      <c r="C74" s="227" t="s">
        <v>222</v>
      </c>
      <c r="D74" s="228">
        <v>350</v>
      </c>
      <c r="E74" s="231">
        <v>1487.8</v>
      </c>
      <c r="F74" s="231">
        <v>1479.2</v>
      </c>
      <c r="G74" s="228">
        <v>8.6</v>
      </c>
      <c r="H74" s="229">
        <v>5.7999999999999996E-3</v>
      </c>
      <c r="I74" s="231">
        <v>1495.5</v>
      </c>
      <c r="J74" s="231">
        <v>1486.5</v>
      </c>
      <c r="K74" s="228">
        <v>9</v>
      </c>
      <c r="L74" s="229">
        <v>6.1000000000000004E-3</v>
      </c>
      <c r="M74" s="231">
        <v>1487.8</v>
      </c>
      <c r="N74" s="231">
        <v>1479.2</v>
      </c>
      <c r="O74" s="228">
        <v>8.6</v>
      </c>
      <c r="P74" s="229">
        <v>5.7999999999999996E-3</v>
      </c>
      <c r="Q74" s="231">
        <v>1495.8</v>
      </c>
      <c r="R74" s="231">
        <v>1487.2</v>
      </c>
      <c r="S74" s="228">
        <v>8.6</v>
      </c>
      <c r="T74" s="229">
        <v>5.7999999999999996E-3</v>
      </c>
      <c r="U74" s="231">
        <v>1504.5</v>
      </c>
      <c r="V74" s="231">
        <v>1492.3</v>
      </c>
      <c r="W74" s="228">
        <v>12.2</v>
      </c>
      <c r="X74" s="229">
        <v>8.2000000000000007E-3</v>
      </c>
      <c r="Y74" s="228">
        <v>-7.7</v>
      </c>
      <c r="Z74" s="228">
        <v>-7.3</v>
      </c>
      <c r="AA74" s="228">
        <v>-0.4</v>
      </c>
      <c r="AB74" s="229">
        <v>-5.1000000000000004E-3</v>
      </c>
      <c r="AC74" s="228">
        <v>-7.7</v>
      </c>
      <c r="AD74" s="228">
        <v>-7.3</v>
      </c>
      <c r="AE74" s="228">
        <v>-0.4</v>
      </c>
      <c r="AF74" s="229">
        <v>-5.1000000000000004E-3</v>
      </c>
      <c r="AG74" s="228">
        <v>0.3</v>
      </c>
      <c r="AH74" s="228">
        <v>0.7</v>
      </c>
      <c r="AI74" s="228">
        <v>-0.4</v>
      </c>
      <c r="AJ74" s="229">
        <v>2.0000000000000001E-4</v>
      </c>
      <c r="AK74" s="228">
        <v>9</v>
      </c>
      <c r="AL74" s="228">
        <v>5.8</v>
      </c>
      <c r="AM74" s="228">
        <v>3.2</v>
      </c>
      <c r="AN74" s="229">
        <v>6.0000000000000001E-3</v>
      </c>
      <c r="AO74" s="231">
        <v>1483.71</v>
      </c>
      <c r="AP74" s="231">
        <v>1491.4</v>
      </c>
      <c r="AQ74" s="228">
        <v>0</v>
      </c>
      <c r="AR74" s="230">
        <v>5380900</v>
      </c>
      <c r="AS74" s="230">
        <v>6745200</v>
      </c>
      <c r="AT74" s="230">
        <v>-1364300</v>
      </c>
      <c r="AU74" s="229">
        <v>-0.20230000000000001</v>
      </c>
      <c r="AV74" s="230">
        <v>5102300</v>
      </c>
      <c r="AW74" s="230">
        <v>6434050</v>
      </c>
      <c r="AX74" s="230">
        <v>-1331750</v>
      </c>
      <c r="AY74" s="229">
        <v>-0.20699999999999999</v>
      </c>
      <c r="AZ74" s="230">
        <v>228200</v>
      </c>
      <c r="BA74" s="230">
        <v>272650</v>
      </c>
      <c r="BB74" s="230">
        <v>-44450</v>
      </c>
      <c r="BC74" s="229">
        <v>-0.16300000000000001</v>
      </c>
      <c r="BD74" s="230">
        <v>50400</v>
      </c>
      <c r="BE74" s="230">
        <v>38500</v>
      </c>
      <c r="BF74" s="230">
        <v>11900</v>
      </c>
      <c r="BG74" s="229">
        <v>0.30909999999999999</v>
      </c>
      <c r="BH74" s="230">
        <v>13909000</v>
      </c>
      <c r="BI74" s="230">
        <v>20246800</v>
      </c>
      <c r="BJ74" s="230">
        <v>-6337800</v>
      </c>
      <c r="BK74" s="229">
        <v>-0.313</v>
      </c>
      <c r="BL74" s="230">
        <v>8586900</v>
      </c>
      <c r="BM74" s="230">
        <v>11839100</v>
      </c>
      <c r="BN74" s="230">
        <v>-3252200</v>
      </c>
      <c r="BO74" s="229">
        <v>-0.2747</v>
      </c>
      <c r="BP74" s="230">
        <v>27876800</v>
      </c>
      <c r="BQ74" s="230">
        <v>38831100</v>
      </c>
      <c r="BR74" s="230">
        <v>-10954300</v>
      </c>
      <c r="BS74" s="229">
        <v>-0.28210000000000002</v>
      </c>
      <c r="BT74" s="230">
        <v>2168155</v>
      </c>
      <c r="BU74" s="230">
        <v>2773864</v>
      </c>
      <c r="BV74" s="230">
        <v>-605709</v>
      </c>
      <c r="BW74" s="229">
        <v>-0.21840000000000001</v>
      </c>
      <c r="BX74" s="230">
        <v>20146000</v>
      </c>
      <c r="BY74" s="230">
        <v>21023800</v>
      </c>
      <c r="BZ74" s="230">
        <v>-877800</v>
      </c>
      <c r="CA74" s="229">
        <v>-4.1799999999999997E-2</v>
      </c>
      <c r="CB74" s="230">
        <v>19590550</v>
      </c>
      <c r="CC74" s="230">
        <v>20526800</v>
      </c>
      <c r="CD74" s="230">
        <v>-936250</v>
      </c>
      <c r="CE74" s="229">
        <v>-4.5600000000000002E-2</v>
      </c>
      <c r="CF74" s="230">
        <v>489650</v>
      </c>
      <c r="CG74" s="230">
        <v>463400</v>
      </c>
      <c r="CH74" s="230">
        <v>26250</v>
      </c>
      <c r="CI74" s="229">
        <v>5.6599999999999998E-2</v>
      </c>
      <c r="CJ74" s="230">
        <v>65800</v>
      </c>
      <c r="CK74" s="230">
        <v>33600</v>
      </c>
      <c r="CL74" s="230">
        <v>32200</v>
      </c>
      <c r="CM74" s="229">
        <v>0.95830000000000004</v>
      </c>
      <c r="CN74" s="230">
        <v>6230350</v>
      </c>
      <c r="CO74" s="230">
        <v>5587750</v>
      </c>
      <c r="CP74" s="230">
        <v>642600</v>
      </c>
      <c r="CQ74" s="229">
        <v>0.115</v>
      </c>
      <c r="CR74" s="230">
        <v>5113500</v>
      </c>
      <c r="CS74" s="230">
        <v>4632950</v>
      </c>
      <c r="CT74" s="230">
        <v>480550</v>
      </c>
      <c r="CU74" s="229">
        <v>0.1037</v>
      </c>
      <c r="CV74" s="230">
        <v>31489850</v>
      </c>
      <c r="CW74" s="230">
        <v>31244500</v>
      </c>
      <c r="CX74" s="230">
        <v>245350</v>
      </c>
      <c r="CY74" s="229">
        <v>7.9000000000000008E-3</v>
      </c>
      <c r="CZ74" s="228">
        <v>26.25</v>
      </c>
      <c r="DA74" s="228">
        <v>27.05</v>
      </c>
      <c r="DB74" s="228">
        <v>-0.8</v>
      </c>
      <c r="DC74" s="228">
        <v>-0.8</v>
      </c>
      <c r="DD74" s="228">
        <v>29.17</v>
      </c>
      <c r="DE74" s="228">
        <v>29.23</v>
      </c>
      <c r="DF74" s="228">
        <v>-2.92</v>
      </c>
      <c r="DG74" s="228">
        <v>-0.06</v>
      </c>
      <c r="DH74" s="228">
        <v>25.81</v>
      </c>
      <c r="DI74" s="228">
        <v>26.65</v>
      </c>
      <c r="DJ74" s="228">
        <v>-0.84</v>
      </c>
      <c r="DK74" s="228">
        <v>-0.84</v>
      </c>
      <c r="DL74" s="228">
        <v>26.98</v>
      </c>
      <c r="DM74" s="228">
        <v>27.75</v>
      </c>
      <c r="DN74" s="228">
        <v>-0.77</v>
      </c>
      <c r="DO74" s="228">
        <v>-0.77</v>
      </c>
      <c r="DP74" s="228">
        <v>0.82</v>
      </c>
      <c r="DQ74" s="228">
        <v>0.83</v>
      </c>
      <c r="DR74" s="228">
        <v>-0.01</v>
      </c>
      <c r="DS74" s="229">
        <v>-1.2E-2</v>
      </c>
      <c r="DT74" s="231">
        <v>1500</v>
      </c>
      <c r="DU74" s="231">
        <v>1400</v>
      </c>
      <c r="DV74" s="228">
        <v>0.62</v>
      </c>
      <c r="DW74" s="228">
        <v>0.57999999999999996</v>
      </c>
      <c r="DX74" s="228">
        <v>0.04</v>
      </c>
      <c r="DY74" s="229">
        <v>6.9000000000000006E-2</v>
      </c>
      <c r="DZ74" s="229">
        <v>2.76E-2</v>
      </c>
      <c r="EA74" s="230">
        <v>497000</v>
      </c>
      <c r="EB74" s="229">
        <v>5.4000000000000003E-3</v>
      </c>
      <c r="EC74" s="229">
        <v>2.76E-2</v>
      </c>
      <c r="ED74" s="228">
        <v>7.69</v>
      </c>
      <c r="EE74" s="229">
        <v>5.1999999999999998E-3</v>
      </c>
      <c r="EF74" s="230">
        <v>976076</v>
      </c>
      <c r="EG74" s="230">
        <v>1255842</v>
      </c>
      <c r="EH74" s="229">
        <v>-0.2228</v>
      </c>
      <c r="EI74" s="229">
        <v>0.45019999999999999</v>
      </c>
      <c r="EJ74" s="231">
        <v>214691.93</v>
      </c>
      <c r="EK74" s="231">
        <v>126027.85</v>
      </c>
      <c r="EL74" s="231">
        <v>79863.17</v>
      </c>
      <c r="EM74" s="231">
        <v>10326</v>
      </c>
      <c r="EN74" s="231">
        <v>420582.95</v>
      </c>
      <c r="EO74" s="231">
        <v>582056.16</v>
      </c>
      <c r="EP74" s="231">
        <v>-161473.21</v>
      </c>
      <c r="EQ74" s="229">
        <v>-0.27739999999999998</v>
      </c>
      <c r="ER74" s="231">
        <v>94791</v>
      </c>
      <c r="ES74" s="231">
        <v>71041</v>
      </c>
      <c r="ET74" s="231">
        <v>299782</v>
      </c>
      <c r="EU74" s="231">
        <v>145993539</v>
      </c>
      <c r="EV74" s="231">
        <v>465614</v>
      </c>
      <c r="EW74" s="231">
        <v>459694</v>
      </c>
      <c r="EX74" s="231">
        <v>5920</v>
      </c>
      <c r="EY74" s="229">
        <v>1.29E-2</v>
      </c>
      <c r="EZ74" s="229">
        <v>0.2157</v>
      </c>
      <c r="FA74" s="227" t="s">
        <v>556</v>
      </c>
      <c r="FB74" s="161">
        <f t="shared" si="1"/>
        <v>555450</v>
      </c>
    </row>
    <row r="75" spans="1:158" ht="17.25" hidden="1" thickBot="1" x14ac:dyDescent="0.3">
      <c r="A75" s="226">
        <v>45940</v>
      </c>
      <c r="B75" s="227" t="s">
        <v>175</v>
      </c>
      <c r="C75" s="227" t="s">
        <v>475</v>
      </c>
      <c r="D75" s="228">
        <v>150</v>
      </c>
      <c r="E75" s="231">
        <v>5549.5</v>
      </c>
      <c r="F75" s="231">
        <v>5497.5</v>
      </c>
      <c r="G75" s="228">
        <v>52</v>
      </c>
      <c r="H75" s="229">
        <v>9.4999999999999998E-3</v>
      </c>
      <c r="I75" s="231">
        <v>5520</v>
      </c>
      <c r="J75" s="231">
        <v>5479</v>
      </c>
      <c r="K75" s="228">
        <v>41</v>
      </c>
      <c r="L75" s="229">
        <v>7.4999999999999997E-3</v>
      </c>
      <c r="M75" s="231">
        <v>5549.5</v>
      </c>
      <c r="N75" s="231">
        <v>5497.5</v>
      </c>
      <c r="O75" s="228">
        <v>52</v>
      </c>
      <c r="P75" s="229">
        <v>9.4999999999999998E-3</v>
      </c>
      <c r="Q75" s="231">
        <v>5575.5</v>
      </c>
      <c r="R75" s="231">
        <v>5527.5</v>
      </c>
      <c r="S75" s="228">
        <v>48</v>
      </c>
      <c r="T75" s="229">
        <v>8.6999999999999994E-3</v>
      </c>
      <c r="U75" s="231">
        <v>5616</v>
      </c>
      <c r="V75" s="231">
        <v>5543</v>
      </c>
      <c r="W75" s="228">
        <v>73</v>
      </c>
      <c r="X75" s="229">
        <v>1.32E-2</v>
      </c>
      <c r="Y75" s="228">
        <v>29.5</v>
      </c>
      <c r="Z75" s="228">
        <v>18.5</v>
      </c>
      <c r="AA75" s="228">
        <v>11</v>
      </c>
      <c r="AB75" s="229">
        <v>5.3E-3</v>
      </c>
      <c r="AC75" s="228">
        <v>29.5</v>
      </c>
      <c r="AD75" s="228">
        <v>18.5</v>
      </c>
      <c r="AE75" s="228">
        <v>11</v>
      </c>
      <c r="AF75" s="229">
        <v>5.3E-3</v>
      </c>
      <c r="AG75" s="228">
        <v>55.5</v>
      </c>
      <c r="AH75" s="228">
        <v>48.5</v>
      </c>
      <c r="AI75" s="228">
        <v>7</v>
      </c>
      <c r="AJ75" s="229">
        <v>1.01E-2</v>
      </c>
      <c r="AK75" s="228">
        <v>96</v>
      </c>
      <c r="AL75" s="228">
        <v>64</v>
      </c>
      <c r="AM75" s="228">
        <v>32</v>
      </c>
      <c r="AN75" s="229">
        <v>1.7399999999999999E-2</v>
      </c>
      <c r="AO75" s="231">
        <v>5549.81</v>
      </c>
      <c r="AP75" s="231">
        <v>5576.12</v>
      </c>
      <c r="AQ75" s="228">
        <v>0</v>
      </c>
      <c r="AR75" s="230">
        <v>426150</v>
      </c>
      <c r="AS75" s="230">
        <v>429150</v>
      </c>
      <c r="AT75" s="230">
        <v>-3000</v>
      </c>
      <c r="AU75" s="229">
        <v>-7.0000000000000001E-3</v>
      </c>
      <c r="AV75" s="230">
        <v>411600</v>
      </c>
      <c r="AW75" s="230">
        <v>418500</v>
      </c>
      <c r="AX75" s="230">
        <v>-6900</v>
      </c>
      <c r="AY75" s="229">
        <v>-1.6500000000000001E-2</v>
      </c>
      <c r="AZ75" s="230">
        <v>13650</v>
      </c>
      <c r="BA75" s="230">
        <v>9600</v>
      </c>
      <c r="BB75" s="230">
        <v>4050</v>
      </c>
      <c r="BC75" s="229">
        <v>0.4219</v>
      </c>
      <c r="BD75" s="228">
        <v>900</v>
      </c>
      <c r="BE75" s="230">
        <v>1050</v>
      </c>
      <c r="BF75" s="228">
        <v>-150</v>
      </c>
      <c r="BG75" s="229">
        <v>-0.1429</v>
      </c>
      <c r="BH75" s="230">
        <v>1214550</v>
      </c>
      <c r="BI75" s="230">
        <v>1022850</v>
      </c>
      <c r="BJ75" s="230">
        <v>191700</v>
      </c>
      <c r="BK75" s="229">
        <v>0.18740000000000001</v>
      </c>
      <c r="BL75" s="230">
        <v>415800</v>
      </c>
      <c r="BM75" s="230">
        <v>477300</v>
      </c>
      <c r="BN75" s="230">
        <v>-61500</v>
      </c>
      <c r="BO75" s="229">
        <v>-0.1288</v>
      </c>
      <c r="BP75" s="230">
        <v>2056500</v>
      </c>
      <c r="BQ75" s="230">
        <v>1929300</v>
      </c>
      <c r="BR75" s="230">
        <v>127200</v>
      </c>
      <c r="BS75" s="229">
        <v>6.59E-2</v>
      </c>
      <c r="BT75" s="230">
        <v>446748</v>
      </c>
      <c r="BU75" s="230">
        <v>424667</v>
      </c>
      <c r="BV75" s="230">
        <v>22081</v>
      </c>
      <c r="BW75" s="229">
        <v>5.1999999999999998E-2</v>
      </c>
      <c r="BX75" s="230">
        <v>2224350</v>
      </c>
      <c r="BY75" s="230">
        <v>2222250</v>
      </c>
      <c r="BZ75" s="230">
        <v>2100</v>
      </c>
      <c r="CA75" s="229">
        <v>8.9999999999999998E-4</v>
      </c>
      <c r="CB75" s="230">
        <v>2182350</v>
      </c>
      <c r="CC75" s="230">
        <v>2177550</v>
      </c>
      <c r="CD75" s="230">
        <v>4800</v>
      </c>
      <c r="CE75" s="229">
        <v>2.2000000000000001E-3</v>
      </c>
      <c r="CF75" s="230">
        <v>39150</v>
      </c>
      <c r="CG75" s="230">
        <v>41400</v>
      </c>
      <c r="CH75" s="230">
        <v>-2250</v>
      </c>
      <c r="CI75" s="229">
        <v>-5.4300000000000001E-2</v>
      </c>
      <c r="CJ75" s="230">
        <v>2850</v>
      </c>
      <c r="CK75" s="230">
        <v>3300</v>
      </c>
      <c r="CL75" s="228">
        <v>-450</v>
      </c>
      <c r="CM75" s="229">
        <v>-0.13639999999999999</v>
      </c>
      <c r="CN75" s="230">
        <v>769200</v>
      </c>
      <c r="CO75" s="230">
        <v>749850</v>
      </c>
      <c r="CP75" s="230">
        <v>19350</v>
      </c>
      <c r="CQ75" s="229">
        <v>2.58E-2</v>
      </c>
      <c r="CR75" s="230">
        <v>586350</v>
      </c>
      <c r="CS75" s="230">
        <v>560100</v>
      </c>
      <c r="CT75" s="230">
        <v>26250</v>
      </c>
      <c r="CU75" s="229">
        <v>4.6899999999999997E-2</v>
      </c>
      <c r="CV75" s="230">
        <v>3579900</v>
      </c>
      <c r="CW75" s="230">
        <v>3532200</v>
      </c>
      <c r="CX75" s="230">
        <v>47700</v>
      </c>
      <c r="CY75" s="229">
        <v>1.35E-2</v>
      </c>
      <c r="CZ75" s="228">
        <v>26.77</v>
      </c>
      <c r="DA75" s="228">
        <v>27.51</v>
      </c>
      <c r="DB75" s="228">
        <v>-0.74</v>
      </c>
      <c r="DC75" s="228">
        <v>-0.74</v>
      </c>
      <c r="DD75" s="228">
        <v>34.950000000000003</v>
      </c>
      <c r="DE75" s="228">
        <v>35.020000000000003</v>
      </c>
      <c r="DF75" s="228">
        <v>-8.18</v>
      </c>
      <c r="DG75" s="228">
        <v>-7.0000000000000007E-2</v>
      </c>
      <c r="DH75" s="228">
        <v>26.76</v>
      </c>
      <c r="DI75" s="228">
        <v>27.64</v>
      </c>
      <c r="DJ75" s="228">
        <v>-0.88</v>
      </c>
      <c r="DK75" s="228">
        <v>-0.88</v>
      </c>
      <c r="DL75" s="228">
        <v>26.77</v>
      </c>
      <c r="DM75" s="228">
        <v>27.21</v>
      </c>
      <c r="DN75" s="228">
        <v>-0.44</v>
      </c>
      <c r="DO75" s="228">
        <v>-0.44</v>
      </c>
      <c r="DP75" s="228">
        <v>0.76</v>
      </c>
      <c r="DQ75" s="228">
        <v>0.75</v>
      </c>
      <c r="DR75" s="228">
        <v>0.01</v>
      </c>
      <c r="DS75" s="229">
        <v>1.3299999999999999E-2</v>
      </c>
      <c r="DT75" s="231">
        <v>5600</v>
      </c>
      <c r="DU75" s="231">
        <v>5500</v>
      </c>
      <c r="DV75" s="228">
        <v>0.34</v>
      </c>
      <c r="DW75" s="228">
        <v>0.47</v>
      </c>
      <c r="DX75" s="228">
        <v>-0.13</v>
      </c>
      <c r="DY75" s="229">
        <v>-0.27660000000000001</v>
      </c>
      <c r="DZ75" s="229">
        <v>1.89E-2</v>
      </c>
      <c r="EA75" s="230">
        <v>44700</v>
      </c>
      <c r="EB75" s="229">
        <v>4.7000000000000002E-3</v>
      </c>
      <c r="EC75" s="229">
        <v>1.89E-2</v>
      </c>
      <c r="ED75" s="228">
        <v>26.31</v>
      </c>
      <c r="EE75" s="229">
        <v>4.7000000000000002E-3</v>
      </c>
      <c r="EF75" s="230">
        <v>324427</v>
      </c>
      <c r="EG75" s="230">
        <v>279112</v>
      </c>
      <c r="EH75" s="229">
        <v>0.16239999999999999</v>
      </c>
      <c r="EI75" s="229">
        <v>0.72619999999999996</v>
      </c>
      <c r="EJ75" s="231">
        <v>69704.509999999995</v>
      </c>
      <c r="EK75" s="231">
        <v>22898.95</v>
      </c>
      <c r="EL75" s="231">
        <v>23654.55</v>
      </c>
      <c r="EM75" s="231">
        <v>2724</v>
      </c>
      <c r="EN75" s="231">
        <v>116258.01</v>
      </c>
      <c r="EO75" s="231">
        <v>108439.8</v>
      </c>
      <c r="EP75" s="231">
        <v>7818.21</v>
      </c>
      <c r="EQ75" s="229">
        <v>7.2099999999999997E-2</v>
      </c>
      <c r="ER75" s="231">
        <v>44406</v>
      </c>
      <c r="ES75" s="231">
        <v>32030</v>
      </c>
      <c r="ET75" s="231">
        <v>123452</v>
      </c>
      <c r="EU75" s="231">
        <v>15259458</v>
      </c>
      <c r="EV75" s="231">
        <v>199889</v>
      </c>
      <c r="EW75" s="231">
        <v>196051</v>
      </c>
      <c r="EX75" s="231">
        <v>3838</v>
      </c>
      <c r="EY75" s="229">
        <v>1.9599999999999999E-2</v>
      </c>
      <c r="EZ75" s="229">
        <v>0.2346</v>
      </c>
      <c r="FA75" s="227" t="s">
        <v>555</v>
      </c>
      <c r="FB75" s="161">
        <f t="shared" si="1"/>
        <v>42000</v>
      </c>
    </row>
    <row r="76" spans="1:158" ht="17.25" hidden="1" thickBot="1" x14ac:dyDescent="0.3">
      <c r="A76" s="226">
        <v>45940</v>
      </c>
      <c r="B76" s="227" t="s">
        <v>172</v>
      </c>
      <c r="C76" s="227" t="s">
        <v>224</v>
      </c>
      <c r="D76" s="228">
        <v>1100</v>
      </c>
      <c r="E76" s="228">
        <v>985.9</v>
      </c>
      <c r="F76" s="228">
        <v>979.6</v>
      </c>
      <c r="G76" s="228">
        <v>6.3</v>
      </c>
      <c r="H76" s="229">
        <v>6.4000000000000003E-3</v>
      </c>
      <c r="I76" s="228">
        <v>980.9</v>
      </c>
      <c r="J76" s="228">
        <v>977.1</v>
      </c>
      <c r="K76" s="228">
        <v>3.8</v>
      </c>
      <c r="L76" s="229">
        <v>3.8999999999999998E-3</v>
      </c>
      <c r="M76" s="228">
        <v>985.9</v>
      </c>
      <c r="N76" s="228">
        <v>979.6</v>
      </c>
      <c r="O76" s="228">
        <v>6.3</v>
      </c>
      <c r="P76" s="229">
        <v>6.4000000000000003E-3</v>
      </c>
      <c r="Q76" s="228">
        <v>991.25</v>
      </c>
      <c r="R76" s="228">
        <v>984.9</v>
      </c>
      <c r="S76" s="228">
        <v>6.35</v>
      </c>
      <c r="T76" s="229">
        <v>6.4000000000000003E-3</v>
      </c>
      <c r="U76" s="228">
        <v>997.25</v>
      </c>
      <c r="V76" s="228">
        <v>990.55</v>
      </c>
      <c r="W76" s="228">
        <v>6.7</v>
      </c>
      <c r="X76" s="229">
        <v>6.7999999999999996E-3</v>
      </c>
      <c r="Y76" s="228">
        <v>5</v>
      </c>
      <c r="Z76" s="228">
        <v>2.5</v>
      </c>
      <c r="AA76" s="228">
        <v>2.5</v>
      </c>
      <c r="AB76" s="229">
        <v>5.1000000000000004E-3</v>
      </c>
      <c r="AC76" s="228">
        <v>5</v>
      </c>
      <c r="AD76" s="228">
        <v>2.5</v>
      </c>
      <c r="AE76" s="228">
        <v>2.5</v>
      </c>
      <c r="AF76" s="229">
        <v>5.1000000000000004E-3</v>
      </c>
      <c r="AG76" s="228">
        <v>10.35</v>
      </c>
      <c r="AH76" s="228">
        <v>7.8</v>
      </c>
      <c r="AI76" s="228">
        <v>2.5499999999999998</v>
      </c>
      <c r="AJ76" s="229">
        <v>1.06E-2</v>
      </c>
      <c r="AK76" s="228">
        <v>16.350000000000001</v>
      </c>
      <c r="AL76" s="228">
        <v>13.45</v>
      </c>
      <c r="AM76" s="228">
        <v>2.9</v>
      </c>
      <c r="AN76" s="229">
        <v>1.67E-2</v>
      </c>
      <c r="AO76" s="228">
        <v>986.92</v>
      </c>
      <c r="AP76" s="228">
        <v>992.07</v>
      </c>
      <c r="AQ76" s="228">
        <v>0</v>
      </c>
      <c r="AR76" s="230">
        <v>18506400</v>
      </c>
      <c r="AS76" s="230">
        <v>18332600</v>
      </c>
      <c r="AT76" s="230">
        <v>173800</v>
      </c>
      <c r="AU76" s="229">
        <v>9.4999999999999998E-3</v>
      </c>
      <c r="AV76" s="230">
        <v>16260200</v>
      </c>
      <c r="AW76" s="230">
        <v>17283200</v>
      </c>
      <c r="AX76" s="230">
        <v>-1023000</v>
      </c>
      <c r="AY76" s="229">
        <v>-5.9200000000000003E-2</v>
      </c>
      <c r="AZ76" s="230">
        <v>1710500</v>
      </c>
      <c r="BA76" s="230">
        <v>974600</v>
      </c>
      <c r="BB76" s="230">
        <v>735900</v>
      </c>
      <c r="BC76" s="229">
        <v>0.75509999999999999</v>
      </c>
      <c r="BD76" s="230">
        <v>535700</v>
      </c>
      <c r="BE76" s="230">
        <v>74800</v>
      </c>
      <c r="BF76" s="230">
        <v>460900</v>
      </c>
      <c r="BG76" s="229">
        <v>6.1618000000000004</v>
      </c>
      <c r="BH76" s="230">
        <v>44642400</v>
      </c>
      <c r="BI76" s="230">
        <v>33587400</v>
      </c>
      <c r="BJ76" s="230">
        <v>11055000</v>
      </c>
      <c r="BK76" s="229">
        <v>0.3291</v>
      </c>
      <c r="BL76" s="230">
        <v>23218800</v>
      </c>
      <c r="BM76" s="230">
        <v>22649000</v>
      </c>
      <c r="BN76" s="230">
        <v>569800</v>
      </c>
      <c r="BO76" s="229">
        <v>2.52E-2</v>
      </c>
      <c r="BP76" s="230">
        <v>86367600</v>
      </c>
      <c r="BQ76" s="230">
        <v>74569000</v>
      </c>
      <c r="BR76" s="230">
        <v>11798600</v>
      </c>
      <c r="BS76" s="229">
        <v>0.15820000000000001</v>
      </c>
      <c r="BT76" s="230">
        <v>14536232</v>
      </c>
      <c r="BU76" s="230">
        <v>17879081</v>
      </c>
      <c r="BV76" s="230">
        <v>-3342849</v>
      </c>
      <c r="BW76" s="229">
        <v>-0.187</v>
      </c>
      <c r="BX76" s="230">
        <v>200343000</v>
      </c>
      <c r="BY76" s="230">
        <v>200213200</v>
      </c>
      <c r="BZ76" s="230">
        <v>129800</v>
      </c>
      <c r="CA76" s="229">
        <v>5.9999999999999995E-4</v>
      </c>
      <c r="CB76" s="230">
        <v>194359000</v>
      </c>
      <c r="CC76" s="230">
        <v>194870500</v>
      </c>
      <c r="CD76" s="230">
        <v>-511500</v>
      </c>
      <c r="CE76" s="229">
        <v>-2.5999999999999999E-3</v>
      </c>
      <c r="CF76" s="230">
        <v>3687200</v>
      </c>
      <c r="CG76" s="230">
        <v>3449600</v>
      </c>
      <c r="CH76" s="230">
        <v>237600</v>
      </c>
      <c r="CI76" s="229">
        <v>6.8900000000000003E-2</v>
      </c>
      <c r="CJ76" s="230">
        <v>2296800</v>
      </c>
      <c r="CK76" s="230">
        <v>1893100</v>
      </c>
      <c r="CL76" s="230">
        <v>403700</v>
      </c>
      <c r="CM76" s="229">
        <v>0.2132</v>
      </c>
      <c r="CN76" s="230">
        <v>31808700</v>
      </c>
      <c r="CO76" s="230">
        <v>32011100</v>
      </c>
      <c r="CP76" s="230">
        <v>-202400</v>
      </c>
      <c r="CQ76" s="229">
        <v>-6.3E-3</v>
      </c>
      <c r="CR76" s="230">
        <v>24380400</v>
      </c>
      <c r="CS76" s="230">
        <v>24604800</v>
      </c>
      <c r="CT76" s="230">
        <v>-224400</v>
      </c>
      <c r="CU76" s="229">
        <v>-9.1000000000000004E-3</v>
      </c>
      <c r="CV76" s="230">
        <v>256532100</v>
      </c>
      <c r="CW76" s="230">
        <v>256829100</v>
      </c>
      <c r="CX76" s="230">
        <v>-297000</v>
      </c>
      <c r="CY76" s="229">
        <v>-1.1999999999999999E-3</v>
      </c>
      <c r="CZ76" s="228">
        <v>17.760000000000002</v>
      </c>
      <c r="DA76" s="228">
        <v>18.059999999999999</v>
      </c>
      <c r="DB76" s="228">
        <v>-0.3</v>
      </c>
      <c r="DC76" s="228">
        <v>-0.3</v>
      </c>
      <c r="DD76" s="228">
        <v>21.29</v>
      </c>
      <c r="DE76" s="228">
        <v>21.34</v>
      </c>
      <c r="DF76" s="228">
        <v>-3.53</v>
      </c>
      <c r="DG76" s="228">
        <v>-0.05</v>
      </c>
      <c r="DH76" s="228">
        <v>17.62</v>
      </c>
      <c r="DI76" s="228">
        <v>17.86</v>
      </c>
      <c r="DJ76" s="228">
        <v>-0.24</v>
      </c>
      <c r="DK76" s="228">
        <v>-0.24</v>
      </c>
      <c r="DL76" s="228">
        <v>18.04</v>
      </c>
      <c r="DM76" s="228">
        <v>18.34</v>
      </c>
      <c r="DN76" s="228">
        <v>-0.3</v>
      </c>
      <c r="DO76" s="228">
        <v>-0.3</v>
      </c>
      <c r="DP76" s="228">
        <v>0.77</v>
      </c>
      <c r="DQ76" s="228">
        <v>0.77</v>
      </c>
      <c r="DR76" s="228">
        <v>0</v>
      </c>
      <c r="DS76" s="229">
        <v>0</v>
      </c>
      <c r="DT76" s="231">
        <v>1000</v>
      </c>
      <c r="DU76" s="228">
        <v>950</v>
      </c>
      <c r="DV76" s="228">
        <v>0.52</v>
      </c>
      <c r="DW76" s="228">
        <v>0.67</v>
      </c>
      <c r="DX76" s="228">
        <v>-0.15</v>
      </c>
      <c r="DY76" s="229">
        <v>-0.22389999999999999</v>
      </c>
      <c r="DZ76" s="229">
        <v>2.9899999999999999E-2</v>
      </c>
      <c r="EA76" s="230">
        <v>5342700</v>
      </c>
      <c r="EB76" s="229">
        <v>5.4000000000000003E-3</v>
      </c>
      <c r="EC76" s="229">
        <v>2.9899999999999999E-2</v>
      </c>
      <c r="ED76" s="228">
        <v>5.15</v>
      </c>
      <c r="EE76" s="229">
        <v>5.1999999999999998E-3</v>
      </c>
      <c r="EF76" s="230">
        <v>9018735</v>
      </c>
      <c r="EG76" s="230">
        <v>9950933</v>
      </c>
      <c r="EH76" s="229">
        <v>-9.3700000000000006E-2</v>
      </c>
      <c r="EI76" s="229">
        <v>0.62039999999999995</v>
      </c>
      <c r="EJ76" s="231">
        <v>450105.35</v>
      </c>
      <c r="EK76" s="231">
        <v>226866.89</v>
      </c>
      <c r="EL76" s="231">
        <v>182795.51</v>
      </c>
      <c r="EM76" s="231">
        <v>23178</v>
      </c>
      <c r="EN76" s="231">
        <v>859767.75</v>
      </c>
      <c r="EO76" s="231">
        <v>737267.07</v>
      </c>
      <c r="EP76" s="231">
        <v>122500.68</v>
      </c>
      <c r="EQ76" s="229">
        <v>0.16619999999999999</v>
      </c>
      <c r="ER76" s="231">
        <v>318779</v>
      </c>
      <c r="ES76" s="231">
        <v>231518</v>
      </c>
      <c r="ET76" s="231">
        <v>1975640</v>
      </c>
      <c r="EU76" s="231">
        <v>1329733550</v>
      </c>
      <c r="EV76" s="231">
        <v>2525936</v>
      </c>
      <c r="EW76" s="231">
        <v>2515336</v>
      </c>
      <c r="EX76" s="231">
        <v>10600</v>
      </c>
      <c r="EY76" s="229">
        <v>4.1999999999999997E-3</v>
      </c>
      <c r="EZ76" s="229">
        <v>0.19289999999999999</v>
      </c>
      <c r="FA76" s="227" t="s">
        <v>555</v>
      </c>
      <c r="FB76" s="161">
        <f t="shared" si="1"/>
        <v>5984000</v>
      </c>
    </row>
    <row r="77" spans="1:158" ht="17.25" hidden="1" thickBot="1" x14ac:dyDescent="0.3">
      <c r="A77" s="226">
        <v>45940</v>
      </c>
      <c r="B77" s="227" t="s">
        <v>175</v>
      </c>
      <c r="C77" s="227" t="s">
        <v>225</v>
      </c>
      <c r="D77" s="228">
        <v>1100</v>
      </c>
      <c r="E77" s="228">
        <v>750.2</v>
      </c>
      <c r="F77" s="228">
        <v>758.25</v>
      </c>
      <c r="G77" s="228">
        <v>-8.0500000000000007</v>
      </c>
      <c r="H77" s="229">
        <v>-1.06E-2</v>
      </c>
      <c r="I77" s="228">
        <v>747.3</v>
      </c>
      <c r="J77" s="228">
        <v>754.35</v>
      </c>
      <c r="K77" s="228">
        <v>-7.05</v>
      </c>
      <c r="L77" s="229">
        <v>-9.2999999999999992E-3</v>
      </c>
      <c r="M77" s="228">
        <v>750.2</v>
      </c>
      <c r="N77" s="228">
        <v>758.25</v>
      </c>
      <c r="O77" s="228">
        <v>-8.0500000000000007</v>
      </c>
      <c r="P77" s="229">
        <v>-1.06E-2</v>
      </c>
      <c r="Q77" s="228">
        <v>754.25</v>
      </c>
      <c r="R77" s="228">
        <v>762.5</v>
      </c>
      <c r="S77" s="228">
        <v>-8.25</v>
      </c>
      <c r="T77" s="229">
        <v>-1.0800000000000001E-2</v>
      </c>
      <c r="U77" s="228">
        <v>758.35</v>
      </c>
      <c r="V77" s="228">
        <v>765</v>
      </c>
      <c r="W77" s="228">
        <v>-6.65</v>
      </c>
      <c r="X77" s="229">
        <v>-8.6999999999999994E-3</v>
      </c>
      <c r="Y77" s="228">
        <v>2.9</v>
      </c>
      <c r="Z77" s="228">
        <v>3.9</v>
      </c>
      <c r="AA77" s="228">
        <v>-1</v>
      </c>
      <c r="AB77" s="229">
        <v>3.8999999999999998E-3</v>
      </c>
      <c r="AC77" s="228">
        <v>2.9</v>
      </c>
      <c r="AD77" s="228">
        <v>3.9</v>
      </c>
      <c r="AE77" s="228">
        <v>-1</v>
      </c>
      <c r="AF77" s="229">
        <v>3.8999999999999998E-3</v>
      </c>
      <c r="AG77" s="228">
        <v>6.95</v>
      </c>
      <c r="AH77" s="228">
        <v>8.15</v>
      </c>
      <c r="AI77" s="228">
        <v>-1.2</v>
      </c>
      <c r="AJ77" s="229">
        <v>9.2999999999999992E-3</v>
      </c>
      <c r="AK77" s="228">
        <v>11.05</v>
      </c>
      <c r="AL77" s="228">
        <v>10.65</v>
      </c>
      <c r="AM77" s="228">
        <v>0.4</v>
      </c>
      <c r="AN77" s="229">
        <v>1.4800000000000001E-2</v>
      </c>
      <c r="AO77" s="228">
        <v>754.6</v>
      </c>
      <c r="AP77" s="228">
        <v>759.56</v>
      </c>
      <c r="AQ77" s="228">
        <v>0</v>
      </c>
      <c r="AR77" s="230">
        <v>3756500</v>
      </c>
      <c r="AS77" s="230">
        <v>5278900</v>
      </c>
      <c r="AT77" s="230">
        <v>-1522400</v>
      </c>
      <c r="AU77" s="229">
        <v>-0.28839999999999999</v>
      </c>
      <c r="AV77" s="230">
        <v>3573900</v>
      </c>
      <c r="AW77" s="230">
        <v>5068800</v>
      </c>
      <c r="AX77" s="230">
        <v>-1494900</v>
      </c>
      <c r="AY77" s="229">
        <v>-0.2949</v>
      </c>
      <c r="AZ77" s="230">
        <v>133100</v>
      </c>
      <c r="BA77" s="230">
        <v>190300</v>
      </c>
      <c r="BB77" s="230">
        <v>-57200</v>
      </c>
      <c r="BC77" s="229">
        <v>-0.30059999999999998</v>
      </c>
      <c r="BD77" s="230">
        <v>49500</v>
      </c>
      <c r="BE77" s="230">
        <v>19800</v>
      </c>
      <c r="BF77" s="230">
        <v>29700</v>
      </c>
      <c r="BG77" s="229">
        <v>1.5</v>
      </c>
      <c r="BH77" s="230">
        <v>7566900</v>
      </c>
      <c r="BI77" s="230">
        <v>10181600</v>
      </c>
      <c r="BJ77" s="230">
        <v>-2614700</v>
      </c>
      <c r="BK77" s="229">
        <v>-0.25679999999999997</v>
      </c>
      <c r="BL77" s="230">
        <v>3592600</v>
      </c>
      <c r="BM77" s="230">
        <v>5282200</v>
      </c>
      <c r="BN77" s="230">
        <v>-1689600</v>
      </c>
      <c r="BO77" s="229">
        <v>-0.31990000000000002</v>
      </c>
      <c r="BP77" s="230">
        <v>14916000</v>
      </c>
      <c r="BQ77" s="230">
        <v>20742700</v>
      </c>
      <c r="BR77" s="230">
        <v>-5826700</v>
      </c>
      <c r="BS77" s="229">
        <v>-0.28089999999999998</v>
      </c>
      <c r="BT77" s="230">
        <v>2809876</v>
      </c>
      <c r="BU77" s="230">
        <v>4561204</v>
      </c>
      <c r="BV77" s="230">
        <v>-1751328</v>
      </c>
      <c r="BW77" s="229">
        <v>-0.38400000000000001</v>
      </c>
      <c r="BX77" s="230">
        <v>31191600</v>
      </c>
      <c r="BY77" s="230">
        <v>30454600</v>
      </c>
      <c r="BZ77" s="230">
        <v>737000</v>
      </c>
      <c r="CA77" s="229">
        <v>2.4199999999999999E-2</v>
      </c>
      <c r="CB77" s="230">
        <v>30728500</v>
      </c>
      <c r="CC77" s="230">
        <v>30088300</v>
      </c>
      <c r="CD77" s="230">
        <v>640200</v>
      </c>
      <c r="CE77" s="229">
        <v>2.1299999999999999E-2</v>
      </c>
      <c r="CF77" s="230">
        <v>400400</v>
      </c>
      <c r="CG77" s="230">
        <v>339900</v>
      </c>
      <c r="CH77" s="230">
        <v>60500</v>
      </c>
      <c r="CI77" s="229">
        <v>0.17799999999999999</v>
      </c>
      <c r="CJ77" s="230">
        <v>62700</v>
      </c>
      <c r="CK77" s="230">
        <v>26400</v>
      </c>
      <c r="CL77" s="230">
        <v>36300</v>
      </c>
      <c r="CM77" s="229">
        <v>1.375</v>
      </c>
      <c r="CN77" s="230">
        <v>9483100</v>
      </c>
      <c r="CO77" s="230">
        <v>8362200</v>
      </c>
      <c r="CP77" s="230">
        <v>1120900</v>
      </c>
      <c r="CQ77" s="229">
        <v>0.13400000000000001</v>
      </c>
      <c r="CR77" s="230">
        <v>5207400</v>
      </c>
      <c r="CS77" s="230">
        <v>5096300</v>
      </c>
      <c r="CT77" s="230">
        <v>111100</v>
      </c>
      <c r="CU77" s="229">
        <v>2.18E-2</v>
      </c>
      <c r="CV77" s="230">
        <v>45882100</v>
      </c>
      <c r="CW77" s="230">
        <v>43913100</v>
      </c>
      <c r="CX77" s="230">
        <v>1969000</v>
      </c>
      <c r="CY77" s="229">
        <v>4.48E-2</v>
      </c>
      <c r="CZ77" s="228">
        <v>25.14</v>
      </c>
      <c r="DA77" s="228">
        <v>24.52</v>
      </c>
      <c r="DB77" s="228">
        <v>0.62</v>
      </c>
      <c r="DC77" s="228">
        <v>0.62</v>
      </c>
      <c r="DD77" s="228">
        <v>25.97</v>
      </c>
      <c r="DE77" s="228">
        <v>26</v>
      </c>
      <c r="DF77" s="228">
        <v>-0.83</v>
      </c>
      <c r="DG77" s="228">
        <v>-0.03</v>
      </c>
      <c r="DH77" s="228">
        <v>25.39</v>
      </c>
      <c r="DI77" s="228">
        <v>24.62</v>
      </c>
      <c r="DJ77" s="228">
        <v>0.77</v>
      </c>
      <c r="DK77" s="228">
        <v>0.77</v>
      </c>
      <c r="DL77" s="228">
        <v>24.59</v>
      </c>
      <c r="DM77" s="228">
        <v>24.33</v>
      </c>
      <c r="DN77" s="228">
        <v>0.26</v>
      </c>
      <c r="DO77" s="228">
        <v>0.26</v>
      </c>
      <c r="DP77" s="228">
        <v>0.55000000000000004</v>
      </c>
      <c r="DQ77" s="228">
        <v>0.61</v>
      </c>
      <c r="DR77" s="228">
        <v>-0.06</v>
      </c>
      <c r="DS77" s="229">
        <v>-9.8400000000000001E-2</v>
      </c>
      <c r="DT77" s="228">
        <v>800</v>
      </c>
      <c r="DU77" s="228">
        <v>760</v>
      </c>
      <c r="DV77" s="228">
        <v>0.47</v>
      </c>
      <c r="DW77" s="228">
        <v>0.52</v>
      </c>
      <c r="DX77" s="228">
        <v>-0.05</v>
      </c>
      <c r="DY77" s="229">
        <v>-9.6199999999999994E-2</v>
      </c>
      <c r="DZ77" s="229">
        <v>1.4800000000000001E-2</v>
      </c>
      <c r="EA77" s="230">
        <v>366300</v>
      </c>
      <c r="EB77" s="229">
        <v>5.4000000000000003E-3</v>
      </c>
      <c r="EC77" s="229">
        <v>1.4800000000000001E-2</v>
      </c>
      <c r="ED77" s="228">
        <v>4.96</v>
      </c>
      <c r="EE77" s="229">
        <v>6.6E-3</v>
      </c>
      <c r="EF77" s="230">
        <v>1822459</v>
      </c>
      <c r="EG77" s="230">
        <v>3226706</v>
      </c>
      <c r="EH77" s="229">
        <v>-0.43519999999999998</v>
      </c>
      <c r="EI77" s="229">
        <v>0.64859999999999995</v>
      </c>
      <c r="EJ77" s="231">
        <v>59508.86</v>
      </c>
      <c r="EK77" s="231">
        <v>26867.16</v>
      </c>
      <c r="EL77" s="231">
        <v>28357.9</v>
      </c>
      <c r="EM77" s="231">
        <v>3207</v>
      </c>
      <c r="EN77" s="231">
        <v>114733.92</v>
      </c>
      <c r="EO77" s="231">
        <v>159235.44</v>
      </c>
      <c r="EP77" s="231">
        <v>-44501.52</v>
      </c>
      <c r="EQ77" s="229">
        <v>-0.27950000000000003</v>
      </c>
      <c r="ER77" s="231">
        <v>75709</v>
      </c>
      <c r="ES77" s="231">
        <v>38204</v>
      </c>
      <c r="ET77" s="231">
        <v>234021</v>
      </c>
      <c r="EU77" s="231">
        <v>119296253</v>
      </c>
      <c r="EV77" s="231">
        <v>347933</v>
      </c>
      <c r="EW77" s="231">
        <v>335397</v>
      </c>
      <c r="EX77" s="231">
        <v>12536</v>
      </c>
      <c r="EY77" s="229">
        <v>3.7400000000000003E-2</v>
      </c>
      <c r="EZ77" s="229">
        <v>0.3846</v>
      </c>
      <c r="FA77" s="227" t="s">
        <v>567</v>
      </c>
      <c r="FB77" s="161">
        <f t="shared" si="1"/>
        <v>463100</v>
      </c>
    </row>
    <row r="78" spans="1:158" ht="17.25" hidden="1" thickBot="1" x14ac:dyDescent="0.3">
      <c r="A78" s="226">
        <v>45940</v>
      </c>
      <c r="B78" s="227" t="s">
        <v>162</v>
      </c>
      <c r="C78" s="227" t="s">
        <v>226</v>
      </c>
      <c r="D78" s="228">
        <v>150</v>
      </c>
      <c r="E78" s="231">
        <v>5529</v>
      </c>
      <c r="F78" s="231">
        <v>5543.5</v>
      </c>
      <c r="G78" s="228">
        <v>-14.5</v>
      </c>
      <c r="H78" s="229">
        <v>-2.5999999999999999E-3</v>
      </c>
      <c r="I78" s="231">
        <v>5500</v>
      </c>
      <c r="J78" s="231">
        <v>5512</v>
      </c>
      <c r="K78" s="228">
        <v>-12</v>
      </c>
      <c r="L78" s="229">
        <v>-2.2000000000000001E-3</v>
      </c>
      <c r="M78" s="231">
        <v>5529</v>
      </c>
      <c r="N78" s="231">
        <v>5543.5</v>
      </c>
      <c r="O78" s="228">
        <v>-14.5</v>
      </c>
      <c r="P78" s="229">
        <v>-2.5999999999999999E-3</v>
      </c>
      <c r="Q78" s="231">
        <v>5550</v>
      </c>
      <c r="R78" s="231">
        <v>5561</v>
      </c>
      <c r="S78" s="228">
        <v>-11</v>
      </c>
      <c r="T78" s="229">
        <v>-2E-3</v>
      </c>
      <c r="U78" s="231">
        <v>5558</v>
      </c>
      <c r="V78" s="231">
        <v>5571</v>
      </c>
      <c r="W78" s="228">
        <v>-13</v>
      </c>
      <c r="X78" s="229">
        <v>-2.3E-3</v>
      </c>
      <c r="Y78" s="228">
        <v>29</v>
      </c>
      <c r="Z78" s="228">
        <v>31.5</v>
      </c>
      <c r="AA78" s="228">
        <v>-2.5</v>
      </c>
      <c r="AB78" s="229">
        <v>5.3E-3</v>
      </c>
      <c r="AC78" s="228">
        <v>29</v>
      </c>
      <c r="AD78" s="228">
        <v>31.5</v>
      </c>
      <c r="AE78" s="228">
        <v>-2.5</v>
      </c>
      <c r="AF78" s="229">
        <v>5.3E-3</v>
      </c>
      <c r="AG78" s="228">
        <v>50</v>
      </c>
      <c r="AH78" s="228">
        <v>49</v>
      </c>
      <c r="AI78" s="228">
        <v>1</v>
      </c>
      <c r="AJ78" s="229">
        <v>9.1000000000000004E-3</v>
      </c>
      <c r="AK78" s="228">
        <v>58</v>
      </c>
      <c r="AL78" s="228">
        <v>59</v>
      </c>
      <c r="AM78" s="228">
        <v>-1</v>
      </c>
      <c r="AN78" s="229">
        <v>1.0500000000000001E-2</v>
      </c>
      <c r="AO78" s="231">
        <v>5543.5</v>
      </c>
      <c r="AP78" s="231">
        <v>5562.74</v>
      </c>
      <c r="AQ78" s="228">
        <v>0</v>
      </c>
      <c r="AR78" s="230">
        <v>1212600</v>
      </c>
      <c r="AS78" s="230">
        <v>1000800</v>
      </c>
      <c r="AT78" s="230">
        <v>211800</v>
      </c>
      <c r="AU78" s="229">
        <v>0.21160000000000001</v>
      </c>
      <c r="AV78" s="230">
        <v>1176000</v>
      </c>
      <c r="AW78" s="230">
        <v>979350</v>
      </c>
      <c r="AX78" s="230">
        <v>196650</v>
      </c>
      <c r="AY78" s="229">
        <v>0.20080000000000001</v>
      </c>
      <c r="AZ78" s="230">
        <v>35400</v>
      </c>
      <c r="BA78" s="230">
        <v>19350</v>
      </c>
      <c r="BB78" s="230">
        <v>16050</v>
      </c>
      <c r="BC78" s="229">
        <v>0.82950000000000002</v>
      </c>
      <c r="BD78" s="230">
        <v>1200</v>
      </c>
      <c r="BE78" s="230">
        <v>2100</v>
      </c>
      <c r="BF78" s="228">
        <v>-900</v>
      </c>
      <c r="BG78" s="229">
        <v>-0.42859999999999998</v>
      </c>
      <c r="BH78" s="230">
        <v>5203800</v>
      </c>
      <c r="BI78" s="230">
        <v>3058500</v>
      </c>
      <c r="BJ78" s="230">
        <v>2145300</v>
      </c>
      <c r="BK78" s="229">
        <v>0.70140000000000002</v>
      </c>
      <c r="BL78" s="230">
        <v>1627200</v>
      </c>
      <c r="BM78" s="230">
        <v>1513500</v>
      </c>
      <c r="BN78" s="230">
        <v>113700</v>
      </c>
      <c r="BO78" s="229">
        <v>7.51E-2</v>
      </c>
      <c r="BP78" s="230">
        <v>8043600</v>
      </c>
      <c r="BQ78" s="230">
        <v>5572800</v>
      </c>
      <c r="BR78" s="230">
        <v>2470800</v>
      </c>
      <c r="BS78" s="229">
        <v>0.44340000000000002</v>
      </c>
      <c r="BT78" s="230">
        <v>846840</v>
      </c>
      <c r="BU78" s="230">
        <v>900196</v>
      </c>
      <c r="BV78" s="230">
        <v>-53356</v>
      </c>
      <c r="BW78" s="229">
        <v>-5.9299999999999999E-2</v>
      </c>
      <c r="BX78" s="230">
        <v>4636950</v>
      </c>
      <c r="BY78" s="230">
        <v>4599750</v>
      </c>
      <c r="BZ78" s="230">
        <v>37200</v>
      </c>
      <c r="CA78" s="229">
        <v>8.0999999999999996E-3</v>
      </c>
      <c r="CB78" s="230">
        <v>4333500</v>
      </c>
      <c r="CC78" s="230">
        <v>4304550</v>
      </c>
      <c r="CD78" s="230">
        <v>28950</v>
      </c>
      <c r="CE78" s="229">
        <v>6.7000000000000002E-3</v>
      </c>
      <c r="CF78" s="230">
        <v>283350</v>
      </c>
      <c r="CG78" s="230">
        <v>276000</v>
      </c>
      <c r="CH78" s="230">
        <v>7350</v>
      </c>
      <c r="CI78" s="229">
        <v>2.6599999999999999E-2</v>
      </c>
      <c r="CJ78" s="230">
        <v>20100</v>
      </c>
      <c r="CK78" s="230">
        <v>19200</v>
      </c>
      <c r="CL78" s="228">
        <v>900</v>
      </c>
      <c r="CM78" s="229">
        <v>4.6899999999999997E-2</v>
      </c>
      <c r="CN78" s="230">
        <v>2717400</v>
      </c>
      <c r="CO78" s="230">
        <v>2335050</v>
      </c>
      <c r="CP78" s="230">
        <v>382350</v>
      </c>
      <c r="CQ78" s="229">
        <v>0.16370000000000001</v>
      </c>
      <c r="CR78" s="230">
        <v>1686300</v>
      </c>
      <c r="CS78" s="230">
        <v>1624050</v>
      </c>
      <c r="CT78" s="230">
        <v>62250</v>
      </c>
      <c r="CU78" s="229">
        <v>3.8300000000000001E-2</v>
      </c>
      <c r="CV78" s="230">
        <v>9040650</v>
      </c>
      <c r="CW78" s="230">
        <v>8558850</v>
      </c>
      <c r="CX78" s="230">
        <v>481800</v>
      </c>
      <c r="CY78" s="229">
        <v>5.6300000000000003E-2</v>
      </c>
      <c r="CZ78" s="228">
        <v>25.36</v>
      </c>
      <c r="DA78" s="228">
        <v>25.4</v>
      </c>
      <c r="DB78" s="228">
        <v>-0.04</v>
      </c>
      <c r="DC78" s="228">
        <v>-0.04</v>
      </c>
      <c r="DD78" s="228">
        <v>30.96</v>
      </c>
      <c r="DE78" s="228">
        <v>31.04</v>
      </c>
      <c r="DF78" s="228">
        <v>-5.6</v>
      </c>
      <c r="DG78" s="228">
        <v>-0.08</v>
      </c>
      <c r="DH78" s="228">
        <v>25.36</v>
      </c>
      <c r="DI78" s="228">
        <v>25.37</v>
      </c>
      <c r="DJ78" s="228">
        <v>-0.01</v>
      </c>
      <c r="DK78" s="228">
        <v>-0.01</v>
      </c>
      <c r="DL78" s="228">
        <v>25.38</v>
      </c>
      <c r="DM78" s="228">
        <v>25.46</v>
      </c>
      <c r="DN78" s="228">
        <v>-0.08</v>
      </c>
      <c r="DO78" s="228">
        <v>-0.08</v>
      </c>
      <c r="DP78" s="228">
        <v>0.62</v>
      </c>
      <c r="DQ78" s="228">
        <v>0.7</v>
      </c>
      <c r="DR78" s="228">
        <v>-0.08</v>
      </c>
      <c r="DS78" s="229">
        <v>-0.1143</v>
      </c>
      <c r="DT78" s="231">
        <v>5600</v>
      </c>
      <c r="DU78" s="231">
        <v>5400</v>
      </c>
      <c r="DV78" s="228">
        <v>0.31</v>
      </c>
      <c r="DW78" s="228">
        <v>0.49</v>
      </c>
      <c r="DX78" s="228">
        <v>-0.18</v>
      </c>
      <c r="DY78" s="229">
        <v>-0.36730000000000002</v>
      </c>
      <c r="DZ78" s="229">
        <v>6.54E-2</v>
      </c>
      <c r="EA78" s="230">
        <v>295200</v>
      </c>
      <c r="EB78" s="229">
        <v>3.8E-3</v>
      </c>
      <c r="EC78" s="229">
        <v>6.54E-2</v>
      </c>
      <c r="ED78" s="228">
        <v>19.239999999999998</v>
      </c>
      <c r="EE78" s="229">
        <v>3.5000000000000001E-3</v>
      </c>
      <c r="EF78" s="230">
        <v>581784</v>
      </c>
      <c r="EG78" s="230">
        <v>615964</v>
      </c>
      <c r="EH78" s="229">
        <v>-5.5500000000000001E-2</v>
      </c>
      <c r="EI78" s="229">
        <v>0.68700000000000006</v>
      </c>
      <c r="EJ78" s="231">
        <v>300733.65999999997</v>
      </c>
      <c r="EK78" s="231">
        <v>89244.92</v>
      </c>
      <c r="EL78" s="231">
        <v>67227.75</v>
      </c>
      <c r="EM78" s="231">
        <v>8858</v>
      </c>
      <c r="EN78" s="231">
        <v>457206.33</v>
      </c>
      <c r="EO78" s="231">
        <v>316321.46999999997</v>
      </c>
      <c r="EP78" s="231">
        <v>140884.85999999999</v>
      </c>
      <c r="EQ78" s="229">
        <v>0.44540000000000002</v>
      </c>
      <c r="ER78" s="231">
        <v>156217</v>
      </c>
      <c r="ES78" s="231">
        <v>88902</v>
      </c>
      <c r="ET78" s="231">
        <v>256442</v>
      </c>
      <c r="EU78" s="231">
        <v>19579129</v>
      </c>
      <c r="EV78" s="231">
        <v>501561</v>
      </c>
      <c r="EW78" s="231">
        <v>475271</v>
      </c>
      <c r="EX78" s="231">
        <v>26290</v>
      </c>
      <c r="EY78" s="229">
        <v>5.5300000000000002E-2</v>
      </c>
      <c r="EZ78" s="229">
        <v>0.4617</v>
      </c>
      <c r="FA78" s="227" t="s">
        <v>567</v>
      </c>
      <c r="FB78" s="161">
        <f t="shared" si="1"/>
        <v>303450</v>
      </c>
    </row>
    <row r="79" spans="1:158" ht="17.25" hidden="1" thickBot="1" x14ac:dyDescent="0.3">
      <c r="A79" s="226">
        <v>45940</v>
      </c>
      <c r="B79" s="227" t="s">
        <v>221</v>
      </c>
      <c r="C79" s="227" t="s">
        <v>577</v>
      </c>
      <c r="D79" s="228">
        <v>6450</v>
      </c>
      <c r="E79" s="228">
        <v>76.44</v>
      </c>
      <c r="F79" s="228">
        <v>74.42</v>
      </c>
      <c r="G79" s="228">
        <v>2.02</v>
      </c>
      <c r="H79" s="229">
        <v>2.7099999999999999E-2</v>
      </c>
      <c r="I79" s="228">
        <v>76.040000000000006</v>
      </c>
      <c r="J79" s="228">
        <v>73.98</v>
      </c>
      <c r="K79" s="228">
        <v>2.06</v>
      </c>
      <c r="L79" s="229">
        <v>2.7799999999999998E-2</v>
      </c>
      <c r="M79" s="228">
        <v>76.44</v>
      </c>
      <c r="N79" s="228">
        <v>74.42</v>
      </c>
      <c r="O79" s="228">
        <v>2.02</v>
      </c>
      <c r="P79" s="229">
        <v>2.7099999999999999E-2</v>
      </c>
      <c r="Q79" s="228">
        <v>76.86</v>
      </c>
      <c r="R79" s="228">
        <v>74.84</v>
      </c>
      <c r="S79" s="228">
        <v>2.02</v>
      </c>
      <c r="T79" s="229">
        <v>2.7E-2</v>
      </c>
      <c r="U79" s="228">
        <v>77.5</v>
      </c>
      <c r="V79" s="228">
        <v>75.28</v>
      </c>
      <c r="W79" s="228">
        <v>2.2200000000000002</v>
      </c>
      <c r="X79" s="229">
        <v>2.9499999999999998E-2</v>
      </c>
      <c r="Y79" s="228">
        <v>0.4</v>
      </c>
      <c r="Z79" s="228">
        <v>0.44</v>
      </c>
      <c r="AA79" s="228">
        <v>-0.04</v>
      </c>
      <c r="AB79" s="229">
        <v>5.3E-3</v>
      </c>
      <c r="AC79" s="228">
        <v>0.4</v>
      </c>
      <c r="AD79" s="228">
        <v>0.44</v>
      </c>
      <c r="AE79" s="228">
        <v>-0.04</v>
      </c>
      <c r="AF79" s="229">
        <v>5.3E-3</v>
      </c>
      <c r="AG79" s="228">
        <v>0.82</v>
      </c>
      <c r="AH79" s="228">
        <v>0.86</v>
      </c>
      <c r="AI79" s="228">
        <v>-0.04</v>
      </c>
      <c r="AJ79" s="229">
        <v>1.0800000000000001E-2</v>
      </c>
      <c r="AK79" s="228">
        <v>1.46</v>
      </c>
      <c r="AL79" s="228">
        <v>1.3</v>
      </c>
      <c r="AM79" s="228">
        <v>0.16</v>
      </c>
      <c r="AN79" s="229">
        <v>1.9199999999999998E-2</v>
      </c>
      <c r="AO79" s="228">
        <v>76.87</v>
      </c>
      <c r="AP79" s="228">
        <v>77.209999999999994</v>
      </c>
      <c r="AQ79" s="228">
        <v>0</v>
      </c>
      <c r="AR79" s="230">
        <v>31863000</v>
      </c>
      <c r="AS79" s="230">
        <v>18550200</v>
      </c>
      <c r="AT79" s="230">
        <v>13312800</v>
      </c>
      <c r="AU79" s="229">
        <v>0.7177</v>
      </c>
      <c r="AV79" s="230">
        <v>28644450</v>
      </c>
      <c r="AW79" s="230">
        <v>17537550</v>
      </c>
      <c r="AX79" s="230">
        <v>11106900</v>
      </c>
      <c r="AY79" s="229">
        <v>0.63329999999999997</v>
      </c>
      <c r="AZ79" s="230">
        <v>3044400</v>
      </c>
      <c r="BA79" s="230">
        <v>935250</v>
      </c>
      <c r="BB79" s="230">
        <v>2109150</v>
      </c>
      <c r="BC79" s="229">
        <v>2.2551999999999999</v>
      </c>
      <c r="BD79" s="230">
        <v>174150</v>
      </c>
      <c r="BE79" s="230">
        <v>77400</v>
      </c>
      <c r="BF79" s="230">
        <v>96750</v>
      </c>
      <c r="BG79" s="229">
        <v>1.25</v>
      </c>
      <c r="BH79" s="230">
        <v>66041550</v>
      </c>
      <c r="BI79" s="230">
        <v>35268600</v>
      </c>
      <c r="BJ79" s="230">
        <v>30772950</v>
      </c>
      <c r="BK79" s="229">
        <v>0.87250000000000005</v>
      </c>
      <c r="BL79" s="230">
        <v>20504550</v>
      </c>
      <c r="BM79" s="230">
        <v>13661100</v>
      </c>
      <c r="BN79" s="230">
        <v>6843450</v>
      </c>
      <c r="BO79" s="229">
        <v>0.50090000000000001</v>
      </c>
      <c r="BP79" s="230">
        <v>118409100</v>
      </c>
      <c r="BQ79" s="230">
        <v>67479900</v>
      </c>
      <c r="BR79" s="230">
        <v>50929200</v>
      </c>
      <c r="BS79" s="229">
        <v>0.75470000000000004</v>
      </c>
      <c r="BT79" s="230">
        <v>24118898</v>
      </c>
      <c r="BU79" s="230">
        <v>16567349</v>
      </c>
      <c r="BV79" s="230">
        <v>7551549</v>
      </c>
      <c r="BW79" s="229">
        <v>0.45579999999999998</v>
      </c>
      <c r="BX79" s="230">
        <v>120615000</v>
      </c>
      <c r="BY79" s="230">
        <v>120124800</v>
      </c>
      <c r="BZ79" s="230">
        <v>490200</v>
      </c>
      <c r="CA79" s="229">
        <v>4.1000000000000003E-3</v>
      </c>
      <c r="CB79" s="230">
        <v>111965550</v>
      </c>
      <c r="CC79" s="230">
        <v>111675300</v>
      </c>
      <c r="CD79" s="230">
        <v>290250</v>
      </c>
      <c r="CE79" s="229">
        <v>2.5999999999999999E-3</v>
      </c>
      <c r="CF79" s="230">
        <v>8372100</v>
      </c>
      <c r="CG79" s="230">
        <v>8210850</v>
      </c>
      <c r="CH79" s="230">
        <v>161250</v>
      </c>
      <c r="CI79" s="229">
        <v>1.9599999999999999E-2</v>
      </c>
      <c r="CJ79" s="230">
        <v>277350</v>
      </c>
      <c r="CK79" s="230">
        <v>238650</v>
      </c>
      <c r="CL79" s="230">
        <v>38700</v>
      </c>
      <c r="CM79" s="229">
        <v>0.16220000000000001</v>
      </c>
      <c r="CN79" s="230">
        <v>38783850</v>
      </c>
      <c r="CO79" s="230">
        <v>37874400</v>
      </c>
      <c r="CP79" s="230">
        <v>909450</v>
      </c>
      <c r="CQ79" s="229">
        <v>2.4E-2</v>
      </c>
      <c r="CR79" s="230">
        <v>22123500</v>
      </c>
      <c r="CS79" s="230">
        <v>20330400</v>
      </c>
      <c r="CT79" s="230">
        <v>1793100</v>
      </c>
      <c r="CU79" s="229">
        <v>8.8200000000000001E-2</v>
      </c>
      <c r="CV79" s="230">
        <v>181522350</v>
      </c>
      <c r="CW79" s="230">
        <v>178329600</v>
      </c>
      <c r="CX79" s="230">
        <v>3192750</v>
      </c>
      <c r="CY79" s="229">
        <v>1.7899999999999999E-2</v>
      </c>
      <c r="CZ79" s="228">
        <v>41.73</v>
      </c>
      <c r="DA79" s="228">
        <v>40.700000000000003</v>
      </c>
      <c r="DB79" s="228">
        <v>1.03</v>
      </c>
      <c r="DC79" s="228">
        <v>1.03</v>
      </c>
      <c r="DD79" s="228">
        <v>55</v>
      </c>
      <c r="DE79" s="228">
        <v>55.02</v>
      </c>
      <c r="DF79" s="228">
        <v>-13.27</v>
      </c>
      <c r="DG79" s="228">
        <v>-0.02</v>
      </c>
      <c r="DH79" s="228">
        <v>41.9</v>
      </c>
      <c r="DI79" s="228">
        <v>41.03</v>
      </c>
      <c r="DJ79" s="228">
        <v>0.87</v>
      </c>
      <c r="DK79" s="228">
        <v>0.87</v>
      </c>
      <c r="DL79" s="228">
        <v>41.19</v>
      </c>
      <c r="DM79" s="228">
        <v>39.869999999999997</v>
      </c>
      <c r="DN79" s="228">
        <v>1.32</v>
      </c>
      <c r="DO79" s="228">
        <v>1.32</v>
      </c>
      <c r="DP79" s="228">
        <v>0.56999999999999995</v>
      </c>
      <c r="DQ79" s="228">
        <v>0.54</v>
      </c>
      <c r="DR79" s="228">
        <v>0.03</v>
      </c>
      <c r="DS79" s="229">
        <v>5.5599999999999997E-2</v>
      </c>
      <c r="DT79" s="228">
        <v>80</v>
      </c>
      <c r="DU79" s="228">
        <v>75</v>
      </c>
      <c r="DV79" s="228">
        <v>0.31</v>
      </c>
      <c r="DW79" s="228">
        <v>0.39</v>
      </c>
      <c r="DX79" s="228">
        <v>-0.08</v>
      </c>
      <c r="DY79" s="229">
        <v>-0.2051</v>
      </c>
      <c r="DZ79" s="229">
        <v>7.17E-2</v>
      </c>
      <c r="EA79" s="230">
        <v>8449500</v>
      </c>
      <c r="EB79" s="229">
        <v>5.4999999999999997E-3</v>
      </c>
      <c r="EC79" s="229">
        <v>7.17E-2</v>
      </c>
      <c r="ED79" s="228">
        <v>0.34</v>
      </c>
      <c r="EE79" s="229">
        <v>4.4000000000000003E-3</v>
      </c>
      <c r="EF79" s="230">
        <v>6864233</v>
      </c>
      <c r="EG79" s="230">
        <v>2796285</v>
      </c>
      <c r="EH79" s="229">
        <v>1.4548000000000001</v>
      </c>
      <c r="EI79" s="229">
        <v>0.28460000000000002</v>
      </c>
      <c r="EJ79" s="231">
        <v>53282.42</v>
      </c>
      <c r="EK79" s="231">
        <v>15751.11</v>
      </c>
      <c r="EL79" s="231">
        <v>24505.21</v>
      </c>
      <c r="EM79" s="231">
        <v>3281</v>
      </c>
      <c r="EN79" s="231">
        <v>93538.74</v>
      </c>
      <c r="EO79" s="231">
        <v>51928.2</v>
      </c>
      <c r="EP79" s="231">
        <v>41610.54</v>
      </c>
      <c r="EQ79" s="229">
        <v>0.80130000000000001</v>
      </c>
      <c r="ER79" s="231">
        <v>30543</v>
      </c>
      <c r="ES79" s="231">
        <v>16420</v>
      </c>
      <c r="ET79" s="231">
        <v>92236</v>
      </c>
      <c r="EU79" s="231">
        <v>147979599</v>
      </c>
      <c r="EV79" s="231">
        <v>139200</v>
      </c>
      <c r="EW79" s="231">
        <v>134128</v>
      </c>
      <c r="EX79" s="231">
        <v>5072</v>
      </c>
      <c r="EY79" s="229">
        <v>3.78E-2</v>
      </c>
      <c r="EZ79" s="229">
        <v>1.2266999999999999</v>
      </c>
      <c r="FA79" s="227" t="s">
        <v>555</v>
      </c>
      <c r="FB79" s="161">
        <f t="shared" si="1"/>
        <v>8649450</v>
      </c>
    </row>
    <row r="80" spans="1:158" ht="17.25" hidden="1" thickBot="1" x14ac:dyDescent="0.3">
      <c r="A80" s="226">
        <v>45940</v>
      </c>
      <c r="B80" s="227" t="s">
        <v>227</v>
      </c>
      <c r="C80" s="227" t="s">
        <v>228</v>
      </c>
      <c r="D80" s="228">
        <v>1400</v>
      </c>
      <c r="E80" s="228">
        <v>777.1</v>
      </c>
      <c r="F80" s="228">
        <v>778.25</v>
      </c>
      <c r="G80" s="228">
        <v>-1.1499999999999999</v>
      </c>
      <c r="H80" s="229">
        <v>-1.5E-3</v>
      </c>
      <c r="I80" s="228">
        <v>773.95</v>
      </c>
      <c r="J80" s="228">
        <v>774.1</v>
      </c>
      <c r="K80" s="228">
        <v>-0.15</v>
      </c>
      <c r="L80" s="229">
        <v>-2.0000000000000001E-4</v>
      </c>
      <c r="M80" s="228">
        <v>777.1</v>
      </c>
      <c r="N80" s="228">
        <v>778.25</v>
      </c>
      <c r="O80" s="228">
        <v>-1.1499999999999999</v>
      </c>
      <c r="P80" s="229">
        <v>-1.5E-3</v>
      </c>
      <c r="Q80" s="228">
        <v>781.65</v>
      </c>
      <c r="R80" s="228">
        <v>782.6</v>
      </c>
      <c r="S80" s="228">
        <v>-0.95</v>
      </c>
      <c r="T80" s="229">
        <v>-1.1999999999999999E-3</v>
      </c>
      <c r="U80" s="228">
        <v>785.55</v>
      </c>
      <c r="V80" s="228">
        <v>786.65</v>
      </c>
      <c r="W80" s="228">
        <v>-1.1000000000000001</v>
      </c>
      <c r="X80" s="229">
        <v>-1.4E-3</v>
      </c>
      <c r="Y80" s="228">
        <v>3.15</v>
      </c>
      <c r="Z80" s="228">
        <v>4.1500000000000004</v>
      </c>
      <c r="AA80" s="228">
        <v>-1</v>
      </c>
      <c r="AB80" s="229">
        <v>4.1000000000000003E-3</v>
      </c>
      <c r="AC80" s="228">
        <v>3.15</v>
      </c>
      <c r="AD80" s="228">
        <v>4.1500000000000004</v>
      </c>
      <c r="AE80" s="228">
        <v>-1</v>
      </c>
      <c r="AF80" s="229">
        <v>4.1000000000000003E-3</v>
      </c>
      <c r="AG80" s="228">
        <v>7.7</v>
      </c>
      <c r="AH80" s="228">
        <v>8.5</v>
      </c>
      <c r="AI80" s="228">
        <v>-0.8</v>
      </c>
      <c r="AJ80" s="229">
        <v>9.9000000000000008E-3</v>
      </c>
      <c r="AK80" s="228">
        <v>11.6</v>
      </c>
      <c r="AL80" s="228">
        <v>12.55</v>
      </c>
      <c r="AM80" s="228">
        <v>-0.95</v>
      </c>
      <c r="AN80" s="229">
        <v>1.4999999999999999E-2</v>
      </c>
      <c r="AO80" s="228">
        <v>772.88</v>
      </c>
      <c r="AP80" s="228">
        <v>776.68</v>
      </c>
      <c r="AQ80" s="228">
        <v>0</v>
      </c>
      <c r="AR80" s="230">
        <v>9513000</v>
      </c>
      <c r="AS80" s="230">
        <v>8822800</v>
      </c>
      <c r="AT80" s="230">
        <v>690200</v>
      </c>
      <c r="AU80" s="229">
        <v>7.8200000000000006E-2</v>
      </c>
      <c r="AV80" s="230">
        <v>8985200</v>
      </c>
      <c r="AW80" s="230">
        <v>8204000</v>
      </c>
      <c r="AX80" s="230">
        <v>781200</v>
      </c>
      <c r="AY80" s="229">
        <v>9.5200000000000007E-2</v>
      </c>
      <c r="AZ80" s="230">
        <v>457800</v>
      </c>
      <c r="BA80" s="230">
        <v>578200</v>
      </c>
      <c r="BB80" s="230">
        <v>-120400</v>
      </c>
      <c r="BC80" s="229">
        <v>-0.2082</v>
      </c>
      <c r="BD80" s="230">
        <v>70000</v>
      </c>
      <c r="BE80" s="230">
        <v>40600</v>
      </c>
      <c r="BF80" s="230">
        <v>29400</v>
      </c>
      <c r="BG80" s="229">
        <v>0.72409999999999997</v>
      </c>
      <c r="BH80" s="230">
        <v>25194400</v>
      </c>
      <c r="BI80" s="230">
        <v>27291600</v>
      </c>
      <c r="BJ80" s="230">
        <v>-2097200</v>
      </c>
      <c r="BK80" s="229">
        <v>-7.6799999999999993E-2</v>
      </c>
      <c r="BL80" s="230">
        <v>13118000</v>
      </c>
      <c r="BM80" s="230">
        <v>10780000</v>
      </c>
      <c r="BN80" s="230">
        <v>2338000</v>
      </c>
      <c r="BO80" s="229">
        <v>0.21690000000000001</v>
      </c>
      <c r="BP80" s="230">
        <v>47825400</v>
      </c>
      <c r="BQ80" s="230">
        <v>46894400</v>
      </c>
      <c r="BR80" s="230">
        <v>931000</v>
      </c>
      <c r="BS80" s="229">
        <v>1.9900000000000001E-2</v>
      </c>
      <c r="BT80" s="230">
        <v>4430794</v>
      </c>
      <c r="BU80" s="230">
        <v>7012901</v>
      </c>
      <c r="BV80" s="230">
        <v>-2582107</v>
      </c>
      <c r="BW80" s="229">
        <v>-0.36820000000000003</v>
      </c>
      <c r="BX80" s="230">
        <v>65359000</v>
      </c>
      <c r="BY80" s="230">
        <v>65699200</v>
      </c>
      <c r="BZ80" s="230">
        <v>-340200</v>
      </c>
      <c r="CA80" s="229">
        <v>-5.1999999999999998E-3</v>
      </c>
      <c r="CB80" s="230">
        <v>64220800</v>
      </c>
      <c r="CC80" s="230">
        <v>64674400</v>
      </c>
      <c r="CD80" s="230">
        <v>-453600</v>
      </c>
      <c r="CE80" s="229">
        <v>-7.0000000000000001E-3</v>
      </c>
      <c r="CF80" s="230">
        <v>1001000</v>
      </c>
      <c r="CG80" s="230">
        <v>929600</v>
      </c>
      <c r="CH80" s="230">
        <v>71400</v>
      </c>
      <c r="CI80" s="229">
        <v>7.6799999999999993E-2</v>
      </c>
      <c r="CJ80" s="230">
        <v>137200</v>
      </c>
      <c r="CK80" s="230">
        <v>95200</v>
      </c>
      <c r="CL80" s="230">
        <v>42000</v>
      </c>
      <c r="CM80" s="229">
        <v>0.44119999999999998</v>
      </c>
      <c r="CN80" s="230">
        <v>18086600</v>
      </c>
      <c r="CO80" s="230">
        <v>17547600</v>
      </c>
      <c r="CP80" s="230">
        <v>539000</v>
      </c>
      <c r="CQ80" s="229">
        <v>3.0700000000000002E-2</v>
      </c>
      <c r="CR80" s="230">
        <v>12986400</v>
      </c>
      <c r="CS80" s="230">
        <v>12682600</v>
      </c>
      <c r="CT80" s="230">
        <v>303800</v>
      </c>
      <c r="CU80" s="229">
        <v>2.4E-2</v>
      </c>
      <c r="CV80" s="230">
        <v>96432000</v>
      </c>
      <c r="CW80" s="230">
        <v>95929400</v>
      </c>
      <c r="CX80" s="230">
        <v>502600</v>
      </c>
      <c r="CY80" s="229">
        <v>5.1999999999999998E-3</v>
      </c>
      <c r="CZ80" s="228">
        <v>22.61</v>
      </c>
      <c r="DA80" s="228">
        <v>23.4</v>
      </c>
      <c r="DB80" s="228">
        <v>-0.79</v>
      </c>
      <c r="DC80" s="228">
        <v>-0.79</v>
      </c>
      <c r="DD80" s="228">
        <v>33.26</v>
      </c>
      <c r="DE80" s="228">
        <v>33.340000000000003</v>
      </c>
      <c r="DF80" s="228">
        <v>-10.65</v>
      </c>
      <c r="DG80" s="228">
        <v>-0.08</v>
      </c>
      <c r="DH80" s="228">
        <v>22.35</v>
      </c>
      <c r="DI80" s="228">
        <v>23.34</v>
      </c>
      <c r="DJ80" s="228">
        <v>-0.99</v>
      </c>
      <c r="DK80" s="228">
        <v>-0.99</v>
      </c>
      <c r="DL80" s="228">
        <v>23.1</v>
      </c>
      <c r="DM80" s="228">
        <v>23.53</v>
      </c>
      <c r="DN80" s="228">
        <v>-0.43</v>
      </c>
      <c r="DO80" s="228">
        <v>-0.43</v>
      </c>
      <c r="DP80" s="228">
        <v>0.72</v>
      </c>
      <c r="DQ80" s="228">
        <v>0.72</v>
      </c>
      <c r="DR80" s="228">
        <v>0</v>
      </c>
      <c r="DS80" s="229">
        <v>0</v>
      </c>
      <c r="DT80" s="228">
        <v>800</v>
      </c>
      <c r="DU80" s="228">
        <v>750</v>
      </c>
      <c r="DV80" s="228">
        <v>0.52</v>
      </c>
      <c r="DW80" s="228">
        <v>0.39</v>
      </c>
      <c r="DX80" s="228">
        <v>0.13</v>
      </c>
      <c r="DY80" s="229">
        <v>0.33329999999999999</v>
      </c>
      <c r="DZ80" s="229">
        <v>1.7399999999999999E-2</v>
      </c>
      <c r="EA80" s="230">
        <v>1024800</v>
      </c>
      <c r="EB80" s="229">
        <v>5.8999999999999999E-3</v>
      </c>
      <c r="EC80" s="229">
        <v>1.7399999999999999E-2</v>
      </c>
      <c r="ED80" s="228">
        <v>3.8</v>
      </c>
      <c r="EE80" s="229">
        <v>4.8999999999999998E-3</v>
      </c>
      <c r="EF80" s="230">
        <v>1983642</v>
      </c>
      <c r="EG80" s="230">
        <v>4566767</v>
      </c>
      <c r="EH80" s="229">
        <v>-0.56559999999999999</v>
      </c>
      <c r="EI80" s="229">
        <v>0.44769999999999999</v>
      </c>
      <c r="EJ80" s="231">
        <v>202160.83</v>
      </c>
      <c r="EK80" s="231">
        <v>100606.47</v>
      </c>
      <c r="EL80" s="231">
        <v>73548.149999999994</v>
      </c>
      <c r="EM80" s="231">
        <v>7354</v>
      </c>
      <c r="EN80" s="231">
        <v>376315.45</v>
      </c>
      <c r="EO80" s="231">
        <v>372802.7</v>
      </c>
      <c r="EP80" s="231">
        <v>3512.75</v>
      </c>
      <c r="EQ80" s="229">
        <v>9.4000000000000004E-3</v>
      </c>
      <c r="ER80" s="231">
        <v>144465</v>
      </c>
      <c r="ES80" s="231">
        <v>96246</v>
      </c>
      <c r="ET80" s="231">
        <v>507962</v>
      </c>
      <c r="EU80" s="231">
        <v>176136372</v>
      </c>
      <c r="EV80" s="231">
        <v>748673</v>
      </c>
      <c r="EW80" s="231">
        <v>745839</v>
      </c>
      <c r="EX80" s="231">
        <v>2834</v>
      </c>
      <c r="EY80" s="229">
        <v>3.8E-3</v>
      </c>
      <c r="EZ80" s="229">
        <v>0.54749999999999999</v>
      </c>
      <c r="FA80" s="227" t="s">
        <v>568</v>
      </c>
      <c r="FB80" s="161">
        <f t="shared" si="1"/>
        <v>1138200</v>
      </c>
    </row>
    <row r="81" spans="1:158" ht="17.25" hidden="1" thickBot="1" x14ac:dyDescent="0.3">
      <c r="A81" s="226">
        <v>45940</v>
      </c>
      <c r="B81" s="227" t="s">
        <v>193</v>
      </c>
      <c r="C81" s="227" t="s">
        <v>229</v>
      </c>
      <c r="D81" s="228">
        <v>2025</v>
      </c>
      <c r="E81" s="228">
        <v>454.9</v>
      </c>
      <c r="F81" s="228">
        <v>459.65</v>
      </c>
      <c r="G81" s="228">
        <v>-4.75</v>
      </c>
      <c r="H81" s="229">
        <v>-1.03E-2</v>
      </c>
      <c r="I81" s="228">
        <v>452.5</v>
      </c>
      <c r="J81" s="228">
        <v>458</v>
      </c>
      <c r="K81" s="228">
        <v>-5.5</v>
      </c>
      <c r="L81" s="229">
        <v>-1.2E-2</v>
      </c>
      <c r="M81" s="228">
        <v>454.9</v>
      </c>
      <c r="N81" s="228">
        <v>459.65</v>
      </c>
      <c r="O81" s="228">
        <v>-4.75</v>
      </c>
      <c r="P81" s="229">
        <v>-1.03E-2</v>
      </c>
      <c r="Q81" s="228">
        <v>457.2</v>
      </c>
      <c r="R81" s="228">
        <v>461.95</v>
      </c>
      <c r="S81" s="228">
        <v>-4.75</v>
      </c>
      <c r="T81" s="229">
        <v>-1.03E-2</v>
      </c>
      <c r="U81" s="228">
        <v>458.15</v>
      </c>
      <c r="V81" s="228">
        <v>464.25</v>
      </c>
      <c r="W81" s="228">
        <v>-6.1</v>
      </c>
      <c r="X81" s="229">
        <v>-1.3100000000000001E-2</v>
      </c>
      <c r="Y81" s="228">
        <v>2.4</v>
      </c>
      <c r="Z81" s="228">
        <v>1.65</v>
      </c>
      <c r="AA81" s="228">
        <v>0.75</v>
      </c>
      <c r="AB81" s="229">
        <v>5.3E-3</v>
      </c>
      <c r="AC81" s="228">
        <v>2.4</v>
      </c>
      <c r="AD81" s="228">
        <v>1.65</v>
      </c>
      <c r="AE81" s="228">
        <v>0.75</v>
      </c>
      <c r="AF81" s="229">
        <v>5.3E-3</v>
      </c>
      <c r="AG81" s="228">
        <v>4.7</v>
      </c>
      <c r="AH81" s="228">
        <v>3.95</v>
      </c>
      <c r="AI81" s="228">
        <v>0.75</v>
      </c>
      <c r="AJ81" s="229">
        <v>1.04E-2</v>
      </c>
      <c r="AK81" s="228">
        <v>5.65</v>
      </c>
      <c r="AL81" s="228">
        <v>6.25</v>
      </c>
      <c r="AM81" s="228">
        <v>-0.6</v>
      </c>
      <c r="AN81" s="229">
        <v>1.2500000000000001E-2</v>
      </c>
      <c r="AO81" s="228">
        <v>458.13</v>
      </c>
      <c r="AP81" s="228">
        <v>460.3</v>
      </c>
      <c r="AQ81" s="228">
        <v>0</v>
      </c>
      <c r="AR81" s="230">
        <v>5702400</v>
      </c>
      <c r="AS81" s="230">
        <v>8021025</v>
      </c>
      <c r="AT81" s="230">
        <v>-2318625</v>
      </c>
      <c r="AU81" s="229">
        <v>-0.28910000000000002</v>
      </c>
      <c r="AV81" s="230">
        <v>5429025</v>
      </c>
      <c r="AW81" s="230">
        <v>7486425</v>
      </c>
      <c r="AX81" s="230">
        <v>-2057400</v>
      </c>
      <c r="AY81" s="229">
        <v>-0.27479999999999999</v>
      </c>
      <c r="AZ81" s="230">
        <v>226800</v>
      </c>
      <c r="BA81" s="230">
        <v>415125</v>
      </c>
      <c r="BB81" s="230">
        <v>-188325</v>
      </c>
      <c r="BC81" s="229">
        <v>-0.45369999999999999</v>
      </c>
      <c r="BD81" s="230">
        <v>46575</v>
      </c>
      <c r="BE81" s="230">
        <v>119475</v>
      </c>
      <c r="BF81" s="230">
        <v>-72900</v>
      </c>
      <c r="BG81" s="229">
        <v>-0.61019999999999996</v>
      </c>
      <c r="BH81" s="230">
        <v>14189175</v>
      </c>
      <c r="BI81" s="230">
        <v>27054000</v>
      </c>
      <c r="BJ81" s="230">
        <v>-12864825</v>
      </c>
      <c r="BK81" s="229">
        <v>-0.47549999999999998</v>
      </c>
      <c r="BL81" s="230">
        <v>8221500</v>
      </c>
      <c r="BM81" s="230">
        <v>12846600</v>
      </c>
      <c r="BN81" s="230">
        <v>-4625100</v>
      </c>
      <c r="BO81" s="229">
        <v>-0.36</v>
      </c>
      <c r="BP81" s="230">
        <v>28113075</v>
      </c>
      <c r="BQ81" s="230">
        <v>47921625</v>
      </c>
      <c r="BR81" s="230">
        <v>-19808550</v>
      </c>
      <c r="BS81" s="229">
        <v>-0.41339999999999999</v>
      </c>
      <c r="BT81" s="230">
        <v>1815604</v>
      </c>
      <c r="BU81" s="230">
        <v>3706507</v>
      </c>
      <c r="BV81" s="230">
        <v>-1890903</v>
      </c>
      <c r="BW81" s="229">
        <v>-0.51019999999999999</v>
      </c>
      <c r="BX81" s="230">
        <v>50993550</v>
      </c>
      <c r="BY81" s="230">
        <v>50452875</v>
      </c>
      <c r="BZ81" s="230">
        <v>540675</v>
      </c>
      <c r="CA81" s="229">
        <v>1.0699999999999999E-2</v>
      </c>
      <c r="CB81" s="230">
        <v>50003325</v>
      </c>
      <c r="CC81" s="230">
        <v>49543650</v>
      </c>
      <c r="CD81" s="230">
        <v>459675</v>
      </c>
      <c r="CE81" s="229">
        <v>9.2999999999999992E-3</v>
      </c>
      <c r="CF81" s="230">
        <v>830250</v>
      </c>
      <c r="CG81" s="230">
        <v>759375</v>
      </c>
      <c r="CH81" s="230">
        <v>70875</v>
      </c>
      <c r="CI81" s="229">
        <v>9.3299999999999994E-2</v>
      </c>
      <c r="CJ81" s="230">
        <v>159975</v>
      </c>
      <c r="CK81" s="230">
        <v>149850</v>
      </c>
      <c r="CL81" s="230">
        <v>10125</v>
      </c>
      <c r="CM81" s="229">
        <v>6.7599999999999993E-2</v>
      </c>
      <c r="CN81" s="230">
        <v>24808275</v>
      </c>
      <c r="CO81" s="230">
        <v>22742775</v>
      </c>
      <c r="CP81" s="230">
        <v>2065500</v>
      </c>
      <c r="CQ81" s="229">
        <v>9.0800000000000006E-2</v>
      </c>
      <c r="CR81" s="230">
        <v>11467575</v>
      </c>
      <c r="CS81" s="230">
        <v>11113200</v>
      </c>
      <c r="CT81" s="230">
        <v>354375</v>
      </c>
      <c r="CU81" s="229">
        <v>3.1899999999999998E-2</v>
      </c>
      <c r="CV81" s="230">
        <v>87269400</v>
      </c>
      <c r="CW81" s="230">
        <v>84308850</v>
      </c>
      <c r="CX81" s="230">
        <v>2960550</v>
      </c>
      <c r="CY81" s="229">
        <v>3.5099999999999999E-2</v>
      </c>
      <c r="CZ81" s="228">
        <v>31.88</v>
      </c>
      <c r="DA81" s="228">
        <v>32.01</v>
      </c>
      <c r="DB81" s="228">
        <v>-0.13</v>
      </c>
      <c r="DC81" s="228">
        <v>-0.13</v>
      </c>
      <c r="DD81" s="228">
        <v>40.96</v>
      </c>
      <c r="DE81" s="228">
        <v>41.04</v>
      </c>
      <c r="DF81" s="228">
        <v>-9.08</v>
      </c>
      <c r="DG81" s="228">
        <v>-0.08</v>
      </c>
      <c r="DH81" s="228">
        <v>32.770000000000003</v>
      </c>
      <c r="DI81" s="228">
        <v>32.25</v>
      </c>
      <c r="DJ81" s="228">
        <v>0.52</v>
      </c>
      <c r="DK81" s="228">
        <v>0.52</v>
      </c>
      <c r="DL81" s="228">
        <v>30.33</v>
      </c>
      <c r="DM81" s="228">
        <v>31.51</v>
      </c>
      <c r="DN81" s="228">
        <v>-1.18</v>
      </c>
      <c r="DO81" s="228">
        <v>-1.18</v>
      </c>
      <c r="DP81" s="228">
        <v>0.46</v>
      </c>
      <c r="DQ81" s="228">
        <v>0.49</v>
      </c>
      <c r="DR81" s="228">
        <v>-0.03</v>
      </c>
      <c r="DS81" s="229">
        <v>-6.1199999999999997E-2</v>
      </c>
      <c r="DT81" s="228">
        <v>500</v>
      </c>
      <c r="DU81" s="228">
        <v>440</v>
      </c>
      <c r="DV81" s="228">
        <v>0.57999999999999996</v>
      </c>
      <c r="DW81" s="228">
        <v>0.47</v>
      </c>
      <c r="DX81" s="228">
        <v>0.11</v>
      </c>
      <c r="DY81" s="229">
        <v>0.23400000000000001</v>
      </c>
      <c r="DZ81" s="229">
        <v>1.9400000000000001E-2</v>
      </c>
      <c r="EA81" s="230">
        <v>909225</v>
      </c>
      <c r="EB81" s="229">
        <v>5.1000000000000004E-3</v>
      </c>
      <c r="EC81" s="229">
        <v>1.9400000000000001E-2</v>
      </c>
      <c r="ED81" s="228">
        <v>2.17</v>
      </c>
      <c r="EE81" s="229">
        <v>4.7000000000000002E-3</v>
      </c>
      <c r="EF81" s="230">
        <v>905672</v>
      </c>
      <c r="EG81" s="230">
        <v>1757302</v>
      </c>
      <c r="EH81" s="229">
        <v>-0.48459999999999998</v>
      </c>
      <c r="EI81" s="229">
        <v>0.49880000000000002</v>
      </c>
      <c r="EJ81" s="231">
        <v>69121.210000000006</v>
      </c>
      <c r="EK81" s="231">
        <v>37234.620000000003</v>
      </c>
      <c r="EL81" s="231">
        <v>26131.89</v>
      </c>
      <c r="EM81" s="231">
        <v>6325</v>
      </c>
      <c r="EN81" s="231">
        <v>132487.72</v>
      </c>
      <c r="EO81" s="231">
        <v>226833.05</v>
      </c>
      <c r="EP81" s="231">
        <v>-94345.33</v>
      </c>
      <c r="EQ81" s="229">
        <v>-0.41589999999999999</v>
      </c>
      <c r="ER81" s="231">
        <v>118224</v>
      </c>
      <c r="ES81" s="231">
        <v>49331</v>
      </c>
      <c r="ET81" s="231">
        <v>231994</v>
      </c>
      <c r="EU81" s="231">
        <v>143933168</v>
      </c>
      <c r="EV81" s="231">
        <v>399548</v>
      </c>
      <c r="EW81" s="231">
        <v>387845</v>
      </c>
      <c r="EX81" s="231">
        <v>11703</v>
      </c>
      <c r="EY81" s="229">
        <v>3.0200000000000001E-2</v>
      </c>
      <c r="EZ81" s="229">
        <v>0.60629999999999995</v>
      </c>
      <c r="FA81" s="227" t="s">
        <v>567</v>
      </c>
      <c r="FB81" s="161">
        <f t="shared" si="1"/>
        <v>990225</v>
      </c>
    </row>
    <row r="82" spans="1:158" ht="17.25" hidden="1" thickBot="1" x14ac:dyDescent="0.3">
      <c r="A82" s="226">
        <v>45940</v>
      </c>
      <c r="B82" s="227" t="s">
        <v>168</v>
      </c>
      <c r="C82" s="227" t="s">
        <v>230</v>
      </c>
      <c r="D82" s="228">
        <v>300</v>
      </c>
      <c r="E82" s="231">
        <v>2534.6999999999998</v>
      </c>
      <c r="F82" s="231">
        <v>2524.3000000000002</v>
      </c>
      <c r="G82" s="228">
        <v>10.4</v>
      </c>
      <c r="H82" s="229">
        <v>4.1000000000000003E-3</v>
      </c>
      <c r="I82" s="231">
        <v>2528.9</v>
      </c>
      <c r="J82" s="231">
        <v>2517.6</v>
      </c>
      <c r="K82" s="228">
        <v>11.3</v>
      </c>
      <c r="L82" s="229">
        <v>4.4999999999999997E-3</v>
      </c>
      <c r="M82" s="231">
        <v>2534.6999999999998</v>
      </c>
      <c r="N82" s="231">
        <v>2524.3000000000002</v>
      </c>
      <c r="O82" s="228">
        <v>10.4</v>
      </c>
      <c r="P82" s="229">
        <v>4.1000000000000003E-3</v>
      </c>
      <c r="Q82" s="231">
        <v>2529.6</v>
      </c>
      <c r="R82" s="231">
        <v>2521.4</v>
      </c>
      <c r="S82" s="228">
        <v>8.1999999999999993</v>
      </c>
      <c r="T82" s="229">
        <v>3.3E-3</v>
      </c>
      <c r="U82" s="231">
        <v>2545</v>
      </c>
      <c r="V82" s="231">
        <v>2527</v>
      </c>
      <c r="W82" s="228">
        <v>18</v>
      </c>
      <c r="X82" s="229">
        <v>7.1000000000000004E-3</v>
      </c>
      <c r="Y82" s="228">
        <v>5.8</v>
      </c>
      <c r="Z82" s="228">
        <v>6.7</v>
      </c>
      <c r="AA82" s="228">
        <v>-0.9</v>
      </c>
      <c r="AB82" s="229">
        <v>2.3E-3</v>
      </c>
      <c r="AC82" s="228">
        <v>5.8</v>
      </c>
      <c r="AD82" s="228">
        <v>6.7</v>
      </c>
      <c r="AE82" s="228">
        <v>-0.9</v>
      </c>
      <c r="AF82" s="229">
        <v>2.3E-3</v>
      </c>
      <c r="AG82" s="228">
        <v>0.7</v>
      </c>
      <c r="AH82" s="228">
        <v>3.8</v>
      </c>
      <c r="AI82" s="228">
        <v>-3.1</v>
      </c>
      <c r="AJ82" s="229">
        <v>2.9999999999999997E-4</v>
      </c>
      <c r="AK82" s="228">
        <v>16.100000000000001</v>
      </c>
      <c r="AL82" s="228">
        <v>9.4</v>
      </c>
      <c r="AM82" s="228">
        <v>6.7</v>
      </c>
      <c r="AN82" s="229">
        <v>6.4000000000000003E-3</v>
      </c>
      <c r="AO82" s="231">
        <v>2531.14</v>
      </c>
      <c r="AP82" s="231">
        <v>2526.4299999999998</v>
      </c>
      <c r="AQ82" s="228">
        <v>0</v>
      </c>
      <c r="AR82" s="230">
        <v>1419000</v>
      </c>
      <c r="AS82" s="230">
        <v>1131000</v>
      </c>
      <c r="AT82" s="230">
        <v>288000</v>
      </c>
      <c r="AU82" s="229">
        <v>0.25459999999999999</v>
      </c>
      <c r="AV82" s="230">
        <v>1264800</v>
      </c>
      <c r="AW82" s="230">
        <v>1064100</v>
      </c>
      <c r="AX82" s="230">
        <v>200700</v>
      </c>
      <c r="AY82" s="229">
        <v>0.18859999999999999</v>
      </c>
      <c r="AZ82" s="230">
        <v>113400</v>
      </c>
      <c r="BA82" s="230">
        <v>65700</v>
      </c>
      <c r="BB82" s="230">
        <v>47700</v>
      </c>
      <c r="BC82" s="229">
        <v>0.72599999999999998</v>
      </c>
      <c r="BD82" s="230">
        <v>40800</v>
      </c>
      <c r="BE82" s="230">
        <v>1200</v>
      </c>
      <c r="BF82" s="230">
        <v>39600</v>
      </c>
      <c r="BG82" s="229">
        <v>33</v>
      </c>
      <c r="BH82" s="230">
        <v>4088700</v>
      </c>
      <c r="BI82" s="230">
        <v>3204600</v>
      </c>
      <c r="BJ82" s="230">
        <v>884100</v>
      </c>
      <c r="BK82" s="229">
        <v>0.27589999999999998</v>
      </c>
      <c r="BL82" s="230">
        <v>2226000</v>
      </c>
      <c r="BM82" s="230">
        <v>1473000</v>
      </c>
      <c r="BN82" s="230">
        <v>753000</v>
      </c>
      <c r="BO82" s="229">
        <v>0.51119999999999999</v>
      </c>
      <c r="BP82" s="230">
        <v>7733700</v>
      </c>
      <c r="BQ82" s="230">
        <v>5808600</v>
      </c>
      <c r="BR82" s="230">
        <v>1925100</v>
      </c>
      <c r="BS82" s="229">
        <v>0.33139999999999997</v>
      </c>
      <c r="BT82" s="230">
        <v>1039549</v>
      </c>
      <c r="BU82" s="230">
        <v>1617232</v>
      </c>
      <c r="BV82" s="230">
        <v>-577683</v>
      </c>
      <c r="BW82" s="229">
        <v>-0.35720000000000002</v>
      </c>
      <c r="BX82" s="230">
        <v>14083500</v>
      </c>
      <c r="BY82" s="230">
        <v>13989600</v>
      </c>
      <c r="BZ82" s="230">
        <v>93900</v>
      </c>
      <c r="CA82" s="229">
        <v>6.7000000000000002E-3</v>
      </c>
      <c r="CB82" s="230">
        <v>13543800</v>
      </c>
      <c r="CC82" s="230">
        <v>13535700</v>
      </c>
      <c r="CD82" s="230">
        <v>8100</v>
      </c>
      <c r="CE82" s="229">
        <v>5.9999999999999995E-4</v>
      </c>
      <c r="CF82" s="230">
        <v>494100</v>
      </c>
      <c r="CG82" s="230">
        <v>439800</v>
      </c>
      <c r="CH82" s="230">
        <v>54300</v>
      </c>
      <c r="CI82" s="229">
        <v>0.1235</v>
      </c>
      <c r="CJ82" s="230">
        <v>45600</v>
      </c>
      <c r="CK82" s="230">
        <v>14100</v>
      </c>
      <c r="CL82" s="230">
        <v>31500</v>
      </c>
      <c r="CM82" s="229">
        <v>2.234</v>
      </c>
      <c r="CN82" s="230">
        <v>4868400</v>
      </c>
      <c r="CO82" s="230">
        <v>4603200</v>
      </c>
      <c r="CP82" s="230">
        <v>265200</v>
      </c>
      <c r="CQ82" s="229">
        <v>5.7599999999999998E-2</v>
      </c>
      <c r="CR82" s="230">
        <v>2747100</v>
      </c>
      <c r="CS82" s="230">
        <v>2736300</v>
      </c>
      <c r="CT82" s="230">
        <v>10800</v>
      </c>
      <c r="CU82" s="229">
        <v>3.8999999999999998E-3</v>
      </c>
      <c r="CV82" s="230">
        <v>21699000</v>
      </c>
      <c r="CW82" s="230">
        <v>21329100</v>
      </c>
      <c r="CX82" s="230">
        <v>369900</v>
      </c>
      <c r="CY82" s="229">
        <v>1.7299999999999999E-2</v>
      </c>
      <c r="CZ82" s="228">
        <v>18.78</v>
      </c>
      <c r="DA82" s="228">
        <v>19.579999999999998</v>
      </c>
      <c r="DB82" s="228">
        <v>-0.8</v>
      </c>
      <c r="DC82" s="228">
        <v>-0.8</v>
      </c>
      <c r="DD82" s="228">
        <v>22.67</v>
      </c>
      <c r="DE82" s="228">
        <v>22.72</v>
      </c>
      <c r="DF82" s="228">
        <v>-3.89</v>
      </c>
      <c r="DG82" s="228">
        <v>-0.05</v>
      </c>
      <c r="DH82" s="228">
        <v>18.670000000000002</v>
      </c>
      <c r="DI82" s="228">
        <v>19.68</v>
      </c>
      <c r="DJ82" s="228">
        <v>-1.01</v>
      </c>
      <c r="DK82" s="228">
        <v>-1.01</v>
      </c>
      <c r="DL82" s="228">
        <v>18.97</v>
      </c>
      <c r="DM82" s="228">
        <v>19.37</v>
      </c>
      <c r="DN82" s="228">
        <v>-0.4</v>
      </c>
      <c r="DO82" s="228">
        <v>-0.4</v>
      </c>
      <c r="DP82" s="228">
        <v>0.56000000000000005</v>
      </c>
      <c r="DQ82" s="228">
        <v>0.59</v>
      </c>
      <c r="DR82" s="228">
        <v>-0.03</v>
      </c>
      <c r="DS82" s="229">
        <v>-5.0799999999999998E-2</v>
      </c>
      <c r="DT82" s="231">
        <v>2600</v>
      </c>
      <c r="DU82" s="231">
        <v>2500</v>
      </c>
      <c r="DV82" s="228">
        <v>0.54</v>
      </c>
      <c r="DW82" s="228">
        <v>0.46</v>
      </c>
      <c r="DX82" s="228">
        <v>0.08</v>
      </c>
      <c r="DY82" s="229">
        <v>0.1739</v>
      </c>
      <c r="DZ82" s="229">
        <v>3.8300000000000001E-2</v>
      </c>
      <c r="EA82" s="230">
        <v>453900</v>
      </c>
      <c r="EB82" s="229">
        <v>-2E-3</v>
      </c>
      <c r="EC82" s="229">
        <v>3.8300000000000001E-2</v>
      </c>
      <c r="ED82" s="228">
        <v>-4.71</v>
      </c>
      <c r="EE82" s="229">
        <v>-1.9E-3</v>
      </c>
      <c r="EF82" s="230">
        <v>701244</v>
      </c>
      <c r="EG82" s="230">
        <v>825378</v>
      </c>
      <c r="EH82" s="229">
        <v>-0.15040000000000001</v>
      </c>
      <c r="EI82" s="229">
        <v>0.67459999999999998</v>
      </c>
      <c r="EJ82" s="231">
        <v>106792.68</v>
      </c>
      <c r="EK82" s="231">
        <v>55945.43</v>
      </c>
      <c r="EL82" s="231">
        <v>35915.67</v>
      </c>
      <c r="EM82" s="231">
        <v>5078</v>
      </c>
      <c r="EN82" s="231">
        <v>198653.78</v>
      </c>
      <c r="EO82" s="231">
        <v>149712.1</v>
      </c>
      <c r="EP82" s="231">
        <v>48941.68</v>
      </c>
      <c r="EQ82" s="229">
        <v>0.32690000000000002</v>
      </c>
      <c r="ER82" s="231">
        <v>127825</v>
      </c>
      <c r="ES82" s="231">
        <v>67953</v>
      </c>
      <c r="ET82" s="231">
        <v>356954</v>
      </c>
      <c r="EU82" s="231">
        <v>89517840</v>
      </c>
      <c r="EV82" s="231">
        <v>552732</v>
      </c>
      <c r="EW82" s="231">
        <v>541863</v>
      </c>
      <c r="EX82" s="231">
        <v>10869</v>
      </c>
      <c r="EY82" s="229">
        <v>2.01E-2</v>
      </c>
      <c r="EZ82" s="229">
        <v>0.2424</v>
      </c>
      <c r="FA82" s="227" t="s">
        <v>555</v>
      </c>
      <c r="FB82" s="161">
        <f t="shared" si="1"/>
        <v>539700</v>
      </c>
    </row>
    <row r="83" spans="1:158" ht="17.25" hidden="1" thickBot="1" x14ac:dyDescent="0.3">
      <c r="A83" s="226">
        <v>45940</v>
      </c>
      <c r="B83" s="227" t="s">
        <v>227</v>
      </c>
      <c r="C83" s="227" t="s">
        <v>670</v>
      </c>
      <c r="D83" s="228">
        <v>1225</v>
      </c>
      <c r="E83" s="228">
        <v>500.2</v>
      </c>
      <c r="F83" s="228">
        <v>515</v>
      </c>
      <c r="G83" s="228">
        <v>-14.8</v>
      </c>
      <c r="H83" s="229">
        <v>-2.87E-2</v>
      </c>
      <c r="I83" s="228">
        <v>498.3</v>
      </c>
      <c r="J83" s="228">
        <v>512.25</v>
      </c>
      <c r="K83" s="228">
        <v>-13.95</v>
      </c>
      <c r="L83" s="229">
        <v>-2.7199999999999998E-2</v>
      </c>
      <c r="M83" s="228">
        <v>500.2</v>
      </c>
      <c r="N83" s="228">
        <v>515</v>
      </c>
      <c r="O83" s="228">
        <v>-14.8</v>
      </c>
      <c r="P83" s="229">
        <v>-2.87E-2</v>
      </c>
      <c r="Q83" s="228">
        <v>502.95</v>
      </c>
      <c r="R83" s="228">
        <v>517.75</v>
      </c>
      <c r="S83" s="228">
        <v>-14.8</v>
      </c>
      <c r="T83" s="229">
        <v>-2.86E-2</v>
      </c>
      <c r="U83" s="228">
        <v>505.5</v>
      </c>
      <c r="V83" s="228">
        <v>519.9</v>
      </c>
      <c r="W83" s="228">
        <v>-14.4</v>
      </c>
      <c r="X83" s="229">
        <v>-2.7699999999999999E-2</v>
      </c>
      <c r="Y83" s="228">
        <v>1.9</v>
      </c>
      <c r="Z83" s="228">
        <v>2.75</v>
      </c>
      <c r="AA83" s="228">
        <v>-0.85</v>
      </c>
      <c r="AB83" s="229">
        <v>3.8E-3</v>
      </c>
      <c r="AC83" s="228">
        <v>1.9</v>
      </c>
      <c r="AD83" s="228">
        <v>2.75</v>
      </c>
      <c r="AE83" s="228">
        <v>-0.85</v>
      </c>
      <c r="AF83" s="229">
        <v>3.8E-3</v>
      </c>
      <c r="AG83" s="228">
        <v>4.6500000000000004</v>
      </c>
      <c r="AH83" s="228">
        <v>5.5</v>
      </c>
      <c r="AI83" s="228">
        <v>-0.85</v>
      </c>
      <c r="AJ83" s="229">
        <v>9.2999999999999992E-3</v>
      </c>
      <c r="AK83" s="228">
        <v>7.2</v>
      </c>
      <c r="AL83" s="228">
        <v>7.65</v>
      </c>
      <c r="AM83" s="228">
        <v>-0.45</v>
      </c>
      <c r="AN83" s="229">
        <v>1.44E-2</v>
      </c>
      <c r="AO83" s="228">
        <v>497.26</v>
      </c>
      <c r="AP83" s="228">
        <v>499.81</v>
      </c>
      <c r="AQ83" s="228">
        <v>0</v>
      </c>
      <c r="AR83" s="230">
        <v>19952800</v>
      </c>
      <c r="AS83" s="230">
        <v>19895225</v>
      </c>
      <c r="AT83" s="230">
        <v>57575</v>
      </c>
      <c r="AU83" s="229">
        <v>2.8999999999999998E-3</v>
      </c>
      <c r="AV83" s="230">
        <v>17431750</v>
      </c>
      <c r="AW83" s="230">
        <v>17609375</v>
      </c>
      <c r="AX83" s="230">
        <v>-177625</v>
      </c>
      <c r="AY83" s="229">
        <v>-1.01E-2</v>
      </c>
      <c r="AZ83" s="230">
        <v>2176825</v>
      </c>
      <c r="BA83" s="230">
        <v>1898750</v>
      </c>
      <c r="BB83" s="230">
        <v>278075</v>
      </c>
      <c r="BC83" s="229">
        <v>0.14649999999999999</v>
      </c>
      <c r="BD83" s="230">
        <v>344225</v>
      </c>
      <c r="BE83" s="230">
        <v>387100</v>
      </c>
      <c r="BF83" s="230">
        <v>-42875</v>
      </c>
      <c r="BG83" s="229">
        <v>-0.1108</v>
      </c>
      <c r="BH83" s="230">
        <v>62145475</v>
      </c>
      <c r="BI83" s="230">
        <v>90330275</v>
      </c>
      <c r="BJ83" s="230">
        <v>-28184800</v>
      </c>
      <c r="BK83" s="229">
        <v>-0.312</v>
      </c>
      <c r="BL83" s="230">
        <v>27093325</v>
      </c>
      <c r="BM83" s="230">
        <v>28345275</v>
      </c>
      <c r="BN83" s="230">
        <v>-1251950</v>
      </c>
      <c r="BO83" s="229">
        <v>-4.4200000000000003E-2</v>
      </c>
      <c r="BP83" s="230">
        <v>109191600</v>
      </c>
      <c r="BQ83" s="230">
        <v>138570775</v>
      </c>
      <c r="BR83" s="230">
        <v>-29379175</v>
      </c>
      <c r="BS83" s="229">
        <v>-0.21199999999999999</v>
      </c>
      <c r="BT83" s="230">
        <v>12677243</v>
      </c>
      <c r="BU83" s="230">
        <v>17216228</v>
      </c>
      <c r="BV83" s="230">
        <v>-4538985</v>
      </c>
      <c r="BW83" s="229">
        <v>-0.2636</v>
      </c>
      <c r="BX83" s="230">
        <v>34484975</v>
      </c>
      <c r="BY83" s="230">
        <v>32847150</v>
      </c>
      <c r="BZ83" s="230">
        <v>1637825</v>
      </c>
      <c r="CA83" s="229">
        <v>4.99E-2</v>
      </c>
      <c r="CB83" s="230">
        <v>31887975</v>
      </c>
      <c r="CC83" s="230">
        <v>30997400</v>
      </c>
      <c r="CD83" s="230">
        <v>890575</v>
      </c>
      <c r="CE83" s="229">
        <v>2.87E-2</v>
      </c>
      <c r="CF83" s="230">
        <v>2239300</v>
      </c>
      <c r="CG83" s="230">
        <v>1489600</v>
      </c>
      <c r="CH83" s="230">
        <v>749700</v>
      </c>
      <c r="CI83" s="229">
        <v>0.50329999999999997</v>
      </c>
      <c r="CJ83" s="230">
        <v>357700</v>
      </c>
      <c r="CK83" s="230">
        <v>360150</v>
      </c>
      <c r="CL83" s="230">
        <v>-2450</v>
      </c>
      <c r="CM83" s="229">
        <v>-6.7999999999999996E-3</v>
      </c>
      <c r="CN83" s="230">
        <v>20588575</v>
      </c>
      <c r="CO83" s="230">
        <v>14679175</v>
      </c>
      <c r="CP83" s="230">
        <v>5909400</v>
      </c>
      <c r="CQ83" s="229">
        <v>0.40260000000000001</v>
      </c>
      <c r="CR83" s="230">
        <v>12111575</v>
      </c>
      <c r="CS83" s="230">
        <v>10924550</v>
      </c>
      <c r="CT83" s="230">
        <v>1187025</v>
      </c>
      <c r="CU83" s="229">
        <v>0.1087</v>
      </c>
      <c r="CV83" s="230">
        <v>67185125</v>
      </c>
      <c r="CW83" s="230">
        <v>58450875</v>
      </c>
      <c r="CX83" s="230">
        <v>8734250</v>
      </c>
      <c r="CY83" s="229">
        <v>0.14940000000000001</v>
      </c>
      <c r="CZ83" s="228">
        <v>34.64</v>
      </c>
      <c r="DA83" s="228">
        <v>33.14</v>
      </c>
      <c r="DB83" s="228">
        <v>1.5</v>
      </c>
      <c r="DC83" s="228">
        <v>1.5</v>
      </c>
      <c r="DD83" s="228">
        <v>44.87</v>
      </c>
      <c r="DE83" s="228">
        <v>44.81</v>
      </c>
      <c r="DF83" s="228">
        <v>-10.23</v>
      </c>
      <c r="DG83" s="228">
        <v>0.06</v>
      </c>
      <c r="DH83" s="228">
        <v>35.049999999999997</v>
      </c>
      <c r="DI83" s="228">
        <v>33.01</v>
      </c>
      <c r="DJ83" s="228">
        <v>2.04</v>
      </c>
      <c r="DK83" s="228">
        <v>2.04</v>
      </c>
      <c r="DL83" s="228">
        <v>33.71</v>
      </c>
      <c r="DM83" s="228">
        <v>33.57</v>
      </c>
      <c r="DN83" s="228">
        <v>0.14000000000000001</v>
      </c>
      <c r="DO83" s="228">
        <v>0.14000000000000001</v>
      </c>
      <c r="DP83" s="228">
        <v>0.59</v>
      </c>
      <c r="DQ83" s="228">
        <v>0.74</v>
      </c>
      <c r="DR83" s="228">
        <v>-0.15</v>
      </c>
      <c r="DS83" s="229">
        <v>-0.20269999999999999</v>
      </c>
      <c r="DT83" s="228">
        <v>500</v>
      </c>
      <c r="DU83" s="228">
        <v>480</v>
      </c>
      <c r="DV83" s="228">
        <v>0.44</v>
      </c>
      <c r="DW83" s="228">
        <v>0.31</v>
      </c>
      <c r="DX83" s="228">
        <v>0.13</v>
      </c>
      <c r="DY83" s="229">
        <v>0.4194</v>
      </c>
      <c r="DZ83" s="229">
        <v>7.5300000000000006E-2</v>
      </c>
      <c r="EA83" s="230">
        <v>1849750</v>
      </c>
      <c r="EB83" s="229">
        <v>5.4999999999999997E-3</v>
      </c>
      <c r="EC83" s="229">
        <v>7.5300000000000006E-2</v>
      </c>
      <c r="ED83" s="228">
        <v>2.5499999999999998</v>
      </c>
      <c r="EE83" s="229">
        <v>5.1000000000000004E-3</v>
      </c>
      <c r="EF83" s="230">
        <v>3616595</v>
      </c>
      <c r="EG83" s="230">
        <v>5147363</v>
      </c>
      <c r="EH83" s="229">
        <v>-0.2974</v>
      </c>
      <c r="EI83" s="229">
        <v>0.2853</v>
      </c>
      <c r="EJ83" s="231">
        <v>326809.12</v>
      </c>
      <c r="EK83" s="231">
        <v>133769.75</v>
      </c>
      <c r="EL83" s="231">
        <v>99292.160000000003</v>
      </c>
      <c r="EM83" s="231">
        <v>8108</v>
      </c>
      <c r="EN83" s="231">
        <v>559871.03</v>
      </c>
      <c r="EO83" s="231">
        <v>721487.09</v>
      </c>
      <c r="EP83" s="231">
        <v>-161616.06</v>
      </c>
      <c r="EQ83" s="229">
        <v>-0.224</v>
      </c>
      <c r="ER83" s="231">
        <v>105926</v>
      </c>
      <c r="ES83" s="231">
        <v>57048</v>
      </c>
      <c r="ET83" s="231">
        <v>172574</v>
      </c>
      <c r="EU83" s="231">
        <v>167680340</v>
      </c>
      <c r="EV83" s="231">
        <v>335549</v>
      </c>
      <c r="EW83" s="231">
        <v>295776</v>
      </c>
      <c r="EX83" s="231">
        <v>39773</v>
      </c>
      <c r="EY83" s="229">
        <v>0.13450000000000001</v>
      </c>
      <c r="EZ83" s="229">
        <v>0.4007</v>
      </c>
      <c r="FA83" s="227" t="s">
        <v>567</v>
      </c>
      <c r="FB83" s="161">
        <f t="shared" si="1"/>
        <v>2597000</v>
      </c>
    </row>
    <row r="84" spans="1:158" ht="17.25" hidden="1" thickBot="1" x14ac:dyDescent="0.3">
      <c r="A84" s="226">
        <v>45940</v>
      </c>
      <c r="B84" s="227" t="s">
        <v>206</v>
      </c>
      <c r="C84" s="227" t="s">
        <v>609</v>
      </c>
      <c r="D84" s="228">
        <v>2775</v>
      </c>
      <c r="E84" s="228">
        <v>234.19</v>
      </c>
      <c r="F84" s="228">
        <v>230.92</v>
      </c>
      <c r="G84" s="228">
        <v>3.27</v>
      </c>
      <c r="H84" s="229">
        <v>1.4200000000000001E-2</v>
      </c>
      <c r="I84" s="228">
        <v>232.92</v>
      </c>
      <c r="J84" s="228">
        <v>229.47</v>
      </c>
      <c r="K84" s="228">
        <v>3.45</v>
      </c>
      <c r="L84" s="229">
        <v>1.4999999999999999E-2</v>
      </c>
      <c r="M84" s="228">
        <v>234.19</v>
      </c>
      <c r="N84" s="228">
        <v>230.92</v>
      </c>
      <c r="O84" s="228">
        <v>3.27</v>
      </c>
      <c r="P84" s="229">
        <v>1.4200000000000001E-2</v>
      </c>
      <c r="Q84" s="228">
        <v>235.28</v>
      </c>
      <c r="R84" s="228">
        <v>232.19</v>
      </c>
      <c r="S84" s="228">
        <v>3.09</v>
      </c>
      <c r="T84" s="229">
        <v>1.3299999999999999E-2</v>
      </c>
      <c r="U84" s="228">
        <v>236.8</v>
      </c>
      <c r="V84" s="228">
        <v>233.65</v>
      </c>
      <c r="W84" s="228">
        <v>3.15</v>
      </c>
      <c r="X84" s="229">
        <v>1.35E-2</v>
      </c>
      <c r="Y84" s="228">
        <v>1.27</v>
      </c>
      <c r="Z84" s="228">
        <v>1.45</v>
      </c>
      <c r="AA84" s="228">
        <v>-0.18</v>
      </c>
      <c r="AB84" s="229">
        <v>5.4999999999999997E-3</v>
      </c>
      <c r="AC84" s="228">
        <v>1.27</v>
      </c>
      <c r="AD84" s="228">
        <v>1.45</v>
      </c>
      <c r="AE84" s="228">
        <v>-0.18</v>
      </c>
      <c r="AF84" s="229">
        <v>5.4999999999999997E-3</v>
      </c>
      <c r="AG84" s="228">
        <v>2.36</v>
      </c>
      <c r="AH84" s="228">
        <v>2.72</v>
      </c>
      <c r="AI84" s="228">
        <v>-0.36</v>
      </c>
      <c r="AJ84" s="229">
        <v>1.01E-2</v>
      </c>
      <c r="AK84" s="228">
        <v>3.88</v>
      </c>
      <c r="AL84" s="228">
        <v>4.18</v>
      </c>
      <c r="AM84" s="228">
        <v>-0.3</v>
      </c>
      <c r="AN84" s="229">
        <v>1.67E-2</v>
      </c>
      <c r="AO84" s="228">
        <v>234.06</v>
      </c>
      <c r="AP84" s="228">
        <v>234.88</v>
      </c>
      <c r="AQ84" s="228">
        <v>0</v>
      </c>
      <c r="AR84" s="230">
        <v>7350975</v>
      </c>
      <c r="AS84" s="230">
        <v>4265175</v>
      </c>
      <c r="AT84" s="230">
        <v>3085800</v>
      </c>
      <c r="AU84" s="229">
        <v>0.72350000000000003</v>
      </c>
      <c r="AV84" s="230">
        <v>6826500</v>
      </c>
      <c r="AW84" s="230">
        <v>4007100</v>
      </c>
      <c r="AX84" s="230">
        <v>2819400</v>
      </c>
      <c r="AY84" s="229">
        <v>0.7036</v>
      </c>
      <c r="AZ84" s="230">
        <v>477300</v>
      </c>
      <c r="BA84" s="230">
        <v>241425</v>
      </c>
      <c r="BB84" s="230">
        <v>235875</v>
      </c>
      <c r="BC84" s="229">
        <v>0.97699999999999998</v>
      </c>
      <c r="BD84" s="230">
        <v>47175</v>
      </c>
      <c r="BE84" s="230">
        <v>16650</v>
      </c>
      <c r="BF84" s="230">
        <v>30525</v>
      </c>
      <c r="BG84" s="229">
        <v>1.8332999999999999</v>
      </c>
      <c r="BH84" s="230">
        <v>23032500</v>
      </c>
      <c r="BI84" s="230">
        <v>13397700</v>
      </c>
      <c r="BJ84" s="230">
        <v>9634800</v>
      </c>
      <c r="BK84" s="229">
        <v>0.71909999999999996</v>
      </c>
      <c r="BL84" s="230">
        <v>10933500</v>
      </c>
      <c r="BM84" s="230">
        <v>4945050</v>
      </c>
      <c r="BN84" s="230">
        <v>5988450</v>
      </c>
      <c r="BO84" s="229">
        <v>1.2110000000000001</v>
      </c>
      <c r="BP84" s="230">
        <v>41316975</v>
      </c>
      <c r="BQ84" s="230">
        <v>22607925</v>
      </c>
      <c r="BR84" s="230">
        <v>18709050</v>
      </c>
      <c r="BS84" s="229">
        <v>0.82750000000000001</v>
      </c>
      <c r="BT84" s="230">
        <v>4582275</v>
      </c>
      <c r="BU84" s="230">
        <v>2233417</v>
      </c>
      <c r="BV84" s="230">
        <v>2348858</v>
      </c>
      <c r="BW84" s="229">
        <v>1.0517000000000001</v>
      </c>
      <c r="BX84" s="230">
        <v>27455850</v>
      </c>
      <c r="BY84" s="230">
        <v>27480825</v>
      </c>
      <c r="BZ84" s="230">
        <v>-24975</v>
      </c>
      <c r="CA84" s="229">
        <v>-8.9999999999999998E-4</v>
      </c>
      <c r="CB84" s="230">
        <v>26370825</v>
      </c>
      <c r="CC84" s="230">
        <v>26423550</v>
      </c>
      <c r="CD84" s="230">
        <v>-52725</v>
      </c>
      <c r="CE84" s="229">
        <v>-2E-3</v>
      </c>
      <c r="CF84" s="230">
        <v>982350</v>
      </c>
      <c r="CG84" s="230">
        <v>960150</v>
      </c>
      <c r="CH84" s="230">
        <v>22200</v>
      </c>
      <c r="CI84" s="229">
        <v>2.3099999999999999E-2</v>
      </c>
      <c r="CJ84" s="230">
        <v>102675</v>
      </c>
      <c r="CK84" s="230">
        <v>97125</v>
      </c>
      <c r="CL84" s="230">
        <v>5550</v>
      </c>
      <c r="CM84" s="229">
        <v>5.7099999999999998E-2</v>
      </c>
      <c r="CN84" s="230">
        <v>14435550</v>
      </c>
      <c r="CO84" s="230">
        <v>14185800</v>
      </c>
      <c r="CP84" s="230">
        <v>249750</v>
      </c>
      <c r="CQ84" s="229">
        <v>1.7600000000000001E-2</v>
      </c>
      <c r="CR84" s="230">
        <v>8469300</v>
      </c>
      <c r="CS84" s="230">
        <v>8427675</v>
      </c>
      <c r="CT84" s="230">
        <v>41625</v>
      </c>
      <c r="CU84" s="229">
        <v>4.8999999999999998E-3</v>
      </c>
      <c r="CV84" s="230">
        <v>50360700</v>
      </c>
      <c r="CW84" s="230">
        <v>50094300</v>
      </c>
      <c r="CX84" s="230">
        <v>266400</v>
      </c>
      <c r="CY84" s="229">
        <v>5.3E-3</v>
      </c>
      <c r="CZ84" s="228">
        <v>29.62</v>
      </c>
      <c r="DA84" s="228">
        <v>30.48</v>
      </c>
      <c r="DB84" s="228">
        <v>-0.86</v>
      </c>
      <c r="DC84" s="228">
        <v>-0.86</v>
      </c>
      <c r="DD84" s="228">
        <v>53.81</v>
      </c>
      <c r="DE84" s="228">
        <v>53.91</v>
      </c>
      <c r="DF84" s="228">
        <v>-24.19</v>
      </c>
      <c r="DG84" s="228">
        <v>-0.1</v>
      </c>
      <c r="DH84" s="228">
        <v>29.87</v>
      </c>
      <c r="DI84" s="228">
        <v>30.64</v>
      </c>
      <c r="DJ84" s="228">
        <v>-0.77</v>
      </c>
      <c r="DK84" s="228">
        <v>-0.77</v>
      </c>
      <c r="DL84" s="228">
        <v>29.1</v>
      </c>
      <c r="DM84" s="228">
        <v>30.03</v>
      </c>
      <c r="DN84" s="228">
        <v>-0.93</v>
      </c>
      <c r="DO84" s="228">
        <v>-0.93</v>
      </c>
      <c r="DP84" s="228">
        <v>0.59</v>
      </c>
      <c r="DQ84" s="228">
        <v>0.59</v>
      </c>
      <c r="DR84" s="228">
        <v>0</v>
      </c>
      <c r="DS84" s="229">
        <v>0</v>
      </c>
      <c r="DT84" s="228">
        <v>240</v>
      </c>
      <c r="DU84" s="228">
        <v>230</v>
      </c>
      <c r="DV84" s="228">
        <v>0.47</v>
      </c>
      <c r="DW84" s="228">
        <v>0.37</v>
      </c>
      <c r="DX84" s="228">
        <v>0.1</v>
      </c>
      <c r="DY84" s="229">
        <v>0.27029999999999998</v>
      </c>
      <c r="DZ84" s="229">
        <v>3.95E-2</v>
      </c>
      <c r="EA84" s="230">
        <v>1057275</v>
      </c>
      <c r="EB84" s="229">
        <v>4.7000000000000002E-3</v>
      </c>
      <c r="EC84" s="229">
        <v>3.95E-2</v>
      </c>
      <c r="ED84" s="228">
        <v>0.82</v>
      </c>
      <c r="EE84" s="229">
        <v>3.5000000000000001E-3</v>
      </c>
      <c r="EF84" s="230">
        <v>1886453</v>
      </c>
      <c r="EG84" s="230">
        <v>967609</v>
      </c>
      <c r="EH84" s="229">
        <v>0.9496</v>
      </c>
      <c r="EI84" s="229">
        <v>0.41170000000000001</v>
      </c>
      <c r="EJ84" s="231">
        <v>55852.65</v>
      </c>
      <c r="EK84" s="231">
        <v>25497.200000000001</v>
      </c>
      <c r="EL84" s="231">
        <v>17211.080000000002</v>
      </c>
      <c r="EM84" s="231">
        <v>1823</v>
      </c>
      <c r="EN84" s="231">
        <v>98560.93</v>
      </c>
      <c r="EO84" s="231">
        <v>53278.62</v>
      </c>
      <c r="EP84" s="231">
        <v>45282.31</v>
      </c>
      <c r="EQ84" s="229">
        <v>0.84989999999999999</v>
      </c>
      <c r="ER84" s="231">
        <v>34845</v>
      </c>
      <c r="ES84" s="231">
        <v>19236</v>
      </c>
      <c r="ET84" s="231">
        <v>64312</v>
      </c>
      <c r="EU84" s="231">
        <v>75071250</v>
      </c>
      <c r="EV84" s="231">
        <v>118394</v>
      </c>
      <c r="EW84" s="231">
        <v>116661</v>
      </c>
      <c r="EX84" s="231">
        <v>1733</v>
      </c>
      <c r="EY84" s="229">
        <v>1.49E-2</v>
      </c>
      <c r="EZ84" s="229">
        <v>0.67079999999999995</v>
      </c>
      <c r="FA84" s="227" t="s">
        <v>556</v>
      </c>
      <c r="FB84" s="161">
        <f t="shared" si="1"/>
        <v>1085025</v>
      </c>
    </row>
    <row r="85" spans="1:158" ht="17.25" hidden="1" thickBot="1" x14ac:dyDescent="0.3">
      <c r="A85" s="226">
        <v>45940</v>
      </c>
      <c r="B85" s="227" t="s">
        <v>172</v>
      </c>
      <c r="C85" s="227" t="s">
        <v>232</v>
      </c>
      <c r="D85" s="228">
        <v>700</v>
      </c>
      <c r="E85" s="231">
        <v>1387.9</v>
      </c>
      <c r="F85" s="231">
        <v>1380.2</v>
      </c>
      <c r="G85" s="228">
        <v>7.7</v>
      </c>
      <c r="H85" s="229">
        <v>5.5999999999999999E-3</v>
      </c>
      <c r="I85" s="231">
        <v>1380.3</v>
      </c>
      <c r="J85" s="231">
        <v>1376.2</v>
      </c>
      <c r="K85" s="228">
        <v>4.0999999999999996</v>
      </c>
      <c r="L85" s="229">
        <v>3.0000000000000001E-3</v>
      </c>
      <c r="M85" s="231">
        <v>1387.9</v>
      </c>
      <c r="N85" s="231">
        <v>1380.2</v>
      </c>
      <c r="O85" s="228">
        <v>7.7</v>
      </c>
      <c r="P85" s="229">
        <v>5.5999999999999999E-3</v>
      </c>
      <c r="Q85" s="231">
        <v>1395.1</v>
      </c>
      <c r="R85" s="231">
        <v>1387.5</v>
      </c>
      <c r="S85" s="228">
        <v>7.6</v>
      </c>
      <c r="T85" s="229">
        <v>5.4999999999999997E-3</v>
      </c>
      <c r="U85" s="231">
        <v>1404</v>
      </c>
      <c r="V85" s="231">
        <v>1396.2</v>
      </c>
      <c r="W85" s="228">
        <v>7.8</v>
      </c>
      <c r="X85" s="229">
        <v>5.5999999999999999E-3</v>
      </c>
      <c r="Y85" s="228">
        <v>7.6</v>
      </c>
      <c r="Z85" s="228">
        <v>4</v>
      </c>
      <c r="AA85" s="228">
        <v>3.6</v>
      </c>
      <c r="AB85" s="229">
        <v>5.4999999999999997E-3</v>
      </c>
      <c r="AC85" s="228">
        <v>7.6</v>
      </c>
      <c r="AD85" s="228">
        <v>4</v>
      </c>
      <c r="AE85" s="228">
        <v>3.6</v>
      </c>
      <c r="AF85" s="229">
        <v>5.4999999999999997E-3</v>
      </c>
      <c r="AG85" s="228">
        <v>14.8</v>
      </c>
      <c r="AH85" s="228">
        <v>11.3</v>
      </c>
      <c r="AI85" s="228">
        <v>3.5</v>
      </c>
      <c r="AJ85" s="229">
        <v>1.0699999999999999E-2</v>
      </c>
      <c r="AK85" s="228">
        <v>23.7</v>
      </c>
      <c r="AL85" s="228">
        <v>20</v>
      </c>
      <c r="AM85" s="228">
        <v>3.7</v>
      </c>
      <c r="AN85" s="229">
        <v>1.72E-2</v>
      </c>
      <c r="AO85" s="231">
        <v>1387.92</v>
      </c>
      <c r="AP85" s="231">
        <v>1394.71</v>
      </c>
      <c r="AQ85" s="228">
        <v>0</v>
      </c>
      <c r="AR85" s="230">
        <v>11957400</v>
      </c>
      <c r="AS85" s="230">
        <v>10201100</v>
      </c>
      <c r="AT85" s="230">
        <v>1756300</v>
      </c>
      <c r="AU85" s="229">
        <v>0.17219999999999999</v>
      </c>
      <c r="AV85" s="230">
        <v>10618300</v>
      </c>
      <c r="AW85" s="230">
        <v>9751700</v>
      </c>
      <c r="AX85" s="230">
        <v>866600</v>
      </c>
      <c r="AY85" s="229">
        <v>8.8900000000000007E-2</v>
      </c>
      <c r="AZ85" s="230">
        <v>1090600</v>
      </c>
      <c r="BA85" s="230">
        <v>410900</v>
      </c>
      <c r="BB85" s="230">
        <v>679700</v>
      </c>
      <c r="BC85" s="229">
        <v>1.6541999999999999</v>
      </c>
      <c r="BD85" s="230">
        <v>248500</v>
      </c>
      <c r="BE85" s="230">
        <v>38500</v>
      </c>
      <c r="BF85" s="230">
        <v>210000</v>
      </c>
      <c r="BG85" s="229">
        <v>5.4545000000000003</v>
      </c>
      <c r="BH85" s="230">
        <v>27695500</v>
      </c>
      <c r="BI85" s="230">
        <v>22277500</v>
      </c>
      <c r="BJ85" s="230">
        <v>5418000</v>
      </c>
      <c r="BK85" s="229">
        <v>0.2432</v>
      </c>
      <c r="BL85" s="230">
        <v>13962900</v>
      </c>
      <c r="BM85" s="230">
        <v>12492200</v>
      </c>
      <c r="BN85" s="230">
        <v>1470700</v>
      </c>
      <c r="BO85" s="229">
        <v>0.1177</v>
      </c>
      <c r="BP85" s="230">
        <v>53615800</v>
      </c>
      <c r="BQ85" s="230">
        <v>44970800</v>
      </c>
      <c r="BR85" s="230">
        <v>8645000</v>
      </c>
      <c r="BS85" s="229">
        <v>0.19220000000000001</v>
      </c>
      <c r="BT85" s="230">
        <v>8146503</v>
      </c>
      <c r="BU85" s="230">
        <v>8857003</v>
      </c>
      <c r="BV85" s="230">
        <v>-710500</v>
      </c>
      <c r="BW85" s="229">
        <v>-8.0199999999999994E-2</v>
      </c>
      <c r="BX85" s="230">
        <v>112877800</v>
      </c>
      <c r="BY85" s="230">
        <v>111101900</v>
      </c>
      <c r="BZ85" s="230">
        <v>1775900</v>
      </c>
      <c r="CA85" s="229">
        <v>1.6E-2</v>
      </c>
      <c r="CB85" s="230">
        <v>108124800</v>
      </c>
      <c r="CC85" s="230">
        <v>106914500</v>
      </c>
      <c r="CD85" s="230">
        <v>1210300</v>
      </c>
      <c r="CE85" s="229">
        <v>1.1299999999999999E-2</v>
      </c>
      <c r="CF85" s="230">
        <v>3762500</v>
      </c>
      <c r="CG85" s="230">
        <v>3390100</v>
      </c>
      <c r="CH85" s="230">
        <v>372400</v>
      </c>
      <c r="CI85" s="229">
        <v>0.10979999999999999</v>
      </c>
      <c r="CJ85" s="230">
        <v>990500</v>
      </c>
      <c r="CK85" s="230">
        <v>797300</v>
      </c>
      <c r="CL85" s="230">
        <v>193200</v>
      </c>
      <c r="CM85" s="229">
        <v>0.24229999999999999</v>
      </c>
      <c r="CN85" s="230">
        <v>23599100</v>
      </c>
      <c r="CO85" s="230">
        <v>23194500</v>
      </c>
      <c r="CP85" s="230">
        <v>404600</v>
      </c>
      <c r="CQ85" s="229">
        <v>1.7399999999999999E-2</v>
      </c>
      <c r="CR85" s="230">
        <v>17271100</v>
      </c>
      <c r="CS85" s="230">
        <v>16883300</v>
      </c>
      <c r="CT85" s="230">
        <v>387800</v>
      </c>
      <c r="CU85" s="229">
        <v>2.3E-2</v>
      </c>
      <c r="CV85" s="230">
        <v>153748000</v>
      </c>
      <c r="CW85" s="230">
        <v>151179700</v>
      </c>
      <c r="CX85" s="230">
        <v>2568300</v>
      </c>
      <c r="CY85" s="229">
        <v>1.7000000000000001E-2</v>
      </c>
      <c r="CZ85" s="228">
        <v>18.13</v>
      </c>
      <c r="DA85" s="228">
        <v>18.05</v>
      </c>
      <c r="DB85" s="228">
        <v>0.08</v>
      </c>
      <c r="DC85" s="228">
        <v>0.08</v>
      </c>
      <c r="DD85" s="228">
        <v>20.97</v>
      </c>
      <c r="DE85" s="228">
        <v>21.02</v>
      </c>
      <c r="DF85" s="228">
        <v>-2.84</v>
      </c>
      <c r="DG85" s="228">
        <v>-0.05</v>
      </c>
      <c r="DH85" s="228">
        <v>17.93</v>
      </c>
      <c r="DI85" s="228">
        <v>18</v>
      </c>
      <c r="DJ85" s="228">
        <v>-7.0000000000000007E-2</v>
      </c>
      <c r="DK85" s="228">
        <v>-7.0000000000000007E-2</v>
      </c>
      <c r="DL85" s="228">
        <v>18.52</v>
      </c>
      <c r="DM85" s="228">
        <v>18.149999999999999</v>
      </c>
      <c r="DN85" s="228">
        <v>0.37</v>
      </c>
      <c r="DO85" s="228">
        <v>0.37</v>
      </c>
      <c r="DP85" s="228">
        <v>0.73</v>
      </c>
      <c r="DQ85" s="228">
        <v>0.73</v>
      </c>
      <c r="DR85" s="228">
        <v>0</v>
      </c>
      <c r="DS85" s="229">
        <v>0</v>
      </c>
      <c r="DT85" s="231">
        <v>1400</v>
      </c>
      <c r="DU85" s="231">
        <v>1400</v>
      </c>
      <c r="DV85" s="228">
        <v>0.5</v>
      </c>
      <c r="DW85" s="228">
        <v>0.56000000000000005</v>
      </c>
      <c r="DX85" s="228">
        <v>-0.06</v>
      </c>
      <c r="DY85" s="229">
        <v>-0.1071</v>
      </c>
      <c r="DZ85" s="229">
        <v>4.2099999999999999E-2</v>
      </c>
      <c r="EA85" s="230">
        <v>4187400</v>
      </c>
      <c r="EB85" s="229">
        <v>5.1999999999999998E-3</v>
      </c>
      <c r="EC85" s="229">
        <v>4.2099999999999999E-2</v>
      </c>
      <c r="ED85" s="228">
        <v>6.79</v>
      </c>
      <c r="EE85" s="229">
        <v>4.8999999999999998E-3</v>
      </c>
      <c r="EF85" s="230">
        <v>4723549</v>
      </c>
      <c r="EG85" s="230">
        <v>4392412</v>
      </c>
      <c r="EH85" s="229">
        <v>7.5399999999999995E-2</v>
      </c>
      <c r="EI85" s="229">
        <v>0.57979999999999998</v>
      </c>
      <c r="EJ85" s="231">
        <v>393521.56</v>
      </c>
      <c r="EK85" s="231">
        <v>192257.94</v>
      </c>
      <c r="EL85" s="231">
        <v>166075.57999999999</v>
      </c>
      <c r="EM85" s="231">
        <v>19362</v>
      </c>
      <c r="EN85" s="231">
        <v>751855.08</v>
      </c>
      <c r="EO85" s="231">
        <v>627600.97</v>
      </c>
      <c r="EP85" s="231">
        <v>124254.11</v>
      </c>
      <c r="EQ85" s="229">
        <v>0.19800000000000001</v>
      </c>
      <c r="ER85" s="231">
        <v>333425</v>
      </c>
      <c r="ES85" s="231">
        <v>234324</v>
      </c>
      <c r="ET85" s="231">
        <v>1567061</v>
      </c>
      <c r="EU85" s="231">
        <v>579785172</v>
      </c>
      <c r="EV85" s="231">
        <v>2134811</v>
      </c>
      <c r="EW85" s="231">
        <v>2089957</v>
      </c>
      <c r="EX85" s="231">
        <v>44854</v>
      </c>
      <c r="EY85" s="229">
        <v>2.1499999999999998E-2</v>
      </c>
      <c r="EZ85" s="229">
        <v>0.26519999999999999</v>
      </c>
      <c r="FA85" s="227" t="s">
        <v>555</v>
      </c>
      <c r="FB85" s="161">
        <f t="shared" si="1"/>
        <v>4753000</v>
      </c>
    </row>
    <row r="86" spans="1:158" ht="17.25" hidden="1" thickBot="1" x14ac:dyDescent="0.3">
      <c r="A86" s="226">
        <v>45940</v>
      </c>
      <c r="B86" s="227" t="s">
        <v>175</v>
      </c>
      <c r="C86" s="227" t="s">
        <v>472</v>
      </c>
      <c r="D86" s="228">
        <v>325</v>
      </c>
      <c r="E86" s="231">
        <v>1866.3</v>
      </c>
      <c r="F86" s="231">
        <v>1883.9</v>
      </c>
      <c r="G86" s="228">
        <v>-17.600000000000001</v>
      </c>
      <c r="H86" s="229">
        <v>-9.2999999999999992E-3</v>
      </c>
      <c r="I86" s="231">
        <v>1862.8</v>
      </c>
      <c r="J86" s="231">
        <v>1882.7</v>
      </c>
      <c r="K86" s="228">
        <v>-19.899999999999999</v>
      </c>
      <c r="L86" s="229">
        <v>-1.06E-2</v>
      </c>
      <c r="M86" s="231">
        <v>1866.3</v>
      </c>
      <c r="N86" s="231">
        <v>1883.9</v>
      </c>
      <c r="O86" s="228">
        <v>-17.600000000000001</v>
      </c>
      <c r="P86" s="229">
        <v>-9.2999999999999992E-3</v>
      </c>
      <c r="Q86" s="231">
        <v>1875.4</v>
      </c>
      <c r="R86" s="231">
        <v>1898.3</v>
      </c>
      <c r="S86" s="228">
        <v>-22.9</v>
      </c>
      <c r="T86" s="229">
        <v>-1.21E-2</v>
      </c>
      <c r="U86" s="231">
        <v>1885.8</v>
      </c>
      <c r="V86" s="231">
        <v>1904</v>
      </c>
      <c r="W86" s="228">
        <v>-18.2</v>
      </c>
      <c r="X86" s="229">
        <v>-9.5999999999999992E-3</v>
      </c>
      <c r="Y86" s="228">
        <v>3.5</v>
      </c>
      <c r="Z86" s="228">
        <v>1.2</v>
      </c>
      <c r="AA86" s="228">
        <v>2.2999999999999998</v>
      </c>
      <c r="AB86" s="229">
        <v>1.9E-3</v>
      </c>
      <c r="AC86" s="228">
        <v>3.5</v>
      </c>
      <c r="AD86" s="228">
        <v>1.2</v>
      </c>
      <c r="AE86" s="228">
        <v>2.2999999999999998</v>
      </c>
      <c r="AF86" s="229">
        <v>1.9E-3</v>
      </c>
      <c r="AG86" s="228">
        <v>12.6</v>
      </c>
      <c r="AH86" s="228">
        <v>15.6</v>
      </c>
      <c r="AI86" s="228">
        <v>-3</v>
      </c>
      <c r="AJ86" s="229">
        <v>6.7999999999999996E-3</v>
      </c>
      <c r="AK86" s="228">
        <v>23</v>
      </c>
      <c r="AL86" s="228">
        <v>21.3</v>
      </c>
      <c r="AM86" s="228">
        <v>1.7</v>
      </c>
      <c r="AN86" s="229">
        <v>1.23E-2</v>
      </c>
      <c r="AO86" s="231">
        <v>1881.42</v>
      </c>
      <c r="AP86" s="231">
        <v>1883.85</v>
      </c>
      <c r="AQ86" s="228">
        <v>0</v>
      </c>
      <c r="AR86" s="230">
        <v>663650</v>
      </c>
      <c r="AS86" s="230">
        <v>765700</v>
      </c>
      <c r="AT86" s="230">
        <v>-102050</v>
      </c>
      <c r="AU86" s="229">
        <v>-0.1333</v>
      </c>
      <c r="AV86" s="230">
        <v>640900</v>
      </c>
      <c r="AW86" s="230">
        <v>736450</v>
      </c>
      <c r="AX86" s="230">
        <v>-95550</v>
      </c>
      <c r="AY86" s="229">
        <v>-0.12970000000000001</v>
      </c>
      <c r="AZ86" s="230">
        <v>18200</v>
      </c>
      <c r="BA86" s="230">
        <v>26650</v>
      </c>
      <c r="BB86" s="230">
        <v>-8450</v>
      </c>
      <c r="BC86" s="229">
        <v>-0.31709999999999999</v>
      </c>
      <c r="BD86" s="230">
        <v>4550</v>
      </c>
      <c r="BE86" s="230">
        <v>2600</v>
      </c>
      <c r="BF86" s="230">
        <v>1950</v>
      </c>
      <c r="BG86" s="229">
        <v>0.75</v>
      </c>
      <c r="BH86" s="230">
        <v>721175</v>
      </c>
      <c r="BI86" s="230">
        <v>1058525</v>
      </c>
      <c r="BJ86" s="230">
        <v>-337350</v>
      </c>
      <c r="BK86" s="229">
        <v>-0.31869999999999998</v>
      </c>
      <c r="BL86" s="230">
        <v>409500</v>
      </c>
      <c r="BM86" s="230">
        <v>487175</v>
      </c>
      <c r="BN86" s="230">
        <v>-77675</v>
      </c>
      <c r="BO86" s="229">
        <v>-0.15939999999999999</v>
      </c>
      <c r="BP86" s="230">
        <v>1794325</v>
      </c>
      <c r="BQ86" s="230">
        <v>2311400</v>
      </c>
      <c r="BR86" s="230">
        <v>-517075</v>
      </c>
      <c r="BS86" s="229">
        <v>-0.22370000000000001</v>
      </c>
      <c r="BT86" s="230">
        <v>317596</v>
      </c>
      <c r="BU86" s="230">
        <v>644296</v>
      </c>
      <c r="BV86" s="230">
        <v>-326700</v>
      </c>
      <c r="BW86" s="229">
        <v>-0.5071</v>
      </c>
      <c r="BX86" s="230">
        <v>5611450</v>
      </c>
      <c r="BY86" s="230">
        <v>5466175</v>
      </c>
      <c r="BZ86" s="230">
        <v>145275</v>
      </c>
      <c r="CA86" s="229">
        <v>2.6599999999999999E-2</v>
      </c>
      <c r="CB86" s="230">
        <v>5559775</v>
      </c>
      <c r="CC86" s="230">
        <v>5427175</v>
      </c>
      <c r="CD86" s="230">
        <v>132600</v>
      </c>
      <c r="CE86" s="229">
        <v>2.4400000000000002E-2</v>
      </c>
      <c r="CF86" s="230">
        <v>45175</v>
      </c>
      <c r="CG86" s="230">
        <v>37050</v>
      </c>
      <c r="CH86" s="230">
        <v>8125</v>
      </c>
      <c r="CI86" s="229">
        <v>0.21929999999999999</v>
      </c>
      <c r="CJ86" s="230">
        <v>6500</v>
      </c>
      <c r="CK86" s="230">
        <v>1950</v>
      </c>
      <c r="CL86" s="230">
        <v>4550</v>
      </c>
      <c r="CM86" s="229">
        <v>2.3332999999999999</v>
      </c>
      <c r="CN86" s="230">
        <v>1104025</v>
      </c>
      <c r="CO86" s="230">
        <v>1010100</v>
      </c>
      <c r="CP86" s="230">
        <v>93925</v>
      </c>
      <c r="CQ86" s="229">
        <v>9.2999999999999999E-2</v>
      </c>
      <c r="CR86" s="230">
        <v>701350</v>
      </c>
      <c r="CS86" s="230">
        <v>687700</v>
      </c>
      <c r="CT86" s="230">
        <v>13650</v>
      </c>
      <c r="CU86" s="229">
        <v>1.9800000000000002E-2</v>
      </c>
      <c r="CV86" s="230">
        <v>7416825</v>
      </c>
      <c r="CW86" s="230">
        <v>7163975</v>
      </c>
      <c r="CX86" s="230">
        <v>252850</v>
      </c>
      <c r="CY86" s="229">
        <v>3.5299999999999998E-2</v>
      </c>
      <c r="CZ86" s="228">
        <v>26.5</v>
      </c>
      <c r="DA86" s="228">
        <v>26.61</v>
      </c>
      <c r="DB86" s="228">
        <v>-0.11</v>
      </c>
      <c r="DC86" s="228">
        <v>-0.11</v>
      </c>
      <c r="DD86" s="228">
        <v>28.14</v>
      </c>
      <c r="DE86" s="228">
        <v>28.17</v>
      </c>
      <c r="DF86" s="228">
        <v>-1.64</v>
      </c>
      <c r="DG86" s="228">
        <v>-0.03</v>
      </c>
      <c r="DH86" s="228">
        <v>26.78</v>
      </c>
      <c r="DI86" s="228">
        <v>26.57</v>
      </c>
      <c r="DJ86" s="228">
        <v>0.21</v>
      </c>
      <c r="DK86" s="228">
        <v>0.21</v>
      </c>
      <c r="DL86" s="228">
        <v>26.01</v>
      </c>
      <c r="DM86" s="228">
        <v>26.71</v>
      </c>
      <c r="DN86" s="228">
        <v>-0.7</v>
      </c>
      <c r="DO86" s="228">
        <v>-0.7</v>
      </c>
      <c r="DP86" s="228">
        <v>0.64</v>
      </c>
      <c r="DQ86" s="228">
        <v>0.68</v>
      </c>
      <c r="DR86" s="228">
        <v>-0.04</v>
      </c>
      <c r="DS86" s="229">
        <v>-5.8799999999999998E-2</v>
      </c>
      <c r="DT86" s="231">
        <v>1900</v>
      </c>
      <c r="DU86" s="231">
        <v>1900</v>
      </c>
      <c r="DV86" s="228">
        <v>0.56999999999999995</v>
      </c>
      <c r="DW86" s="228">
        <v>0.46</v>
      </c>
      <c r="DX86" s="228">
        <v>0.11</v>
      </c>
      <c r="DY86" s="229">
        <v>0.23910000000000001</v>
      </c>
      <c r="DZ86" s="229">
        <v>9.1999999999999998E-3</v>
      </c>
      <c r="EA86" s="230">
        <v>39000</v>
      </c>
      <c r="EB86" s="229">
        <v>4.8999999999999998E-3</v>
      </c>
      <c r="EC86" s="229">
        <v>9.1999999999999998E-3</v>
      </c>
      <c r="ED86" s="228">
        <v>2.4300000000000002</v>
      </c>
      <c r="EE86" s="229">
        <v>1.2999999999999999E-3</v>
      </c>
      <c r="EF86" s="230">
        <v>201356</v>
      </c>
      <c r="EG86" s="230">
        <v>419191</v>
      </c>
      <c r="EH86" s="229">
        <v>-0.51970000000000005</v>
      </c>
      <c r="EI86" s="229">
        <v>0.63400000000000001</v>
      </c>
      <c r="EJ86" s="231">
        <v>14151.6</v>
      </c>
      <c r="EK86" s="231">
        <v>7716</v>
      </c>
      <c r="EL86" s="231">
        <v>12486.68</v>
      </c>
      <c r="EM86" s="231">
        <v>1710</v>
      </c>
      <c r="EN86" s="231">
        <v>34354.28</v>
      </c>
      <c r="EO86" s="231">
        <v>44199.43</v>
      </c>
      <c r="EP86" s="231">
        <v>-9845.15</v>
      </c>
      <c r="EQ86" s="229">
        <v>-0.22270000000000001</v>
      </c>
      <c r="ER86" s="231">
        <v>21720</v>
      </c>
      <c r="ES86" s="231">
        <v>13004</v>
      </c>
      <c r="ET86" s="231">
        <v>104732</v>
      </c>
      <c r="EU86" s="231">
        <v>26688038</v>
      </c>
      <c r="EV86" s="231">
        <v>139457</v>
      </c>
      <c r="EW86" s="231">
        <v>135632</v>
      </c>
      <c r="EX86" s="231">
        <v>3825</v>
      </c>
      <c r="EY86" s="229">
        <v>2.8199999999999999E-2</v>
      </c>
      <c r="EZ86" s="229">
        <v>0.27789999999999998</v>
      </c>
      <c r="FA86" s="227" t="s">
        <v>567</v>
      </c>
      <c r="FB86" s="161">
        <f t="shared" si="1"/>
        <v>51675</v>
      </c>
    </row>
    <row r="87" spans="1:158" ht="17.25" hidden="1" thickBot="1" x14ac:dyDescent="0.3">
      <c r="A87" s="226">
        <v>45940</v>
      </c>
      <c r="B87" s="227" t="s">
        <v>175</v>
      </c>
      <c r="C87" s="227" t="s">
        <v>233</v>
      </c>
      <c r="D87" s="228">
        <v>925</v>
      </c>
      <c r="E87" s="228">
        <v>601.1</v>
      </c>
      <c r="F87" s="228">
        <v>596.75</v>
      </c>
      <c r="G87" s="228">
        <v>4.3499999999999996</v>
      </c>
      <c r="H87" s="229">
        <v>7.3000000000000001E-3</v>
      </c>
      <c r="I87" s="228">
        <v>597.70000000000005</v>
      </c>
      <c r="J87" s="228">
        <v>593.4</v>
      </c>
      <c r="K87" s="228">
        <v>4.3</v>
      </c>
      <c r="L87" s="229">
        <v>7.1999999999999998E-3</v>
      </c>
      <c r="M87" s="228">
        <v>601.1</v>
      </c>
      <c r="N87" s="228">
        <v>596.75</v>
      </c>
      <c r="O87" s="228">
        <v>4.3499999999999996</v>
      </c>
      <c r="P87" s="229">
        <v>7.3000000000000001E-3</v>
      </c>
      <c r="Q87" s="228">
        <v>604.25</v>
      </c>
      <c r="R87" s="228">
        <v>600.20000000000005</v>
      </c>
      <c r="S87" s="228">
        <v>4.05</v>
      </c>
      <c r="T87" s="229">
        <v>6.7000000000000002E-3</v>
      </c>
      <c r="U87" s="228">
        <v>608.4</v>
      </c>
      <c r="V87" s="228">
        <v>603.54999999999995</v>
      </c>
      <c r="W87" s="228">
        <v>4.8499999999999996</v>
      </c>
      <c r="X87" s="229">
        <v>8.0000000000000002E-3</v>
      </c>
      <c r="Y87" s="228">
        <v>3.4</v>
      </c>
      <c r="Z87" s="228">
        <v>3.35</v>
      </c>
      <c r="AA87" s="228">
        <v>0.05</v>
      </c>
      <c r="AB87" s="229">
        <v>5.7000000000000002E-3</v>
      </c>
      <c r="AC87" s="228">
        <v>3.4</v>
      </c>
      <c r="AD87" s="228">
        <v>3.35</v>
      </c>
      <c r="AE87" s="228">
        <v>0.05</v>
      </c>
      <c r="AF87" s="229">
        <v>5.7000000000000002E-3</v>
      </c>
      <c r="AG87" s="228">
        <v>6.55</v>
      </c>
      <c r="AH87" s="228">
        <v>6.8</v>
      </c>
      <c r="AI87" s="228">
        <v>-0.25</v>
      </c>
      <c r="AJ87" s="229">
        <v>1.0999999999999999E-2</v>
      </c>
      <c r="AK87" s="228">
        <v>10.7</v>
      </c>
      <c r="AL87" s="228">
        <v>10.15</v>
      </c>
      <c r="AM87" s="228">
        <v>0.55000000000000004</v>
      </c>
      <c r="AN87" s="229">
        <v>1.7899999999999999E-2</v>
      </c>
      <c r="AO87" s="228">
        <v>603.97</v>
      </c>
      <c r="AP87" s="228">
        <v>607.76</v>
      </c>
      <c r="AQ87" s="228">
        <v>0</v>
      </c>
      <c r="AR87" s="230">
        <v>1721425</v>
      </c>
      <c r="AS87" s="230">
        <v>878750</v>
      </c>
      <c r="AT87" s="230">
        <v>842675</v>
      </c>
      <c r="AU87" s="229">
        <v>0.95889999999999997</v>
      </c>
      <c r="AV87" s="230">
        <v>1606725</v>
      </c>
      <c r="AW87" s="230">
        <v>829725</v>
      </c>
      <c r="AX87" s="230">
        <v>777000</v>
      </c>
      <c r="AY87" s="229">
        <v>0.9365</v>
      </c>
      <c r="AZ87" s="230">
        <v>97125</v>
      </c>
      <c r="BA87" s="230">
        <v>40700</v>
      </c>
      <c r="BB87" s="230">
        <v>56425</v>
      </c>
      <c r="BC87" s="229">
        <v>1.3864000000000001</v>
      </c>
      <c r="BD87" s="230">
        <v>17575</v>
      </c>
      <c r="BE87" s="230">
        <v>8325</v>
      </c>
      <c r="BF87" s="230">
        <v>9250</v>
      </c>
      <c r="BG87" s="229">
        <v>1.1111</v>
      </c>
      <c r="BH87" s="230">
        <v>3190325</v>
      </c>
      <c r="BI87" s="230">
        <v>1567875</v>
      </c>
      <c r="BJ87" s="230">
        <v>1622450</v>
      </c>
      <c r="BK87" s="229">
        <v>1.0347999999999999</v>
      </c>
      <c r="BL87" s="230">
        <v>1196025</v>
      </c>
      <c r="BM87" s="230">
        <v>514300</v>
      </c>
      <c r="BN87" s="230">
        <v>681725</v>
      </c>
      <c r="BO87" s="229">
        <v>1.3254999999999999</v>
      </c>
      <c r="BP87" s="230">
        <v>6107775</v>
      </c>
      <c r="BQ87" s="230">
        <v>2960925</v>
      </c>
      <c r="BR87" s="230">
        <v>3146850</v>
      </c>
      <c r="BS87" s="229">
        <v>1.0628</v>
      </c>
      <c r="BT87" s="230">
        <v>854677</v>
      </c>
      <c r="BU87" s="230">
        <v>472659</v>
      </c>
      <c r="BV87" s="230">
        <v>382018</v>
      </c>
      <c r="BW87" s="229">
        <v>0.80820000000000003</v>
      </c>
      <c r="BX87" s="230">
        <v>11643900</v>
      </c>
      <c r="BY87" s="230">
        <v>11723450</v>
      </c>
      <c r="BZ87" s="230">
        <v>-79550</v>
      </c>
      <c r="CA87" s="229">
        <v>-6.7999999999999996E-3</v>
      </c>
      <c r="CB87" s="230">
        <v>11392300</v>
      </c>
      <c r="CC87" s="230">
        <v>11470925</v>
      </c>
      <c r="CD87" s="230">
        <v>-78625</v>
      </c>
      <c r="CE87" s="229">
        <v>-6.8999999999999999E-3</v>
      </c>
      <c r="CF87" s="230">
        <v>232175</v>
      </c>
      <c r="CG87" s="230">
        <v>223850</v>
      </c>
      <c r="CH87" s="230">
        <v>8325</v>
      </c>
      <c r="CI87" s="229">
        <v>3.7199999999999997E-2</v>
      </c>
      <c r="CJ87" s="230">
        <v>19425</v>
      </c>
      <c r="CK87" s="230">
        <v>28675</v>
      </c>
      <c r="CL87" s="230">
        <v>-9250</v>
      </c>
      <c r="CM87" s="229">
        <v>-0.3226</v>
      </c>
      <c r="CN87" s="230">
        <v>3251375</v>
      </c>
      <c r="CO87" s="230">
        <v>2988675</v>
      </c>
      <c r="CP87" s="230">
        <v>262700</v>
      </c>
      <c r="CQ87" s="229">
        <v>8.7900000000000006E-2</v>
      </c>
      <c r="CR87" s="230">
        <v>1978575</v>
      </c>
      <c r="CS87" s="230">
        <v>2048875</v>
      </c>
      <c r="CT87" s="230">
        <v>-70300</v>
      </c>
      <c r="CU87" s="229">
        <v>-3.4299999999999997E-2</v>
      </c>
      <c r="CV87" s="230">
        <v>16873850</v>
      </c>
      <c r="CW87" s="230">
        <v>16761000</v>
      </c>
      <c r="CX87" s="230">
        <v>112850</v>
      </c>
      <c r="CY87" s="229">
        <v>6.7000000000000002E-3</v>
      </c>
      <c r="CZ87" s="228">
        <v>27.02</v>
      </c>
      <c r="DA87" s="228">
        <v>27.91</v>
      </c>
      <c r="DB87" s="228">
        <v>-0.89</v>
      </c>
      <c r="DC87" s="228">
        <v>-0.89</v>
      </c>
      <c r="DD87" s="228">
        <v>28.28</v>
      </c>
      <c r="DE87" s="228">
        <v>28.33</v>
      </c>
      <c r="DF87" s="228">
        <v>-1.26</v>
      </c>
      <c r="DG87" s="228">
        <v>-0.05</v>
      </c>
      <c r="DH87" s="228">
        <v>26.99</v>
      </c>
      <c r="DI87" s="228">
        <v>27.91</v>
      </c>
      <c r="DJ87" s="228">
        <v>-0.92</v>
      </c>
      <c r="DK87" s="228">
        <v>-0.92</v>
      </c>
      <c r="DL87" s="228">
        <v>27.08</v>
      </c>
      <c r="DM87" s="228">
        <v>27.93</v>
      </c>
      <c r="DN87" s="228">
        <v>-0.85</v>
      </c>
      <c r="DO87" s="228">
        <v>-0.85</v>
      </c>
      <c r="DP87" s="228">
        <v>0.61</v>
      </c>
      <c r="DQ87" s="228">
        <v>0.69</v>
      </c>
      <c r="DR87" s="228">
        <v>-0.08</v>
      </c>
      <c r="DS87" s="229">
        <v>-0.1159</v>
      </c>
      <c r="DT87" s="228">
        <v>620</v>
      </c>
      <c r="DU87" s="228">
        <v>600</v>
      </c>
      <c r="DV87" s="228">
        <v>0.37</v>
      </c>
      <c r="DW87" s="228">
        <v>0.33</v>
      </c>
      <c r="DX87" s="228">
        <v>0.04</v>
      </c>
      <c r="DY87" s="229">
        <v>0.1212</v>
      </c>
      <c r="DZ87" s="229">
        <v>2.1600000000000001E-2</v>
      </c>
      <c r="EA87" s="230">
        <v>252525</v>
      </c>
      <c r="EB87" s="229">
        <v>5.1999999999999998E-3</v>
      </c>
      <c r="EC87" s="229">
        <v>2.1600000000000001E-2</v>
      </c>
      <c r="ED87" s="228">
        <v>3.79</v>
      </c>
      <c r="EE87" s="229">
        <v>6.3E-3</v>
      </c>
      <c r="EF87" s="230">
        <v>463953</v>
      </c>
      <c r="EG87" s="230">
        <v>303403</v>
      </c>
      <c r="EH87" s="229">
        <v>0.5292</v>
      </c>
      <c r="EI87" s="229">
        <v>0.54279999999999995</v>
      </c>
      <c r="EJ87" s="231">
        <v>20032.03</v>
      </c>
      <c r="EK87" s="231">
        <v>7073.04</v>
      </c>
      <c r="EL87" s="231">
        <v>10401.73</v>
      </c>
      <c r="EM87" s="231">
        <v>1538</v>
      </c>
      <c r="EN87" s="231">
        <v>37506.800000000003</v>
      </c>
      <c r="EO87" s="231">
        <v>18087.12</v>
      </c>
      <c r="EP87" s="231">
        <v>19419.68</v>
      </c>
      <c r="EQ87" s="229">
        <v>1.0737000000000001</v>
      </c>
      <c r="ER87" s="231">
        <v>20350</v>
      </c>
      <c r="ES87" s="231">
        <v>11580</v>
      </c>
      <c r="ET87" s="231">
        <v>70000</v>
      </c>
      <c r="EU87" s="231">
        <v>48653643</v>
      </c>
      <c r="EV87" s="231">
        <v>101930</v>
      </c>
      <c r="EW87" s="231">
        <v>100628</v>
      </c>
      <c r="EX87" s="231">
        <v>1302</v>
      </c>
      <c r="EY87" s="229">
        <v>1.29E-2</v>
      </c>
      <c r="EZ87" s="229">
        <v>0.3468</v>
      </c>
      <c r="FA87" s="227" t="s">
        <v>556</v>
      </c>
      <c r="FB87" s="161">
        <f t="shared" si="1"/>
        <v>251600</v>
      </c>
    </row>
    <row r="88" spans="1:158" ht="17.25" hidden="1" thickBot="1" x14ac:dyDescent="0.3">
      <c r="A88" s="226">
        <v>45940</v>
      </c>
      <c r="B88" s="227" t="s">
        <v>188</v>
      </c>
      <c r="C88" s="227" t="s">
        <v>234</v>
      </c>
      <c r="D88" s="228">
        <v>71475</v>
      </c>
      <c r="E88" s="228">
        <v>9.08</v>
      </c>
      <c r="F88" s="228">
        <v>9.06</v>
      </c>
      <c r="G88" s="228">
        <v>0.02</v>
      </c>
      <c r="H88" s="229">
        <v>2.2000000000000001E-3</v>
      </c>
      <c r="I88" s="228">
        <v>9.0399999999999991</v>
      </c>
      <c r="J88" s="228">
        <v>9.0299999999999994</v>
      </c>
      <c r="K88" s="228">
        <v>0.01</v>
      </c>
      <c r="L88" s="229">
        <v>1.1000000000000001E-3</v>
      </c>
      <c r="M88" s="228">
        <v>9.08</v>
      </c>
      <c r="N88" s="228">
        <v>9.06</v>
      </c>
      <c r="O88" s="228">
        <v>0.02</v>
      </c>
      <c r="P88" s="229">
        <v>2.2000000000000001E-3</v>
      </c>
      <c r="Q88" s="228">
        <v>9.15</v>
      </c>
      <c r="R88" s="228">
        <v>9.11</v>
      </c>
      <c r="S88" s="228">
        <v>0.04</v>
      </c>
      <c r="T88" s="229">
        <v>4.4000000000000003E-3</v>
      </c>
      <c r="U88" s="228">
        <v>9.19</v>
      </c>
      <c r="V88" s="228">
        <v>9.18</v>
      </c>
      <c r="W88" s="228">
        <v>0.01</v>
      </c>
      <c r="X88" s="229">
        <v>1.1000000000000001E-3</v>
      </c>
      <c r="Y88" s="228">
        <v>0.04</v>
      </c>
      <c r="Z88" s="228">
        <v>0.03</v>
      </c>
      <c r="AA88" s="228">
        <v>0.01</v>
      </c>
      <c r="AB88" s="229">
        <v>4.4000000000000003E-3</v>
      </c>
      <c r="AC88" s="228">
        <v>0.04</v>
      </c>
      <c r="AD88" s="228">
        <v>0.03</v>
      </c>
      <c r="AE88" s="228">
        <v>0.01</v>
      </c>
      <c r="AF88" s="229">
        <v>4.4000000000000003E-3</v>
      </c>
      <c r="AG88" s="228">
        <v>0.11</v>
      </c>
      <c r="AH88" s="228">
        <v>0.08</v>
      </c>
      <c r="AI88" s="228">
        <v>0.03</v>
      </c>
      <c r="AJ88" s="229">
        <v>1.2200000000000001E-2</v>
      </c>
      <c r="AK88" s="228">
        <v>0.15</v>
      </c>
      <c r="AL88" s="228">
        <v>0.15</v>
      </c>
      <c r="AM88" s="228">
        <v>0</v>
      </c>
      <c r="AN88" s="229">
        <v>1.66E-2</v>
      </c>
      <c r="AO88" s="228">
        <v>9.1300000000000008</v>
      </c>
      <c r="AP88" s="228">
        <v>9.18</v>
      </c>
      <c r="AQ88" s="228">
        <v>0</v>
      </c>
      <c r="AR88" s="230">
        <v>724970925</v>
      </c>
      <c r="AS88" s="230">
        <v>684444600</v>
      </c>
      <c r="AT88" s="230">
        <v>40526325</v>
      </c>
      <c r="AU88" s="229">
        <v>5.9200000000000003E-2</v>
      </c>
      <c r="AV88" s="230">
        <v>612755175</v>
      </c>
      <c r="AW88" s="230">
        <v>572586225</v>
      </c>
      <c r="AX88" s="230">
        <v>40168950</v>
      </c>
      <c r="AY88" s="229">
        <v>7.0199999999999999E-2</v>
      </c>
      <c r="AZ88" s="230">
        <v>95633550</v>
      </c>
      <c r="BA88" s="230">
        <v>87699825</v>
      </c>
      <c r="BB88" s="230">
        <v>7933725</v>
      </c>
      <c r="BC88" s="229">
        <v>9.0499999999999997E-2</v>
      </c>
      <c r="BD88" s="230">
        <v>16582200</v>
      </c>
      <c r="BE88" s="230">
        <v>24158550</v>
      </c>
      <c r="BF88" s="230">
        <v>-7576350</v>
      </c>
      <c r="BG88" s="229">
        <v>-0.31359999999999999</v>
      </c>
      <c r="BH88" s="230">
        <v>1397407725</v>
      </c>
      <c r="BI88" s="230">
        <v>1256816400</v>
      </c>
      <c r="BJ88" s="230">
        <v>140591325</v>
      </c>
      <c r="BK88" s="229">
        <v>0.1119</v>
      </c>
      <c r="BL88" s="230">
        <v>450435450</v>
      </c>
      <c r="BM88" s="230">
        <v>419629725</v>
      </c>
      <c r="BN88" s="230">
        <v>30805725</v>
      </c>
      <c r="BO88" s="229">
        <v>7.3400000000000007E-2</v>
      </c>
      <c r="BP88" s="230">
        <v>2572814100</v>
      </c>
      <c r="BQ88" s="230">
        <v>2360890725</v>
      </c>
      <c r="BR88" s="230">
        <v>211923375</v>
      </c>
      <c r="BS88" s="229">
        <v>8.9800000000000005E-2</v>
      </c>
      <c r="BT88" s="230">
        <v>760669525</v>
      </c>
      <c r="BU88" s="230">
        <v>805687790</v>
      </c>
      <c r="BV88" s="230">
        <v>-45018265</v>
      </c>
      <c r="BW88" s="229">
        <v>-5.5899999999999998E-2</v>
      </c>
      <c r="BX88" s="230">
        <v>6287226900</v>
      </c>
      <c r="BY88" s="230">
        <v>6363490725</v>
      </c>
      <c r="BZ88" s="230">
        <v>-76263825</v>
      </c>
      <c r="CA88" s="229">
        <v>-1.2E-2</v>
      </c>
      <c r="CB88" s="230">
        <v>5799267075</v>
      </c>
      <c r="CC88" s="230">
        <v>5921846700</v>
      </c>
      <c r="CD88" s="230">
        <v>-122579625</v>
      </c>
      <c r="CE88" s="229">
        <v>-2.07E-2</v>
      </c>
      <c r="CF88" s="230">
        <v>428492625</v>
      </c>
      <c r="CG88" s="230">
        <v>384178125</v>
      </c>
      <c r="CH88" s="230">
        <v>44314500</v>
      </c>
      <c r="CI88" s="229">
        <v>0.1153</v>
      </c>
      <c r="CJ88" s="230">
        <v>59467200</v>
      </c>
      <c r="CK88" s="230">
        <v>57465900</v>
      </c>
      <c r="CL88" s="230">
        <v>2001300</v>
      </c>
      <c r="CM88" s="229">
        <v>3.4799999999999998E-2</v>
      </c>
      <c r="CN88" s="230">
        <v>2232593100</v>
      </c>
      <c r="CO88" s="230">
        <v>2132742525</v>
      </c>
      <c r="CP88" s="230">
        <v>99850575</v>
      </c>
      <c r="CQ88" s="229">
        <v>4.6800000000000001E-2</v>
      </c>
      <c r="CR88" s="230">
        <v>1233729975</v>
      </c>
      <c r="CS88" s="230">
        <v>1208356350</v>
      </c>
      <c r="CT88" s="230">
        <v>25373625</v>
      </c>
      <c r="CU88" s="229">
        <v>2.1000000000000001E-2</v>
      </c>
      <c r="CV88" s="230">
        <v>9753549975</v>
      </c>
      <c r="CW88" s="230">
        <v>9704589600</v>
      </c>
      <c r="CX88" s="230">
        <v>48960375</v>
      </c>
      <c r="CY88" s="229">
        <v>5.0000000000000001E-3</v>
      </c>
      <c r="CZ88" s="228">
        <v>76.13</v>
      </c>
      <c r="DA88" s="228">
        <v>79.91</v>
      </c>
      <c r="DB88" s="228">
        <v>-3.78</v>
      </c>
      <c r="DC88" s="228">
        <v>-3.78</v>
      </c>
      <c r="DD88" s="228">
        <v>68.33</v>
      </c>
      <c r="DE88" s="228">
        <v>68.5</v>
      </c>
      <c r="DF88" s="228">
        <v>7.8</v>
      </c>
      <c r="DG88" s="228">
        <v>-0.17</v>
      </c>
      <c r="DH88" s="228">
        <v>77.66</v>
      </c>
      <c r="DI88" s="228">
        <v>81.16</v>
      </c>
      <c r="DJ88" s="228">
        <v>-3.5</v>
      </c>
      <c r="DK88" s="228">
        <v>-3.5</v>
      </c>
      <c r="DL88" s="228">
        <v>71.38</v>
      </c>
      <c r="DM88" s="228">
        <v>76.19</v>
      </c>
      <c r="DN88" s="228">
        <v>-4.8099999999999996</v>
      </c>
      <c r="DO88" s="228">
        <v>-4.8099999999999996</v>
      </c>
      <c r="DP88" s="228">
        <v>0.55000000000000004</v>
      </c>
      <c r="DQ88" s="228">
        <v>0.56999999999999995</v>
      </c>
      <c r="DR88" s="228">
        <v>-0.02</v>
      </c>
      <c r="DS88" s="229">
        <v>-3.5099999999999999E-2</v>
      </c>
      <c r="DT88" s="228">
        <v>10</v>
      </c>
      <c r="DU88" s="228">
        <v>7</v>
      </c>
      <c r="DV88" s="228">
        <v>0.32</v>
      </c>
      <c r="DW88" s="228">
        <v>0.33</v>
      </c>
      <c r="DX88" s="228">
        <v>-0.01</v>
      </c>
      <c r="DY88" s="229">
        <v>-3.0300000000000001E-2</v>
      </c>
      <c r="DZ88" s="229">
        <v>7.7600000000000002E-2</v>
      </c>
      <c r="EA88" s="230">
        <v>441644025</v>
      </c>
      <c r="EB88" s="229">
        <v>7.7000000000000002E-3</v>
      </c>
      <c r="EC88" s="229">
        <v>7.7600000000000002E-2</v>
      </c>
      <c r="ED88" s="228">
        <v>0.05</v>
      </c>
      <c r="EE88" s="229">
        <v>5.4999999999999997E-3</v>
      </c>
      <c r="EF88" s="230">
        <v>213672162</v>
      </c>
      <c r="EG88" s="230">
        <v>188738152</v>
      </c>
      <c r="EH88" s="229">
        <v>0.1321</v>
      </c>
      <c r="EI88" s="229">
        <v>0.28089999999999998</v>
      </c>
      <c r="EJ88" s="231">
        <v>145795.60999999999</v>
      </c>
      <c r="EK88" s="231">
        <v>39274.69</v>
      </c>
      <c r="EL88" s="231">
        <v>66271.92</v>
      </c>
      <c r="EM88" s="231">
        <v>17676</v>
      </c>
      <c r="EN88" s="231">
        <v>251342.22</v>
      </c>
      <c r="EO88" s="231">
        <v>230976.63</v>
      </c>
      <c r="EP88" s="231">
        <v>20365.59</v>
      </c>
      <c r="EQ88" s="229">
        <v>8.8200000000000001E-2</v>
      </c>
      <c r="ER88" s="231">
        <v>224155</v>
      </c>
      <c r="ES88" s="231">
        <v>93698</v>
      </c>
      <c r="ET88" s="231">
        <v>571246</v>
      </c>
      <c r="EU88" s="231">
        <v>8713529091</v>
      </c>
      <c r="EV88" s="231">
        <v>889098</v>
      </c>
      <c r="EW88" s="231">
        <v>882817</v>
      </c>
      <c r="EX88" s="231">
        <v>6281</v>
      </c>
      <c r="EY88" s="229">
        <v>7.1000000000000004E-3</v>
      </c>
      <c r="EZ88" s="229">
        <v>1.1194</v>
      </c>
      <c r="FA88" s="227" t="s">
        <v>556</v>
      </c>
      <c r="FB88" s="161">
        <f t="shared" si="1"/>
        <v>487959825</v>
      </c>
    </row>
    <row r="89" spans="1:158" ht="17.25" hidden="1" thickBot="1" x14ac:dyDescent="0.3">
      <c r="A89" s="226">
        <v>45940</v>
      </c>
      <c r="B89" s="227" t="s">
        <v>172</v>
      </c>
      <c r="C89" s="227" t="s">
        <v>235</v>
      </c>
      <c r="D89" s="228">
        <v>9275</v>
      </c>
      <c r="E89" s="228">
        <v>74.62</v>
      </c>
      <c r="F89" s="228">
        <v>73.709999999999994</v>
      </c>
      <c r="G89" s="228">
        <v>0.91</v>
      </c>
      <c r="H89" s="229">
        <v>1.23E-2</v>
      </c>
      <c r="I89" s="228">
        <v>74.430000000000007</v>
      </c>
      <c r="J89" s="228">
        <v>73.45</v>
      </c>
      <c r="K89" s="228">
        <v>0.98</v>
      </c>
      <c r="L89" s="229">
        <v>1.3299999999999999E-2</v>
      </c>
      <c r="M89" s="228">
        <v>74.62</v>
      </c>
      <c r="N89" s="228">
        <v>73.709999999999994</v>
      </c>
      <c r="O89" s="228">
        <v>0.91</v>
      </c>
      <c r="P89" s="229">
        <v>1.23E-2</v>
      </c>
      <c r="Q89" s="228">
        <v>75.03</v>
      </c>
      <c r="R89" s="228">
        <v>74.099999999999994</v>
      </c>
      <c r="S89" s="228">
        <v>0.93</v>
      </c>
      <c r="T89" s="229">
        <v>1.26E-2</v>
      </c>
      <c r="U89" s="228">
        <v>75.44</v>
      </c>
      <c r="V89" s="228">
        <v>74.510000000000005</v>
      </c>
      <c r="W89" s="228">
        <v>0.93</v>
      </c>
      <c r="X89" s="229">
        <v>1.2500000000000001E-2</v>
      </c>
      <c r="Y89" s="228">
        <v>0.19</v>
      </c>
      <c r="Z89" s="228">
        <v>0.26</v>
      </c>
      <c r="AA89" s="228">
        <v>-7.0000000000000007E-2</v>
      </c>
      <c r="AB89" s="229">
        <v>2.5999999999999999E-3</v>
      </c>
      <c r="AC89" s="228">
        <v>0.19</v>
      </c>
      <c r="AD89" s="228">
        <v>0.26</v>
      </c>
      <c r="AE89" s="228">
        <v>-7.0000000000000007E-2</v>
      </c>
      <c r="AF89" s="229">
        <v>2.5999999999999999E-3</v>
      </c>
      <c r="AG89" s="228">
        <v>0.6</v>
      </c>
      <c r="AH89" s="228">
        <v>0.65</v>
      </c>
      <c r="AI89" s="228">
        <v>-0.05</v>
      </c>
      <c r="AJ89" s="229">
        <v>8.0999999999999996E-3</v>
      </c>
      <c r="AK89" s="228">
        <v>1.01</v>
      </c>
      <c r="AL89" s="228">
        <v>1.06</v>
      </c>
      <c r="AM89" s="228">
        <v>-0.05</v>
      </c>
      <c r="AN89" s="229">
        <v>1.3599999999999999E-2</v>
      </c>
      <c r="AO89" s="228">
        <v>74.2</v>
      </c>
      <c r="AP89" s="228">
        <v>74.55</v>
      </c>
      <c r="AQ89" s="228">
        <v>0</v>
      </c>
      <c r="AR89" s="230">
        <v>73782625</v>
      </c>
      <c r="AS89" s="230">
        <v>53924850</v>
      </c>
      <c r="AT89" s="230">
        <v>19857775</v>
      </c>
      <c r="AU89" s="229">
        <v>0.36820000000000003</v>
      </c>
      <c r="AV89" s="230">
        <v>65416575</v>
      </c>
      <c r="AW89" s="230">
        <v>48591725</v>
      </c>
      <c r="AX89" s="230">
        <v>16824850</v>
      </c>
      <c r="AY89" s="229">
        <v>0.34620000000000001</v>
      </c>
      <c r="AZ89" s="230">
        <v>7151025</v>
      </c>
      <c r="BA89" s="230">
        <v>4368525</v>
      </c>
      <c r="BB89" s="230">
        <v>2782500</v>
      </c>
      <c r="BC89" s="229">
        <v>0.63690000000000002</v>
      </c>
      <c r="BD89" s="230">
        <v>1215025</v>
      </c>
      <c r="BE89" s="230">
        <v>964600</v>
      </c>
      <c r="BF89" s="230">
        <v>250425</v>
      </c>
      <c r="BG89" s="229">
        <v>0.2596</v>
      </c>
      <c r="BH89" s="230">
        <v>269002825</v>
      </c>
      <c r="BI89" s="230">
        <v>136963925</v>
      </c>
      <c r="BJ89" s="230">
        <v>132038900</v>
      </c>
      <c r="BK89" s="229">
        <v>0.96399999999999997</v>
      </c>
      <c r="BL89" s="230">
        <v>98472675</v>
      </c>
      <c r="BM89" s="230">
        <v>100707950</v>
      </c>
      <c r="BN89" s="230">
        <v>-2235275</v>
      </c>
      <c r="BO89" s="229">
        <v>-2.2200000000000001E-2</v>
      </c>
      <c r="BP89" s="230">
        <v>441258125</v>
      </c>
      <c r="BQ89" s="230">
        <v>291596725</v>
      </c>
      <c r="BR89" s="230">
        <v>149661400</v>
      </c>
      <c r="BS89" s="229">
        <v>0.51319999999999999</v>
      </c>
      <c r="BT89" s="230">
        <v>35966478</v>
      </c>
      <c r="BU89" s="230">
        <v>25082369</v>
      </c>
      <c r="BV89" s="230">
        <v>10884109</v>
      </c>
      <c r="BW89" s="229">
        <v>0.43390000000000001</v>
      </c>
      <c r="BX89" s="230">
        <v>404742450</v>
      </c>
      <c r="BY89" s="230">
        <v>401867200</v>
      </c>
      <c r="BZ89" s="230">
        <v>2875250</v>
      </c>
      <c r="CA89" s="229">
        <v>7.1999999999999998E-3</v>
      </c>
      <c r="CB89" s="230">
        <v>379291850</v>
      </c>
      <c r="CC89" s="230">
        <v>378076825</v>
      </c>
      <c r="CD89" s="230">
        <v>1215025</v>
      </c>
      <c r="CE89" s="229">
        <v>3.2000000000000002E-3</v>
      </c>
      <c r="CF89" s="230">
        <v>22816500</v>
      </c>
      <c r="CG89" s="230">
        <v>21527275</v>
      </c>
      <c r="CH89" s="230">
        <v>1289225</v>
      </c>
      <c r="CI89" s="229">
        <v>5.9900000000000002E-2</v>
      </c>
      <c r="CJ89" s="230">
        <v>2634100</v>
      </c>
      <c r="CK89" s="230">
        <v>2263100</v>
      </c>
      <c r="CL89" s="230">
        <v>371000</v>
      </c>
      <c r="CM89" s="229">
        <v>0.16389999999999999</v>
      </c>
      <c r="CN89" s="230">
        <v>136147725</v>
      </c>
      <c r="CO89" s="230">
        <v>122402175</v>
      </c>
      <c r="CP89" s="230">
        <v>13745550</v>
      </c>
      <c r="CQ89" s="229">
        <v>0.1123</v>
      </c>
      <c r="CR89" s="230">
        <v>94707025</v>
      </c>
      <c r="CS89" s="230">
        <v>95105850</v>
      </c>
      <c r="CT89" s="230">
        <v>-398825</v>
      </c>
      <c r="CU89" s="229">
        <v>-4.1999999999999997E-3</v>
      </c>
      <c r="CV89" s="230">
        <v>635597200</v>
      </c>
      <c r="CW89" s="230">
        <v>619375225</v>
      </c>
      <c r="CX89" s="230">
        <v>16221975</v>
      </c>
      <c r="CY89" s="229">
        <v>2.6200000000000001E-2</v>
      </c>
      <c r="CZ89" s="228">
        <v>28.54</v>
      </c>
      <c r="DA89" s="228">
        <v>28.31</v>
      </c>
      <c r="DB89" s="228">
        <v>0.23</v>
      </c>
      <c r="DC89" s="228">
        <v>0.23</v>
      </c>
      <c r="DD89" s="228">
        <v>33.89</v>
      </c>
      <c r="DE89" s="228">
        <v>33.94</v>
      </c>
      <c r="DF89" s="228">
        <v>-5.35</v>
      </c>
      <c r="DG89" s="228">
        <v>-0.05</v>
      </c>
      <c r="DH89" s="228">
        <v>28.18</v>
      </c>
      <c r="DI89" s="228">
        <v>27.19</v>
      </c>
      <c r="DJ89" s="228">
        <v>0.99</v>
      </c>
      <c r="DK89" s="228">
        <v>0.99</v>
      </c>
      <c r="DL89" s="228">
        <v>29.52</v>
      </c>
      <c r="DM89" s="228">
        <v>29.84</v>
      </c>
      <c r="DN89" s="228">
        <v>-0.32</v>
      </c>
      <c r="DO89" s="228">
        <v>-0.32</v>
      </c>
      <c r="DP89" s="228">
        <v>0.7</v>
      </c>
      <c r="DQ89" s="228">
        <v>0.78</v>
      </c>
      <c r="DR89" s="228">
        <v>-0.08</v>
      </c>
      <c r="DS89" s="229">
        <v>-0.1026</v>
      </c>
      <c r="DT89" s="228">
        <v>75</v>
      </c>
      <c r="DU89" s="228">
        <v>70</v>
      </c>
      <c r="DV89" s="228">
        <v>0.37</v>
      </c>
      <c r="DW89" s="228">
        <v>0.74</v>
      </c>
      <c r="DX89" s="228">
        <v>-0.37</v>
      </c>
      <c r="DY89" s="229">
        <v>-0.5</v>
      </c>
      <c r="DZ89" s="229">
        <v>6.2899999999999998E-2</v>
      </c>
      <c r="EA89" s="230">
        <v>23790375</v>
      </c>
      <c r="EB89" s="229">
        <v>5.4999999999999997E-3</v>
      </c>
      <c r="EC89" s="229">
        <v>6.2899999999999998E-2</v>
      </c>
      <c r="ED89" s="228">
        <v>0.35</v>
      </c>
      <c r="EE89" s="229">
        <v>4.7000000000000002E-3</v>
      </c>
      <c r="EF89" s="230">
        <v>20059040</v>
      </c>
      <c r="EG89" s="230">
        <v>11754000</v>
      </c>
      <c r="EH89" s="229">
        <v>0.70660000000000001</v>
      </c>
      <c r="EI89" s="229">
        <v>0.55769999999999997</v>
      </c>
      <c r="EJ89" s="231">
        <v>206795.85</v>
      </c>
      <c r="EK89" s="231">
        <v>72049.17</v>
      </c>
      <c r="EL89" s="231">
        <v>54778.34</v>
      </c>
      <c r="EM89" s="231">
        <v>6124</v>
      </c>
      <c r="EN89" s="231">
        <v>333623.36</v>
      </c>
      <c r="EO89" s="231">
        <v>215397.64</v>
      </c>
      <c r="EP89" s="231">
        <v>118225.72</v>
      </c>
      <c r="EQ89" s="229">
        <v>0.54890000000000005</v>
      </c>
      <c r="ER89" s="231">
        <v>103052</v>
      </c>
      <c r="ES89" s="231">
        <v>65648</v>
      </c>
      <c r="ET89" s="231">
        <v>302134</v>
      </c>
      <c r="EU89" s="231">
        <v>761294821</v>
      </c>
      <c r="EV89" s="231">
        <v>470835</v>
      </c>
      <c r="EW89" s="231">
        <v>454491</v>
      </c>
      <c r="EX89" s="231">
        <v>16344</v>
      </c>
      <c r="EY89" s="229">
        <v>3.5999999999999997E-2</v>
      </c>
      <c r="EZ89" s="229">
        <v>0.83489999999999998</v>
      </c>
      <c r="FA89" s="227" t="s">
        <v>555</v>
      </c>
      <c r="FB89" s="161">
        <f t="shared" si="1"/>
        <v>25450600</v>
      </c>
    </row>
    <row r="90" spans="1:158" ht="17.25" hidden="1" thickBot="1" x14ac:dyDescent="0.3">
      <c r="A90" s="226">
        <v>45940</v>
      </c>
      <c r="B90" s="227" t="s">
        <v>161</v>
      </c>
      <c r="C90" s="227" t="s">
        <v>514</v>
      </c>
      <c r="D90" s="228">
        <v>3750</v>
      </c>
      <c r="E90" s="228">
        <v>140.27000000000001</v>
      </c>
      <c r="F90" s="228">
        <v>140.97</v>
      </c>
      <c r="G90" s="228">
        <v>-0.7</v>
      </c>
      <c r="H90" s="229">
        <v>-5.0000000000000001E-3</v>
      </c>
      <c r="I90" s="228">
        <v>139.87</v>
      </c>
      <c r="J90" s="228">
        <v>140.41999999999999</v>
      </c>
      <c r="K90" s="228">
        <v>-0.55000000000000004</v>
      </c>
      <c r="L90" s="229">
        <v>-3.8999999999999998E-3</v>
      </c>
      <c r="M90" s="228">
        <v>140.27000000000001</v>
      </c>
      <c r="N90" s="228">
        <v>140.97</v>
      </c>
      <c r="O90" s="228">
        <v>-0.7</v>
      </c>
      <c r="P90" s="229">
        <v>-5.0000000000000001E-3</v>
      </c>
      <c r="Q90" s="228">
        <v>141.08000000000001</v>
      </c>
      <c r="R90" s="228">
        <v>141.69999999999999</v>
      </c>
      <c r="S90" s="228">
        <v>-0.62</v>
      </c>
      <c r="T90" s="229">
        <v>-4.4000000000000003E-3</v>
      </c>
      <c r="U90" s="228">
        <v>141.99</v>
      </c>
      <c r="V90" s="228">
        <v>142.43</v>
      </c>
      <c r="W90" s="228">
        <v>-0.44</v>
      </c>
      <c r="X90" s="229">
        <v>-3.0999999999999999E-3</v>
      </c>
      <c r="Y90" s="228">
        <v>0.4</v>
      </c>
      <c r="Z90" s="228">
        <v>0.55000000000000004</v>
      </c>
      <c r="AA90" s="228">
        <v>-0.15</v>
      </c>
      <c r="AB90" s="229">
        <v>2.8999999999999998E-3</v>
      </c>
      <c r="AC90" s="228">
        <v>0.4</v>
      </c>
      <c r="AD90" s="228">
        <v>0.55000000000000004</v>
      </c>
      <c r="AE90" s="228">
        <v>-0.15</v>
      </c>
      <c r="AF90" s="229">
        <v>2.8999999999999998E-3</v>
      </c>
      <c r="AG90" s="228">
        <v>1.21</v>
      </c>
      <c r="AH90" s="228">
        <v>1.28</v>
      </c>
      <c r="AI90" s="228">
        <v>-7.0000000000000007E-2</v>
      </c>
      <c r="AJ90" s="229">
        <v>8.6999999999999994E-3</v>
      </c>
      <c r="AK90" s="228">
        <v>2.12</v>
      </c>
      <c r="AL90" s="228">
        <v>2.0099999999999998</v>
      </c>
      <c r="AM90" s="228">
        <v>0.11</v>
      </c>
      <c r="AN90" s="229">
        <v>1.52E-2</v>
      </c>
      <c r="AO90" s="228">
        <v>140.88</v>
      </c>
      <c r="AP90" s="228">
        <v>141.54</v>
      </c>
      <c r="AQ90" s="228">
        <v>0</v>
      </c>
      <c r="AR90" s="230">
        <v>5606250</v>
      </c>
      <c r="AS90" s="230">
        <v>3397500</v>
      </c>
      <c r="AT90" s="230">
        <v>2208750</v>
      </c>
      <c r="AU90" s="229">
        <v>0.65010000000000001</v>
      </c>
      <c r="AV90" s="230">
        <v>4957500</v>
      </c>
      <c r="AW90" s="230">
        <v>3000000</v>
      </c>
      <c r="AX90" s="230">
        <v>1957500</v>
      </c>
      <c r="AY90" s="229">
        <v>0.65249999999999997</v>
      </c>
      <c r="AZ90" s="230">
        <v>513750</v>
      </c>
      <c r="BA90" s="230">
        <v>307500</v>
      </c>
      <c r="BB90" s="230">
        <v>206250</v>
      </c>
      <c r="BC90" s="229">
        <v>0.67069999999999996</v>
      </c>
      <c r="BD90" s="230">
        <v>135000</v>
      </c>
      <c r="BE90" s="230">
        <v>90000</v>
      </c>
      <c r="BF90" s="230">
        <v>45000</v>
      </c>
      <c r="BG90" s="229">
        <v>0.5</v>
      </c>
      <c r="BH90" s="230">
        <v>13582500</v>
      </c>
      <c r="BI90" s="230">
        <v>11313750</v>
      </c>
      <c r="BJ90" s="230">
        <v>2268750</v>
      </c>
      <c r="BK90" s="229">
        <v>0.20050000000000001</v>
      </c>
      <c r="BL90" s="230">
        <v>5778750</v>
      </c>
      <c r="BM90" s="230">
        <v>5640000</v>
      </c>
      <c r="BN90" s="230">
        <v>138750</v>
      </c>
      <c r="BO90" s="229">
        <v>2.46E-2</v>
      </c>
      <c r="BP90" s="230">
        <v>24967500</v>
      </c>
      <c r="BQ90" s="230">
        <v>20351250</v>
      </c>
      <c r="BR90" s="230">
        <v>4616250</v>
      </c>
      <c r="BS90" s="229">
        <v>0.2268</v>
      </c>
      <c r="BT90" s="230">
        <v>2416331</v>
      </c>
      <c r="BU90" s="230">
        <v>2184591</v>
      </c>
      <c r="BV90" s="230">
        <v>231740</v>
      </c>
      <c r="BW90" s="229">
        <v>0.1061</v>
      </c>
      <c r="BX90" s="230">
        <v>56272500</v>
      </c>
      <c r="BY90" s="230">
        <v>55417500</v>
      </c>
      <c r="BZ90" s="230">
        <v>855000</v>
      </c>
      <c r="CA90" s="229">
        <v>1.54E-2</v>
      </c>
      <c r="CB90" s="230">
        <v>52571250</v>
      </c>
      <c r="CC90" s="230">
        <v>52038750</v>
      </c>
      <c r="CD90" s="230">
        <v>532500</v>
      </c>
      <c r="CE90" s="229">
        <v>1.0200000000000001E-2</v>
      </c>
      <c r="CF90" s="230">
        <v>3168750</v>
      </c>
      <c r="CG90" s="230">
        <v>2947500</v>
      </c>
      <c r="CH90" s="230">
        <v>221250</v>
      </c>
      <c r="CI90" s="229">
        <v>7.51E-2</v>
      </c>
      <c r="CJ90" s="230">
        <v>532500</v>
      </c>
      <c r="CK90" s="230">
        <v>431250</v>
      </c>
      <c r="CL90" s="230">
        <v>101250</v>
      </c>
      <c r="CM90" s="229">
        <v>0.23480000000000001</v>
      </c>
      <c r="CN90" s="230">
        <v>28511250</v>
      </c>
      <c r="CO90" s="230">
        <v>27131250</v>
      </c>
      <c r="CP90" s="230">
        <v>1380000</v>
      </c>
      <c r="CQ90" s="229">
        <v>5.0900000000000001E-2</v>
      </c>
      <c r="CR90" s="230">
        <v>20013750</v>
      </c>
      <c r="CS90" s="230">
        <v>19335000</v>
      </c>
      <c r="CT90" s="230">
        <v>678750</v>
      </c>
      <c r="CU90" s="229">
        <v>3.5099999999999999E-2</v>
      </c>
      <c r="CV90" s="230">
        <v>104797500</v>
      </c>
      <c r="CW90" s="230">
        <v>101883750</v>
      </c>
      <c r="CX90" s="230">
        <v>2913750</v>
      </c>
      <c r="CY90" s="229">
        <v>2.86E-2</v>
      </c>
      <c r="CZ90" s="228">
        <v>32.69</v>
      </c>
      <c r="DA90" s="228">
        <v>31.47</v>
      </c>
      <c r="DB90" s="228">
        <v>1.22</v>
      </c>
      <c r="DC90" s="228">
        <v>1.22</v>
      </c>
      <c r="DD90" s="228">
        <v>57.64</v>
      </c>
      <c r="DE90" s="228">
        <v>57.79</v>
      </c>
      <c r="DF90" s="228">
        <v>-24.95</v>
      </c>
      <c r="DG90" s="228">
        <v>-0.15</v>
      </c>
      <c r="DH90" s="228">
        <v>33.090000000000003</v>
      </c>
      <c r="DI90" s="228">
        <v>31.68</v>
      </c>
      <c r="DJ90" s="228">
        <v>1.41</v>
      </c>
      <c r="DK90" s="228">
        <v>1.41</v>
      </c>
      <c r="DL90" s="228">
        <v>31.75</v>
      </c>
      <c r="DM90" s="228">
        <v>31.07</v>
      </c>
      <c r="DN90" s="228">
        <v>0.68</v>
      </c>
      <c r="DO90" s="228">
        <v>0.68</v>
      </c>
      <c r="DP90" s="228">
        <v>0.7</v>
      </c>
      <c r="DQ90" s="228">
        <v>0.71</v>
      </c>
      <c r="DR90" s="228">
        <v>-0.01</v>
      </c>
      <c r="DS90" s="229">
        <v>-1.41E-2</v>
      </c>
      <c r="DT90" s="228">
        <v>150</v>
      </c>
      <c r="DU90" s="228">
        <v>140</v>
      </c>
      <c r="DV90" s="228">
        <v>0.43</v>
      </c>
      <c r="DW90" s="228">
        <v>0.5</v>
      </c>
      <c r="DX90" s="228">
        <v>-7.0000000000000007E-2</v>
      </c>
      <c r="DY90" s="229">
        <v>-0.14000000000000001</v>
      </c>
      <c r="DZ90" s="229">
        <v>6.5799999999999997E-2</v>
      </c>
      <c r="EA90" s="230">
        <v>3378750</v>
      </c>
      <c r="EB90" s="229">
        <v>5.7999999999999996E-3</v>
      </c>
      <c r="EC90" s="229">
        <v>6.5799999999999997E-2</v>
      </c>
      <c r="ED90" s="228">
        <v>0.66</v>
      </c>
      <c r="EE90" s="229">
        <v>4.7000000000000002E-3</v>
      </c>
      <c r="EF90" s="230">
        <v>1021945</v>
      </c>
      <c r="EG90" s="230">
        <v>766254</v>
      </c>
      <c r="EH90" s="229">
        <v>0.3337</v>
      </c>
      <c r="EI90" s="229">
        <v>0.4229</v>
      </c>
      <c r="EJ90" s="231">
        <v>20202.77</v>
      </c>
      <c r="EK90" s="231">
        <v>8111.1</v>
      </c>
      <c r="EL90" s="231">
        <v>7903.89</v>
      </c>
      <c r="EM90" s="231">
        <v>1471</v>
      </c>
      <c r="EN90" s="231">
        <v>36217.760000000002</v>
      </c>
      <c r="EO90" s="231">
        <v>29495.08</v>
      </c>
      <c r="EP90" s="231">
        <v>6722.68</v>
      </c>
      <c r="EQ90" s="229">
        <v>0.22789999999999999</v>
      </c>
      <c r="ER90" s="231">
        <v>42789</v>
      </c>
      <c r="ES90" s="231">
        <v>28391</v>
      </c>
      <c r="ET90" s="231">
        <v>78968</v>
      </c>
      <c r="EU90" s="231">
        <v>133395043</v>
      </c>
      <c r="EV90" s="231">
        <v>150148</v>
      </c>
      <c r="EW90" s="231">
        <v>146373</v>
      </c>
      <c r="EX90" s="231">
        <v>3775</v>
      </c>
      <c r="EY90" s="229">
        <v>2.58E-2</v>
      </c>
      <c r="EZ90" s="229">
        <v>0.78559999999999997</v>
      </c>
      <c r="FA90" s="227" t="s">
        <v>567</v>
      </c>
      <c r="FB90" s="161">
        <f t="shared" si="1"/>
        <v>3701250</v>
      </c>
    </row>
    <row r="91" spans="1:158" ht="17.25" hidden="1" thickBot="1" x14ac:dyDescent="0.3">
      <c r="A91" s="226">
        <v>45940</v>
      </c>
      <c r="B91" s="227" t="s">
        <v>193</v>
      </c>
      <c r="C91" s="227" t="s">
        <v>236</v>
      </c>
      <c r="D91" s="228">
        <v>2750</v>
      </c>
      <c r="E91" s="228">
        <v>216.94</v>
      </c>
      <c r="F91" s="228">
        <v>219.13</v>
      </c>
      <c r="G91" s="228">
        <v>-2.19</v>
      </c>
      <c r="H91" s="229">
        <v>-0.01</v>
      </c>
      <c r="I91" s="228">
        <v>216.18</v>
      </c>
      <c r="J91" s="228">
        <v>218.52</v>
      </c>
      <c r="K91" s="228">
        <v>-2.34</v>
      </c>
      <c r="L91" s="229">
        <v>-1.0699999999999999E-2</v>
      </c>
      <c r="M91" s="228">
        <v>216.94</v>
      </c>
      <c r="N91" s="228">
        <v>219.13</v>
      </c>
      <c r="O91" s="228">
        <v>-2.19</v>
      </c>
      <c r="P91" s="229">
        <v>-0.01</v>
      </c>
      <c r="Q91" s="228">
        <v>215.93</v>
      </c>
      <c r="R91" s="228">
        <v>218.38</v>
      </c>
      <c r="S91" s="228">
        <v>-2.4500000000000002</v>
      </c>
      <c r="T91" s="229">
        <v>-1.12E-2</v>
      </c>
      <c r="U91" s="228">
        <v>0</v>
      </c>
      <c r="V91" s="228">
        <v>0</v>
      </c>
      <c r="W91" s="228">
        <v>0</v>
      </c>
      <c r="X91" s="229">
        <v>0</v>
      </c>
      <c r="Y91" s="228">
        <v>0.76</v>
      </c>
      <c r="Z91" s="228">
        <v>0.61</v>
      </c>
      <c r="AA91" s="228">
        <v>0.15</v>
      </c>
      <c r="AB91" s="229">
        <v>3.5000000000000001E-3</v>
      </c>
      <c r="AC91" s="228">
        <v>0.76</v>
      </c>
      <c r="AD91" s="228">
        <v>0.61</v>
      </c>
      <c r="AE91" s="228">
        <v>0.15</v>
      </c>
      <c r="AF91" s="229">
        <v>3.5000000000000001E-3</v>
      </c>
      <c r="AG91" s="228">
        <v>-0.25</v>
      </c>
      <c r="AH91" s="228">
        <v>-0.14000000000000001</v>
      </c>
      <c r="AI91" s="228">
        <v>-0.11</v>
      </c>
      <c r="AJ91" s="229">
        <v>-1.1999999999999999E-3</v>
      </c>
      <c r="AK91" s="228">
        <v>0</v>
      </c>
      <c r="AL91" s="228">
        <v>0</v>
      </c>
      <c r="AM91" s="228">
        <v>0</v>
      </c>
      <c r="AN91" s="229">
        <v>0</v>
      </c>
      <c r="AO91" s="228">
        <v>217.41</v>
      </c>
      <c r="AP91" s="228">
        <v>216.44</v>
      </c>
      <c r="AQ91" s="228">
        <v>0</v>
      </c>
      <c r="AR91" s="230">
        <v>3863750</v>
      </c>
      <c r="AS91" s="230">
        <v>6858500</v>
      </c>
      <c r="AT91" s="230">
        <v>-2994750</v>
      </c>
      <c r="AU91" s="229">
        <v>-0.43659999999999999</v>
      </c>
      <c r="AV91" s="230">
        <v>3621750</v>
      </c>
      <c r="AW91" s="230">
        <v>6594500</v>
      </c>
      <c r="AX91" s="230">
        <v>-2972750</v>
      </c>
      <c r="AY91" s="229">
        <v>-0.45079999999999998</v>
      </c>
      <c r="AZ91" s="230">
        <v>242000</v>
      </c>
      <c r="BA91" s="230">
        <v>264000</v>
      </c>
      <c r="BB91" s="230">
        <v>-22000</v>
      </c>
      <c r="BC91" s="229">
        <v>-8.3299999999999999E-2</v>
      </c>
      <c r="BD91" s="228">
        <v>0</v>
      </c>
      <c r="BE91" s="228">
        <v>0</v>
      </c>
      <c r="BF91" s="228">
        <v>0</v>
      </c>
      <c r="BG91" s="229">
        <v>0</v>
      </c>
      <c r="BH91" s="230">
        <v>12309000</v>
      </c>
      <c r="BI91" s="230">
        <v>21774500</v>
      </c>
      <c r="BJ91" s="230">
        <v>-9465500</v>
      </c>
      <c r="BK91" s="229">
        <v>-0.43469999999999998</v>
      </c>
      <c r="BL91" s="230">
        <v>5348750</v>
      </c>
      <c r="BM91" s="230">
        <v>8538750</v>
      </c>
      <c r="BN91" s="230">
        <v>-3190000</v>
      </c>
      <c r="BO91" s="229">
        <v>-0.37359999999999999</v>
      </c>
      <c r="BP91" s="230">
        <v>21521500</v>
      </c>
      <c r="BQ91" s="230">
        <v>37171750</v>
      </c>
      <c r="BR91" s="230">
        <v>-15650250</v>
      </c>
      <c r="BS91" s="229">
        <v>-0.42099999999999999</v>
      </c>
      <c r="BT91" s="230">
        <v>1254308</v>
      </c>
      <c r="BU91" s="230">
        <v>2784553</v>
      </c>
      <c r="BV91" s="230">
        <v>-1530245</v>
      </c>
      <c r="BW91" s="229">
        <v>-0.54949999999999999</v>
      </c>
      <c r="BX91" s="230">
        <v>20647000</v>
      </c>
      <c r="BY91" s="230">
        <v>20845000</v>
      </c>
      <c r="BZ91" s="230">
        <v>-198000</v>
      </c>
      <c r="CA91" s="229">
        <v>-9.4999999999999998E-3</v>
      </c>
      <c r="CB91" s="230">
        <v>19318750</v>
      </c>
      <c r="CC91" s="230">
        <v>19585500</v>
      </c>
      <c r="CD91" s="230">
        <v>-266750</v>
      </c>
      <c r="CE91" s="229">
        <v>-1.3599999999999999E-2</v>
      </c>
      <c r="CF91" s="230">
        <v>1328250</v>
      </c>
      <c r="CG91" s="230">
        <v>1259500</v>
      </c>
      <c r="CH91" s="230">
        <v>68750</v>
      </c>
      <c r="CI91" s="229">
        <v>5.4600000000000003E-2</v>
      </c>
      <c r="CJ91" s="228">
        <v>0</v>
      </c>
      <c r="CK91" s="228">
        <v>0</v>
      </c>
      <c r="CL91" s="228">
        <v>0</v>
      </c>
      <c r="CM91" s="229">
        <v>0</v>
      </c>
      <c r="CN91" s="230">
        <v>16117750</v>
      </c>
      <c r="CO91" s="230">
        <v>16692500</v>
      </c>
      <c r="CP91" s="230">
        <v>-574750</v>
      </c>
      <c r="CQ91" s="229">
        <v>-3.44E-2</v>
      </c>
      <c r="CR91" s="230">
        <v>9787250</v>
      </c>
      <c r="CS91" s="230">
        <v>9957750</v>
      </c>
      <c r="CT91" s="230">
        <v>-170500</v>
      </c>
      <c r="CU91" s="229">
        <v>-1.7100000000000001E-2</v>
      </c>
      <c r="CV91" s="230">
        <v>46552000</v>
      </c>
      <c r="CW91" s="230">
        <v>47495250</v>
      </c>
      <c r="CX91" s="230">
        <v>-943250</v>
      </c>
      <c r="CY91" s="229">
        <v>-1.9900000000000001E-2</v>
      </c>
      <c r="CZ91" s="228">
        <v>29.87</v>
      </c>
      <c r="DA91" s="228">
        <v>31.42</v>
      </c>
      <c r="DB91" s="228">
        <v>-1.55</v>
      </c>
      <c r="DC91" s="228">
        <v>-1.55</v>
      </c>
      <c r="DD91" s="228">
        <v>42.24</v>
      </c>
      <c r="DE91" s="228">
        <v>42.32</v>
      </c>
      <c r="DF91" s="228">
        <v>-12.37</v>
      </c>
      <c r="DG91" s="228">
        <v>-0.08</v>
      </c>
      <c r="DH91" s="228">
        <v>30.34</v>
      </c>
      <c r="DI91" s="228">
        <v>31.43</v>
      </c>
      <c r="DJ91" s="228">
        <v>-1.0900000000000001</v>
      </c>
      <c r="DK91" s="228">
        <v>-1.0900000000000001</v>
      </c>
      <c r="DL91" s="228">
        <v>28.76</v>
      </c>
      <c r="DM91" s="228">
        <v>31.39</v>
      </c>
      <c r="DN91" s="228">
        <v>-2.63</v>
      </c>
      <c r="DO91" s="228">
        <v>-2.63</v>
      </c>
      <c r="DP91" s="228">
        <v>0.61</v>
      </c>
      <c r="DQ91" s="228">
        <v>0.6</v>
      </c>
      <c r="DR91" s="228">
        <v>0.01</v>
      </c>
      <c r="DS91" s="229">
        <v>1.67E-2</v>
      </c>
      <c r="DT91" s="228">
        <v>220</v>
      </c>
      <c r="DU91" s="228">
        <v>200</v>
      </c>
      <c r="DV91" s="228">
        <v>0.43</v>
      </c>
      <c r="DW91" s="228">
        <v>0.39</v>
      </c>
      <c r="DX91" s="228">
        <v>0.04</v>
      </c>
      <c r="DY91" s="229">
        <v>0.1026</v>
      </c>
      <c r="DZ91" s="229">
        <v>6.4299999999999996E-2</v>
      </c>
      <c r="EA91" s="230">
        <v>1259500</v>
      </c>
      <c r="EB91" s="229">
        <v>-4.7000000000000002E-3</v>
      </c>
      <c r="EC91" s="229">
        <v>6.4299999999999996E-2</v>
      </c>
      <c r="ED91" s="228">
        <v>-0.97</v>
      </c>
      <c r="EE91" s="229">
        <v>-4.4999999999999997E-3</v>
      </c>
      <c r="EF91" s="230">
        <v>453823</v>
      </c>
      <c r="EG91" s="230">
        <v>1109849</v>
      </c>
      <c r="EH91" s="229">
        <v>-0.59109999999999996</v>
      </c>
      <c r="EI91" s="229">
        <v>0.36180000000000001</v>
      </c>
      <c r="EJ91" s="231">
        <v>28244.47</v>
      </c>
      <c r="EK91" s="231">
        <v>11696.31</v>
      </c>
      <c r="EL91" s="231">
        <v>8398</v>
      </c>
      <c r="EM91" s="231">
        <v>4864</v>
      </c>
      <c r="EN91" s="231">
        <v>48338.78</v>
      </c>
      <c r="EO91" s="231">
        <v>83811.13</v>
      </c>
      <c r="EP91" s="231">
        <v>-35472.35</v>
      </c>
      <c r="EQ91" s="229">
        <v>-0.42320000000000002</v>
      </c>
      <c r="ER91" s="231">
        <v>36311</v>
      </c>
      <c r="ES91" s="231">
        <v>20587</v>
      </c>
      <c r="ET91" s="231">
        <v>44778</v>
      </c>
      <c r="EU91" s="231">
        <v>94000476</v>
      </c>
      <c r="EV91" s="231">
        <v>101676</v>
      </c>
      <c r="EW91" s="231">
        <v>104254</v>
      </c>
      <c r="EX91" s="231">
        <v>-2578</v>
      </c>
      <c r="EY91" s="229">
        <v>-2.47E-2</v>
      </c>
      <c r="EZ91" s="229">
        <v>0.49519999999999997</v>
      </c>
      <c r="FA91" s="227" t="s">
        <v>568</v>
      </c>
      <c r="FB91" s="161">
        <f t="shared" si="1"/>
        <v>1328250</v>
      </c>
    </row>
    <row r="92" spans="1:158" ht="17.25" hidden="1" thickBot="1" x14ac:dyDescent="0.3">
      <c r="A92" s="226">
        <v>45940</v>
      </c>
      <c r="B92" s="227" t="s">
        <v>175</v>
      </c>
      <c r="C92" s="227" t="s">
        <v>668</v>
      </c>
      <c r="D92" s="228">
        <v>1650</v>
      </c>
      <c r="E92" s="228">
        <v>492.55</v>
      </c>
      <c r="F92" s="228">
        <v>498.2</v>
      </c>
      <c r="G92" s="228">
        <v>-5.65</v>
      </c>
      <c r="H92" s="229">
        <v>-1.1299999999999999E-2</v>
      </c>
      <c r="I92" s="228">
        <v>490</v>
      </c>
      <c r="J92" s="228">
        <v>495.15</v>
      </c>
      <c r="K92" s="228">
        <v>-5.15</v>
      </c>
      <c r="L92" s="229">
        <v>-1.04E-2</v>
      </c>
      <c r="M92" s="228">
        <v>492.55</v>
      </c>
      <c r="N92" s="228">
        <v>498.2</v>
      </c>
      <c r="O92" s="228">
        <v>-5.65</v>
      </c>
      <c r="P92" s="229">
        <v>-1.1299999999999999E-2</v>
      </c>
      <c r="Q92" s="228">
        <v>495</v>
      </c>
      <c r="R92" s="228">
        <v>501.35</v>
      </c>
      <c r="S92" s="228">
        <v>-6.35</v>
      </c>
      <c r="T92" s="229">
        <v>-1.2699999999999999E-2</v>
      </c>
      <c r="U92" s="228">
        <v>500</v>
      </c>
      <c r="V92" s="228">
        <v>503</v>
      </c>
      <c r="W92" s="228">
        <v>-3</v>
      </c>
      <c r="X92" s="229">
        <v>-6.0000000000000001E-3</v>
      </c>
      <c r="Y92" s="228">
        <v>2.5499999999999998</v>
      </c>
      <c r="Z92" s="228">
        <v>3.05</v>
      </c>
      <c r="AA92" s="228">
        <v>-0.5</v>
      </c>
      <c r="AB92" s="229">
        <v>5.1999999999999998E-3</v>
      </c>
      <c r="AC92" s="228">
        <v>2.5499999999999998</v>
      </c>
      <c r="AD92" s="228">
        <v>3.05</v>
      </c>
      <c r="AE92" s="228">
        <v>-0.5</v>
      </c>
      <c r="AF92" s="229">
        <v>5.1999999999999998E-3</v>
      </c>
      <c r="AG92" s="228">
        <v>5</v>
      </c>
      <c r="AH92" s="228">
        <v>6.2</v>
      </c>
      <c r="AI92" s="228">
        <v>-1.2</v>
      </c>
      <c r="AJ92" s="229">
        <v>1.0200000000000001E-2</v>
      </c>
      <c r="AK92" s="228">
        <v>10</v>
      </c>
      <c r="AL92" s="228">
        <v>7.85</v>
      </c>
      <c r="AM92" s="228">
        <v>2.15</v>
      </c>
      <c r="AN92" s="229">
        <v>2.0400000000000001E-2</v>
      </c>
      <c r="AO92" s="228">
        <v>493.79</v>
      </c>
      <c r="AP92" s="228">
        <v>496.36</v>
      </c>
      <c r="AQ92" s="228">
        <v>0</v>
      </c>
      <c r="AR92" s="230">
        <v>2895750</v>
      </c>
      <c r="AS92" s="230">
        <v>5743650</v>
      </c>
      <c r="AT92" s="230">
        <v>-2847900</v>
      </c>
      <c r="AU92" s="229">
        <v>-0.49580000000000002</v>
      </c>
      <c r="AV92" s="230">
        <v>2747250</v>
      </c>
      <c r="AW92" s="230">
        <v>5532450</v>
      </c>
      <c r="AX92" s="230">
        <v>-2785200</v>
      </c>
      <c r="AY92" s="229">
        <v>-0.50339999999999996</v>
      </c>
      <c r="AZ92" s="230">
        <v>135300</v>
      </c>
      <c r="BA92" s="230">
        <v>186450</v>
      </c>
      <c r="BB92" s="230">
        <v>-51150</v>
      </c>
      <c r="BC92" s="229">
        <v>-0.27429999999999999</v>
      </c>
      <c r="BD92" s="230">
        <v>13200</v>
      </c>
      <c r="BE92" s="230">
        <v>24750</v>
      </c>
      <c r="BF92" s="230">
        <v>-11550</v>
      </c>
      <c r="BG92" s="229">
        <v>-0.4667</v>
      </c>
      <c r="BH92" s="230">
        <v>3889050</v>
      </c>
      <c r="BI92" s="230">
        <v>13402950</v>
      </c>
      <c r="BJ92" s="230">
        <v>-9513900</v>
      </c>
      <c r="BK92" s="229">
        <v>-0.70979999999999999</v>
      </c>
      <c r="BL92" s="230">
        <v>2341350</v>
      </c>
      <c r="BM92" s="230">
        <v>4486350</v>
      </c>
      <c r="BN92" s="230">
        <v>-2145000</v>
      </c>
      <c r="BO92" s="229">
        <v>-0.47810000000000002</v>
      </c>
      <c r="BP92" s="230">
        <v>9126150</v>
      </c>
      <c r="BQ92" s="230">
        <v>23632950</v>
      </c>
      <c r="BR92" s="230">
        <v>-14506800</v>
      </c>
      <c r="BS92" s="229">
        <v>-0.61380000000000001</v>
      </c>
      <c r="BT92" s="230">
        <v>1057167</v>
      </c>
      <c r="BU92" s="230">
        <v>3849650</v>
      </c>
      <c r="BV92" s="230">
        <v>-2792483</v>
      </c>
      <c r="BW92" s="229">
        <v>-0.72540000000000004</v>
      </c>
      <c r="BX92" s="230">
        <v>15988500</v>
      </c>
      <c r="BY92" s="230">
        <v>16222800</v>
      </c>
      <c r="BZ92" s="230">
        <v>-234300</v>
      </c>
      <c r="CA92" s="229">
        <v>-1.44E-2</v>
      </c>
      <c r="CB92" s="230">
        <v>15671700</v>
      </c>
      <c r="CC92" s="230">
        <v>15920850</v>
      </c>
      <c r="CD92" s="230">
        <v>-249150</v>
      </c>
      <c r="CE92" s="229">
        <v>-1.5599999999999999E-2</v>
      </c>
      <c r="CF92" s="230">
        <v>260700</v>
      </c>
      <c r="CG92" s="230">
        <v>250800</v>
      </c>
      <c r="CH92" s="230">
        <v>9900</v>
      </c>
      <c r="CI92" s="229">
        <v>3.95E-2</v>
      </c>
      <c r="CJ92" s="230">
        <v>56100</v>
      </c>
      <c r="CK92" s="230">
        <v>51150</v>
      </c>
      <c r="CL92" s="230">
        <v>4950</v>
      </c>
      <c r="CM92" s="229">
        <v>9.6799999999999997E-2</v>
      </c>
      <c r="CN92" s="230">
        <v>3956700</v>
      </c>
      <c r="CO92" s="230">
        <v>3938550</v>
      </c>
      <c r="CP92" s="230">
        <v>18150</v>
      </c>
      <c r="CQ92" s="229">
        <v>4.5999999999999999E-3</v>
      </c>
      <c r="CR92" s="230">
        <v>2722500</v>
      </c>
      <c r="CS92" s="230">
        <v>2661450</v>
      </c>
      <c r="CT92" s="230">
        <v>61050</v>
      </c>
      <c r="CU92" s="229">
        <v>2.29E-2</v>
      </c>
      <c r="CV92" s="230">
        <v>22667700</v>
      </c>
      <c r="CW92" s="230">
        <v>22822800</v>
      </c>
      <c r="CX92" s="230">
        <v>-155100</v>
      </c>
      <c r="CY92" s="229">
        <v>-6.7999999999999996E-3</v>
      </c>
      <c r="CZ92" s="228">
        <v>31.78</v>
      </c>
      <c r="DA92" s="228">
        <v>33.51</v>
      </c>
      <c r="DB92" s="228">
        <v>-1.73</v>
      </c>
      <c r="DC92" s="228">
        <v>-1.73</v>
      </c>
      <c r="DD92" s="228">
        <v>52.64</v>
      </c>
      <c r="DE92" s="228">
        <v>52.75</v>
      </c>
      <c r="DF92" s="228">
        <v>-20.86</v>
      </c>
      <c r="DG92" s="228">
        <v>-0.11</v>
      </c>
      <c r="DH92" s="228">
        <v>31.81</v>
      </c>
      <c r="DI92" s="228">
        <v>33.380000000000003</v>
      </c>
      <c r="DJ92" s="228">
        <v>-1.57</v>
      </c>
      <c r="DK92" s="228">
        <v>-1.57</v>
      </c>
      <c r="DL92" s="228">
        <v>31.72</v>
      </c>
      <c r="DM92" s="228">
        <v>33.909999999999997</v>
      </c>
      <c r="DN92" s="228">
        <v>-2.19</v>
      </c>
      <c r="DO92" s="228">
        <v>-2.19</v>
      </c>
      <c r="DP92" s="228">
        <v>0.69</v>
      </c>
      <c r="DQ92" s="228">
        <v>0.68</v>
      </c>
      <c r="DR92" s="228">
        <v>0.01</v>
      </c>
      <c r="DS92" s="229">
        <v>1.47E-2</v>
      </c>
      <c r="DT92" s="228">
        <v>500</v>
      </c>
      <c r="DU92" s="228">
        <v>460</v>
      </c>
      <c r="DV92" s="228">
        <v>0.6</v>
      </c>
      <c r="DW92" s="228">
        <v>0.33</v>
      </c>
      <c r="DX92" s="228">
        <v>0.27</v>
      </c>
      <c r="DY92" s="229">
        <v>0.81820000000000004</v>
      </c>
      <c r="DZ92" s="229">
        <v>1.9800000000000002E-2</v>
      </c>
      <c r="EA92" s="230">
        <v>301950</v>
      </c>
      <c r="EB92" s="229">
        <v>5.0000000000000001E-3</v>
      </c>
      <c r="EC92" s="229">
        <v>1.9800000000000002E-2</v>
      </c>
      <c r="ED92" s="228">
        <v>2.57</v>
      </c>
      <c r="EE92" s="229">
        <v>5.1999999999999998E-3</v>
      </c>
      <c r="EF92" s="230">
        <v>428990</v>
      </c>
      <c r="EG92" s="230">
        <v>936555</v>
      </c>
      <c r="EH92" s="229">
        <v>-0.54190000000000005</v>
      </c>
      <c r="EI92" s="229">
        <v>0.40579999999999999</v>
      </c>
      <c r="EJ92" s="231">
        <v>20191.72</v>
      </c>
      <c r="EK92" s="231">
        <v>11276.61</v>
      </c>
      <c r="EL92" s="231">
        <v>14303.07</v>
      </c>
      <c r="EM92" s="231">
        <v>3610</v>
      </c>
      <c r="EN92" s="231">
        <v>45771.4</v>
      </c>
      <c r="EO92" s="231">
        <v>119956.89</v>
      </c>
      <c r="EP92" s="231">
        <v>-74185.490000000005</v>
      </c>
      <c r="EQ92" s="229">
        <v>-0.61839999999999995</v>
      </c>
      <c r="ER92" s="231">
        <v>19662</v>
      </c>
      <c r="ES92" s="231">
        <v>12379</v>
      </c>
      <c r="ET92" s="231">
        <v>78762</v>
      </c>
      <c r="EU92" s="231">
        <v>47888370</v>
      </c>
      <c r="EV92" s="231">
        <v>110802</v>
      </c>
      <c r="EW92" s="231">
        <v>112516</v>
      </c>
      <c r="EX92" s="231">
        <v>-1714</v>
      </c>
      <c r="EY92" s="229">
        <v>-1.52E-2</v>
      </c>
      <c r="EZ92" s="229">
        <v>0.4733</v>
      </c>
      <c r="FA92" s="227" t="s">
        <v>568</v>
      </c>
      <c r="FB92" s="161">
        <f t="shared" si="1"/>
        <v>316800</v>
      </c>
    </row>
    <row r="93" spans="1:158" ht="17.25" hidden="1" thickBot="1" x14ac:dyDescent="0.3">
      <c r="A93" s="226">
        <v>45940</v>
      </c>
      <c r="B93" s="227" t="s">
        <v>206</v>
      </c>
      <c r="C93" s="227" t="s">
        <v>501</v>
      </c>
      <c r="D93" s="228">
        <v>1000</v>
      </c>
      <c r="E93" s="228">
        <v>738.75</v>
      </c>
      <c r="F93" s="228">
        <v>734.65</v>
      </c>
      <c r="G93" s="228">
        <v>4.0999999999999996</v>
      </c>
      <c r="H93" s="229">
        <v>5.5999999999999999E-3</v>
      </c>
      <c r="I93" s="228">
        <v>735.55</v>
      </c>
      <c r="J93" s="228">
        <v>732.15</v>
      </c>
      <c r="K93" s="228">
        <v>3.4</v>
      </c>
      <c r="L93" s="229">
        <v>4.5999999999999999E-3</v>
      </c>
      <c r="M93" s="228">
        <v>738.75</v>
      </c>
      <c r="N93" s="228">
        <v>734.65</v>
      </c>
      <c r="O93" s="228">
        <v>4.0999999999999996</v>
      </c>
      <c r="P93" s="229">
        <v>5.5999999999999999E-3</v>
      </c>
      <c r="Q93" s="228">
        <v>742.85</v>
      </c>
      <c r="R93" s="228">
        <v>738.75</v>
      </c>
      <c r="S93" s="228">
        <v>4.0999999999999996</v>
      </c>
      <c r="T93" s="229">
        <v>5.4999999999999997E-3</v>
      </c>
      <c r="U93" s="228">
        <v>746.85</v>
      </c>
      <c r="V93" s="228">
        <v>742.95</v>
      </c>
      <c r="W93" s="228">
        <v>3.9</v>
      </c>
      <c r="X93" s="229">
        <v>5.1999999999999998E-3</v>
      </c>
      <c r="Y93" s="228">
        <v>3.2</v>
      </c>
      <c r="Z93" s="228">
        <v>2.5</v>
      </c>
      <c r="AA93" s="228">
        <v>0.7</v>
      </c>
      <c r="AB93" s="229">
        <v>4.4000000000000003E-3</v>
      </c>
      <c r="AC93" s="228">
        <v>3.2</v>
      </c>
      <c r="AD93" s="228">
        <v>2.5</v>
      </c>
      <c r="AE93" s="228">
        <v>0.7</v>
      </c>
      <c r="AF93" s="229">
        <v>4.4000000000000003E-3</v>
      </c>
      <c r="AG93" s="228">
        <v>7.3</v>
      </c>
      <c r="AH93" s="228">
        <v>6.6</v>
      </c>
      <c r="AI93" s="228">
        <v>0.7</v>
      </c>
      <c r="AJ93" s="229">
        <v>9.9000000000000008E-3</v>
      </c>
      <c r="AK93" s="228">
        <v>11.3</v>
      </c>
      <c r="AL93" s="228">
        <v>10.8</v>
      </c>
      <c r="AM93" s="228">
        <v>0.5</v>
      </c>
      <c r="AN93" s="229">
        <v>1.54E-2</v>
      </c>
      <c r="AO93" s="228">
        <v>739.86</v>
      </c>
      <c r="AP93" s="228">
        <v>743.95</v>
      </c>
      <c r="AQ93" s="228">
        <v>0</v>
      </c>
      <c r="AR93" s="230">
        <v>3056000</v>
      </c>
      <c r="AS93" s="230">
        <v>2118000</v>
      </c>
      <c r="AT93" s="230">
        <v>938000</v>
      </c>
      <c r="AU93" s="229">
        <v>0.44290000000000002</v>
      </c>
      <c r="AV93" s="230">
        <v>2714000</v>
      </c>
      <c r="AW93" s="230">
        <v>1929000</v>
      </c>
      <c r="AX93" s="230">
        <v>785000</v>
      </c>
      <c r="AY93" s="229">
        <v>0.40689999999999998</v>
      </c>
      <c r="AZ93" s="230">
        <v>316000</v>
      </c>
      <c r="BA93" s="230">
        <v>148000</v>
      </c>
      <c r="BB93" s="230">
        <v>168000</v>
      </c>
      <c r="BC93" s="229">
        <v>1.1351</v>
      </c>
      <c r="BD93" s="230">
        <v>26000</v>
      </c>
      <c r="BE93" s="230">
        <v>41000</v>
      </c>
      <c r="BF93" s="230">
        <v>-15000</v>
      </c>
      <c r="BG93" s="229">
        <v>-0.3659</v>
      </c>
      <c r="BH93" s="230">
        <v>13809000</v>
      </c>
      <c r="BI93" s="230">
        <v>8828000</v>
      </c>
      <c r="BJ93" s="230">
        <v>4981000</v>
      </c>
      <c r="BK93" s="229">
        <v>0.56420000000000003</v>
      </c>
      <c r="BL93" s="230">
        <v>3997000</v>
      </c>
      <c r="BM93" s="230">
        <v>1627000</v>
      </c>
      <c r="BN93" s="230">
        <v>2370000</v>
      </c>
      <c r="BO93" s="229">
        <v>1.4567000000000001</v>
      </c>
      <c r="BP93" s="230">
        <v>20862000</v>
      </c>
      <c r="BQ93" s="230">
        <v>12573000</v>
      </c>
      <c r="BR93" s="230">
        <v>8289000</v>
      </c>
      <c r="BS93" s="229">
        <v>0.6593</v>
      </c>
      <c r="BT93" s="230">
        <v>1635446</v>
      </c>
      <c r="BU93" s="230">
        <v>1147891</v>
      </c>
      <c r="BV93" s="230">
        <v>487555</v>
      </c>
      <c r="BW93" s="229">
        <v>0.42470000000000002</v>
      </c>
      <c r="BX93" s="230">
        <v>27933000</v>
      </c>
      <c r="BY93" s="230">
        <v>27811000</v>
      </c>
      <c r="BZ93" s="230">
        <v>122000</v>
      </c>
      <c r="CA93" s="229">
        <v>4.4000000000000003E-3</v>
      </c>
      <c r="CB93" s="230">
        <v>26692000</v>
      </c>
      <c r="CC93" s="230">
        <v>26701000</v>
      </c>
      <c r="CD93" s="230">
        <v>-9000</v>
      </c>
      <c r="CE93" s="229">
        <v>-2.9999999999999997E-4</v>
      </c>
      <c r="CF93" s="230">
        <v>1166000</v>
      </c>
      <c r="CG93" s="230">
        <v>1039000</v>
      </c>
      <c r="CH93" s="230">
        <v>127000</v>
      </c>
      <c r="CI93" s="229">
        <v>0.1222</v>
      </c>
      <c r="CJ93" s="230">
        <v>75000</v>
      </c>
      <c r="CK93" s="230">
        <v>71000</v>
      </c>
      <c r="CL93" s="230">
        <v>4000</v>
      </c>
      <c r="CM93" s="229">
        <v>5.6300000000000003E-2</v>
      </c>
      <c r="CN93" s="230">
        <v>12985000</v>
      </c>
      <c r="CO93" s="230">
        <v>13145000</v>
      </c>
      <c r="CP93" s="230">
        <v>-160000</v>
      </c>
      <c r="CQ93" s="229">
        <v>-1.2200000000000001E-2</v>
      </c>
      <c r="CR93" s="230">
        <v>6795000</v>
      </c>
      <c r="CS93" s="230">
        <v>7055000</v>
      </c>
      <c r="CT93" s="230">
        <v>-260000</v>
      </c>
      <c r="CU93" s="229">
        <v>-3.6900000000000002E-2</v>
      </c>
      <c r="CV93" s="230">
        <v>47713000</v>
      </c>
      <c r="CW93" s="230">
        <v>48011000</v>
      </c>
      <c r="CX93" s="230">
        <v>-298000</v>
      </c>
      <c r="CY93" s="229">
        <v>-6.1999999999999998E-3</v>
      </c>
      <c r="CZ93" s="228">
        <v>23.39</v>
      </c>
      <c r="DA93" s="228">
        <v>24.73</v>
      </c>
      <c r="DB93" s="228">
        <v>-1.34</v>
      </c>
      <c r="DC93" s="228">
        <v>-1.34</v>
      </c>
      <c r="DD93" s="228">
        <v>35.770000000000003</v>
      </c>
      <c r="DE93" s="228">
        <v>35.85</v>
      </c>
      <c r="DF93" s="228">
        <v>-12.38</v>
      </c>
      <c r="DG93" s="228">
        <v>-0.08</v>
      </c>
      <c r="DH93" s="228">
        <v>23.52</v>
      </c>
      <c r="DI93" s="228">
        <v>24.87</v>
      </c>
      <c r="DJ93" s="228">
        <v>-1.35</v>
      </c>
      <c r="DK93" s="228">
        <v>-1.35</v>
      </c>
      <c r="DL93" s="228">
        <v>22.96</v>
      </c>
      <c r="DM93" s="228">
        <v>23.95</v>
      </c>
      <c r="DN93" s="228">
        <v>-0.99</v>
      </c>
      <c r="DO93" s="228">
        <v>-0.99</v>
      </c>
      <c r="DP93" s="228">
        <v>0.52</v>
      </c>
      <c r="DQ93" s="228">
        <v>0.54</v>
      </c>
      <c r="DR93" s="228">
        <v>-0.02</v>
      </c>
      <c r="DS93" s="229">
        <v>-3.6999999999999998E-2</v>
      </c>
      <c r="DT93" s="228">
        <v>800</v>
      </c>
      <c r="DU93" s="228">
        <v>720</v>
      </c>
      <c r="DV93" s="228">
        <v>0.28999999999999998</v>
      </c>
      <c r="DW93" s="228">
        <v>0.18</v>
      </c>
      <c r="DX93" s="228">
        <v>0.11</v>
      </c>
      <c r="DY93" s="229">
        <v>0.61109999999999998</v>
      </c>
      <c r="DZ93" s="229">
        <v>4.4400000000000002E-2</v>
      </c>
      <c r="EA93" s="230">
        <v>1110000</v>
      </c>
      <c r="EB93" s="229">
        <v>5.4999999999999997E-3</v>
      </c>
      <c r="EC93" s="229">
        <v>4.4400000000000002E-2</v>
      </c>
      <c r="ED93" s="228">
        <v>4.09</v>
      </c>
      <c r="EE93" s="229">
        <v>5.4999999999999997E-3</v>
      </c>
      <c r="EF93" s="230">
        <v>1036145</v>
      </c>
      <c r="EG93" s="230">
        <v>712073</v>
      </c>
      <c r="EH93" s="229">
        <v>0.4551</v>
      </c>
      <c r="EI93" s="229">
        <v>0.63360000000000005</v>
      </c>
      <c r="EJ93" s="231">
        <v>105967.58</v>
      </c>
      <c r="EK93" s="231">
        <v>29456.49</v>
      </c>
      <c r="EL93" s="231">
        <v>22625.24</v>
      </c>
      <c r="EM93" s="231">
        <v>2645</v>
      </c>
      <c r="EN93" s="231">
        <v>158049.31</v>
      </c>
      <c r="EO93" s="231">
        <v>94957.36</v>
      </c>
      <c r="EP93" s="231">
        <v>63091.95</v>
      </c>
      <c r="EQ93" s="229">
        <v>0.66439999999999999</v>
      </c>
      <c r="ER93" s="231">
        <v>100169</v>
      </c>
      <c r="ES93" s="231">
        <v>49788</v>
      </c>
      <c r="ET93" s="231">
        <v>206409</v>
      </c>
      <c r="EU93" s="231">
        <v>111956321</v>
      </c>
      <c r="EV93" s="231">
        <v>356366</v>
      </c>
      <c r="EW93" s="231">
        <v>357367</v>
      </c>
      <c r="EX93" s="231">
        <v>-1001</v>
      </c>
      <c r="EY93" s="229">
        <v>-2.8E-3</v>
      </c>
      <c r="EZ93" s="229">
        <v>0.42620000000000002</v>
      </c>
      <c r="FA93" s="227" t="s">
        <v>555</v>
      </c>
      <c r="FB93" s="161">
        <f t="shared" si="1"/>
        <v>1241000</v>
      </c>
    </row>
    <row r="94" spans="1:158" ht="17.25" hidden="1" thickBot="1" x14ac:dyDescent="0.3">
      <c r="A94" s="226">
        <v>45940</v>
      </c>
      <c r="B94" s="227" t="s">
        <v>172</v>
      </c>
      <c r="C94" s="227" t="s">
        <v>579</v>
      </c>
      <c r="D94" s="228">
        <v>1000</v>
      </c>
      <c r="E94" s="228">
        <v>776.1</v>
      </c>
      <c r="F94" s="228">
        <v>769.4</v>
      </c>
      <c r="G94" s="228">
        <v>6.7</v>
      </c>
      <c r="H94" s="229">
        <v>8.6999999999999994E-3</v>
      </c>
      <c r="I94" s="228">
        <v>776.25</v>
      </c>
      <c r="J94" s="228">
        <v>766.2</v>
      </c>
      <c r="K94" s="228">
        <v>10.050000000000001</v>
      </c>
      <c r="L94" s="229">
        <v>1.3100000000000001E-2</v>
      </c>
      <c r="M94" s="228">
        <v>776.1</v>
      </c>
      <c r="N94" s="228">
        <v>769.4</v>
      </c>
      <c r="O94" s="228">
        <v>6.7</v>
      </c>
      <c r="P94" s="229">
        <v>8.6999999999999994E-3</v>
      </c>
      <c r="Q94" s="228">
        <v>774.4</v>
      </c>
      <c r="R94" s="228">
        <v>767.5</v>
      </c>
      <c r="S94" s="228">
        <v>6.9</v>
      </c>
      <c r="T94" s="229">
        <v>8.9999999999999993E-3</v>
      </c>
      <c r="U94" s="228">
        <v>773.2</v>
      </c>
      <c r="V94" s="228">
        <v>762.5</v>
      </c>
      <c r="W94" s="228">
        <v>10.7</v>
      </c>
      <c r="X94" s="229">
        <v>1.4E-2</v>
      </c>
      <c r="Y94" s="228">
        <v>-0.15</v>
      </c>
      <c r="Z94" s="228">
        <v>3.2</v>
      </c>
      <c r="AA94" s="228">
        <v>-3.35</v>
      </c>
      <c r="AB94" s="229">
        <v>-2.0000000000000001E-4</v>
      </c>
      <c r="AC94" s="228">
        <v>-0.15</v>
      </c>
      <c r="AD94" s="228">
        <v>3.2</v>
      </c>
      <c r="AE94" s="228">
        <v>-3.35</v>
      </c>
      <c r="AF94" s="229">
        <v>-2.0000000000000001E-4</v>
      </c>
      <c r="AG94" s="228">
        <v>-1.85</v>
      </c>
      <c r="AH94" s="228">
        <v>1.3</v>
      </c>
      <c r="AI94" s="228">
        <v>-3.15</v>
      </c>
      <c r="AJ94" s="229">
        <v>-2.3999999999999998E-3</v>
      </c>
      <c r="AK94" s="228">
        <v>-3.05</v>
      </c>
      <c r="AL94" s="228">
        <v>-3.7</v>
      </c>
      <c r="AM94" s="228">
        <v>0.65</v>
      </c>
      <c r="AN94" s="229">
        <v>-3.8999999999999998E-3</v>
      </c>
      <c r="AO94" s="228">
        <v>776.3</v>
      </c>
      <c r="AP94" s="228">
        <v>774.2</v>
      </c>
      <c r="AQ94" s="228">
        <v>0</v>
      </c>
      <c r="AR94" s="230">
        <v>2381000</v>
      </c>
      <c r="AS94" s="230">
        <v>1451000</v>
      </c>
      <c r="AT94" s="230">
        <v>930000</v>
      </c>
      <c r="AU94" s="229">
        <v>0.64090000000000003</v>
      </c>
      <c r="AV94" s="230">
        <v>2243000</v>
      </c>
      <c r="AW94" s="230">
        <v>1336000</v>
      </c>
      <c r="AX94" s="230">
        <v>907000</v>
      </c>
      <c r="AY94" s="229">
        <v>0.67889999999999995</v>
      </c>
      <c r="AZ94" s="230">
        <v>131000</v>
      </c>
      <c r="BA94" s="230">
        <v>111000</v>
      </c>
      <c r="BB94" s="230">
        <v>20000</v>
      </c>
      <c r="BC94" s="229">
        <v>0.1802</v>
      </c>
      <c r="BD94" s="230">
        <v>7000</v>
      </c>
      <c r="BE94" s="230">
        <v>4000</v>
      </c>
      <c r="BF94" s="230">
        <v>3000</v>
      </c>
      <c r="BG94" s="229">
        <v>0.75</v>
      </c>
      <c r="BH94" s="230">
        <v>4820000</v>
      </c>
      <c r="BI94" s="230">
        <v>1755000</v>
      </c>
      <c r="BJ94" s="230">
        <v>3065000</v>
      </c>
      <c r="BK94" s="229">
        <v>1.7464</v>
      </c>
      <c r="BL94" s="230">
        <v>2573000</v>
      </c>
      <c r="BM94" s="230">
        <v>1376000</v>
      </c>
      <c r="BN94" s="230">
        <v>1197000</v>
      </c>
      <c r="BO94" s="229">
        <v>0.86990000000000001</v>
      </c>
      <c r="BP94" s="230">
        <v>9774000</v>
      </c>
      <c r="BQ94" s="230">
        <v>4582000</v>
      </c>
      <c r="BR94" s="230">
        <v>5192000</v>
      </c>
      <c r="BS94" s="229">
        <v>1.1331</v>
      </c>
      <c r="BT94" s="230">
        <v>1682566</v>
      </c>
      <c r="BU94" s="230">
        <v>1002992</v>
      </c>
      <c r="BV94" s="230">
        <v>679574</v>
      </c>
      <c r="BW94" s="229">
        <v>0.67749999999999999</v>
      </c>
      <c r="BX94" s="230">
        <v>7732000</v>
      </c>
      <c r="BY94" s="230">
        <v>7450000</v>
      </c>
      <c r="BZ94" s="230">
        <v>282000</v>
      </c>
      <c r="CA94" s="229">
        <v>3.7900000000000003E-2</v>
      </c>
      <c r="CB94" s="230">
        <v>7524000</v>
      </c>
      <c r="CC94" s="230">
        <v>7266000</v>
      </c>
      <c r="CD94" s="230">
        <v>258000</v>
      </c>
      <c r="CE94" s="229">
        <v>3.5499999999999997E-2</v>
      </c>
      <c r="CF94" s="230">
        <v>198000</v>
      </c>
      <c r="CG94" s="230">
        <v>175000</v>
      </c>
      <c r="CH94" s="230">
        <v>23000</v>
      </c>
      <c r="CI94" s="229">
        <v>0.13139999999999999</v>
      </c>
      <c r="CJ94" s="230">
        <v>10000</v>
      </c>
      <c r="CK94" s="230">
        <v>9000</v>
      </c>
      <c r="CL94" s="230">
        <v>1000</v>
      </c>
      <c r="CM94" s="229">
        <v>0.1111</v>
      </c>
      <c r="CN94" s="230">
        <v>2778000</v>
      </c>
      <c r="CO94" s="230">
        <v>2777000</v>
      </c>
      <c r="CP94" s="230">
        <v>1000</v>
      </c>
      <c r="CQ94" s="229">
        <v>4.0000000000000002E-4</v>
      </c>
      <c r="CR94" s="230">
        <v>2698000</v>
      </c>
      <c r="CS94" s="230">
        <v>2641000</v>
      </c>
      <c r="CT94" s="230">
        <v>57000</v>
      </c>
      <c r="CU94" s="229">
        <v>2.1600000000000001E-2</v>
      </c>
      <c r="CV94" s="230">
        <v>13208000</v>
      </c>
      <c r="CW94" s="230">
        <v>12868000</v>
      </c>
      <c r="CX94" s="230">
        <v>340000</v>
      </c>
      <c r="CY94" s="229">
        <v>2.64E-2</v>
      </c>
      <c r="CZ94" s="228">
        <v>27.3</v>
      </c>
      <c r="DA94" s="228">
        <v>27.55</v>
      </c>
      <c r="DB94" s="228">
        <v>-0.25</v>
      </c>
      <c r="DC94" s="228">
        <v>-0.25</v>
      </c>
      <c r="DD94" s="228">
        <v>38.47</v>
      </c>
      <c r="DE94" s="228">
        <v>38.520000000000003</v>
      </c>
      <c r="DF94" s="228">
        <v>-11.17</v>
      </c>
      <c r="DG94" s="228">
        <v>-0.05</v>
      </c>
      <c r="DH94" s="228">
        <v>26.31</v>
      </c>
      <c r="DI94" s="228">
        <v>26.27</v>
      </c>
      <c r="DJ94" s="228">
        <v>0.04</v>
      </c>
      <c r="DK94" s="228">
        <v>0.04</v>
      </c>
      <c r="DL94" s="228">
        <v>29.15</v>
      </c>
      <c r="DM94" s="228">
        <v>29.18</v>
      </c>
      <c r="DN94" s="228">
        <v>-0.03</v>
      </c>
      <c r="DO94" s="228">
        <v>-0.03</v>
      </c>
      <c r="DP94" s="228">
        <v>0.97</v>
      </c>
      <c r="DQ94" s="228">
        <v>0.95</v>
      </c>
      <c r="DR94" s="228">
        <v>0.02</v>
      </c>
      <c r="DS94" s="229">
        <v>2.1100000000000001E-2</v>
      </c>
      <c r="DT94" s="228">
        <v>800</v>
      </c>
      <c r="DU94" s="228">
        <v>700</v>
      </c>
      <c r="DV94" s="228">
        <v>0.53</v>
      </c>
      <c r="DW94" s="228">
        <v>0.78</v>
      </c>
      <c r="DX94" s="228">
        <v>-0.25</v>
      </c>
      <c r="DY94" s="229">
        <v>-0.32050000000000001</v>
      </c>
      <c r="DZ94" s="229">
        <v>2.69E-2</v>
      </c>
      <c r="EA94" s="230">
        <v>184000</v>
      </c>
      <c r="EB94" s="229">
        <v>-2.2000000000000001E-3</v>
      </c>
      <c r="EC94" s="229">
        <v>2.69E-2</v>
      </c>
      <c r="ED94" s="228">
        <v>-2.1</v>
      </c>
      <c r="EE94" s="229">
        <v>-2.7000000000000001E-3</v>
      </c>
      <c r="EF94" s="230">
        <v>747725</v>
      </c>
      <c r="EG94" s="230">
        <v>473194</v>
      </c>
      <c r="EH94" s="229">
        <v>0.58020000000000005</v>
      </c>
      <c r="EI94" s="229">
        <v>0.44440000000000002</v>
      </c>
      <c r="EJ94" s="231">
        <v>38676.6</v>
      </c>
      <c r="EK94" s="231">
        <v>19134.060000000001</v>
      </c>
      <c r="EL94" s="231">
        <v>18480.759999999998</v>
      </c>
      <c r="EM94" s="231">
        <v>2264</v>
      </c>
      <c r="EN94" s="231">
        <v>76291.42</v>
      </c>
      <c r="EO94" s="231">
        <v>35141.120000000003</v>
      </c>
      <c r="EP94" s="231">
        <v>41150.300000000003</v>
      </c>
      <c r="EQ94" s="229">
        <v>1.171</v>
      </c>
      <c r="ER94" s="231">
        <v>21520</v>
      </c>
      <c r="ES94" s="231">
        <v>19291</v>
      </c>
      <c r="ET94" s="231">
        <v>60004</v>
      </c>
      <c r="EU94" s="231">
        <v>52862157</v>
      </c>
      <c r="EV94" s="231">
        <v>100815</v>
      </c>
      <c r="EW94" s="231">
        <v>97498</v>
      </c>
      <c r="EX94" s="231">
        <v>3317</v>
      </c>
      <c r="EY94" s="229">
        <v>3.4000000000000002E-2</v>
      </c>
      <c r="EZ94" s="229">
        <v>0.24990000000000001</v>
      </c>
      <c r="FA94" s="227" t="s">
        <v>555</v>
      </c>
      <c r="FB94" s="161">
        <f t="shared" si="1"/>
        <v>208000</v>
      </c>
    </row>
    <row r="95" spans="1:158" ht="17.25" hidden="1" thickBot="1" x14ac:dyDescent="0.3">
      <c r="A95" s="226">
        <v>45940</v>
      </c>
      <c r="B95" s="227" t="s">
        <v>181</v>
      </c>
      <c r="C95" s="227" t="s">
        <v>570</v>
      </c>
      <c r="D95" s="228">
        <v>1</v>
      </c>
      <c r="E95" s="228">
        <v>10.1</v>
      </c>
      <c r="F95" s="228">
        <v>10.119999999999999</v>
      </c>
      <c r="G95" s="228">
        <v>-0.02</v>
      </c>
      <c r="H95" s="229">
        <v>-1.6999999999999999E-3</v>
      </c>
      <c r="I95" s="228">
        <v>10.1</v>
      </c>
      <c r="J95" s="228">
        <v>10.119999999999999</v>
      </c>
      <c r="K95" s="228">
        <v>-0.02</v>
      </c>
      <c r="L95" s="229">
        <v>-1.6999999999999999E-3</v>
      </c>
      <c r="M95" s="228">
        <v>0</v>
      </c>
      <c r="N95" s="228">
        <v>0</v>
      </c>
      <c r="O95" s="228">
        <v>0</v>
      </c>
      <c r="P95" s="229">
        <v>0</v>
      </c>
      <c r="Q95" s="228">
        <v>0</v>
      </c>
      <c r="R95" s="228">
        <v>0</v>
      </c>
      <c r="S95" s="228">
        <v>0</v>
      </c>
      <c r="T95" s="229">
        <v>0</v>
      </c>
      <c r="U95" s="228">
        <v>0</v>
      </c>
      <c r="V95" s="228">
        <v>0</v>
      </c>
      <c r="W95" s="228">
        <v>0</v>
      </c>
      <c r="X95" s="229">
        <v>0</v>
      </c>
      <c r="Y95" s="228">
        <v>0</v>
      </c>
      <c r="Z95" s="228">
        <v>0</v>
      </c>
      <c r="AA95" s="228">
        <v>0</v>
      </c>
      <c r="AB95" s="229">
        <v>0</v>
      </c>
      <c r="AC95" s="228">
        <v>0</v>
      </c>
      <c r="AD95" s="228">
        <v>0</v>
      </c>
      <c r="AE95" s="228">
        <v>0</v>
      </c>
      <c r="AF95" s="229">
        <v>0</v>
      </c>
      <c r="AG95" s="228">
        <v>0</v>
      </c>
      <c r="AH95" s="228">
        <v>0</v>
      </c>
      <c r="AI95" s="228">
        <v>0</v>
      </c>
      <c r="AJ95" s="229">
        <v>0</v>
      </c>
      <c r="AK95" s="228">
        <v>0</v>
      </c>
      <c r="AL95" s="228">
        <v>0</v>
      </c>
      <c r="AM95" s="228">
        <v>0</v>
      </c>
      <c r="AN95" s="229">
        <v>0</v>
      </c>
      <c r="AO95" s="228">
        <v>0</v>
      </c>
      <c r="AP95" s="228">
        <v>0</v>
      </c>
      <c r="AQ95" s="228">
        <v>0</v>
      </c>
      <c r="AR95" s="228">
        <v>0</v>
      </c>
      <c r="AS95" s="228">
        <v>0</v>
      </c>
      <c r="AT95" s="228">
        <v>0</v>
      </c>
      <c r="AU95" s="229">
        <v>0</v>
      </c>
      <c r="AV95" s="228">
        <v>0</v>
      </c>
      <c r="AW95" s="228">
        <v>0</v>
      </c>
      <c r="AX95" s="228">
        <v>0</v>
      </c>
      <c r="AY95" s="229">
        <v>0</v>
      </c>
      <c r="AZ95" s="228">
        <v>0</v>
      </c>
      <c r="BA95" s="228">
        <v>0</v>
      </c>
      <c r="BB95" s="228">
        <v>0</v>
      </c>
      <c r="BC95" s="229">
        <v>0</v>
      </c>
      <c r="BD95" s="228">
        <v>0</v>
      </c>
      <c r="BE95" s="228">
        <v>0</v>
      </c>
      <c r="BF95" s="228">
        <v>0</v>
      </c>
      <c r="BG95" s="229">
        <v>0</v>
      </c>
      <c r="BH95" s="228">
        <v>0</v>
      </c>
      <c r="BI95" s="228">
        <v>0</v>
      </c>
      <c r="BJ95" s="228">
        <v>0</v>
      </c>
      <c r="BK95" s="229">
        <v>0</v>
      </c>
      <c r="BL95" s="228">
        <v>0</v>
      </c>
      <c r="BM95" s="228">
        <v>0</v>
      </c>
      <c r="BN95" s="228">
        <v>0</v>
      </c>
      <c r="BO95" s="229">
        <v>0</v>
      </c>
      <c r="BP95" s="228">
        <v>0</v>
      </c>
      <c r="BQ95" s="228">
        <v>0</v>
      </c>
      <c r="BR95" s="228">
        <v>0</v>
      </c>
      <c r="BS95" s="229">
        <v>0</v>
      </c>
      <c r="BT95" s="228">
        <v>0</v>
      </c>
      <c r="BU95" s="228">
        <v>0</v>
      </c>
      <c r="BV95" s="228">
        <v>0</v>
      </c>
      <c r="BW95" s="229">
        <v>0</v>
      </c>
      <c r="BX95" s="228">
        <v>0</v>
      </c>
      <c r="BY95" s="228">
        <v>0</v>
      </c>
      <c r="BZ95" s="228">
        <v>0</v>
      </c>
      <c r="CA95" s="229">
        <v>0</v>
      </c>
      <c r="CB95" s="228">
        <v>0</v>
      </c>
      <c r="CC95" s="228">
        <v>0</v>
      </c>
      <c r="CD95" s="228">
        <v>0</v>
      </c>
      <c r="CE95" s="229">
        <v>0</v>
      </c>
      <c r="CF95" s="228">
        <v>0</v>
      </c>
      <c r="CG95" s="228">
        <v>0</v>
      </c>
      <c r="CH95" s="228">
        <v>0</v>
      </c>
      <c r="CI95" s="229">
        <v>0</v>
      </c>
      <c r="CJ95" s="228">
        <v>0</v>
      </c>
      <c r="CK95" s="228">
        <v>0</v>
      </c>
      <c r="CL95" s="228">
        <v>0</v>
      </c>
      <c r="CM95" s="229">
        <v>0</v>
      </c>
      <c r="CN95" s="228">
        <v>0</v>
      </c>
      <c r="CO95" s="228">
        <v>0</v>
      </c>
      <c r="CP95" s="228">
        <v>0</v>
      </c>
      <c r="CQ95" s="229">
        <v>0</v>
      </c>
      <c r="CR95" s="228">
        <v>0</v>
      </c>
      <c r="CS95" s="228">
        <v>0</v>
      </c>
      <c r="CT95" s="228">
        <v>0</v>
      </c>
      <c r="CU95" s="229">
        <v>0</v>
      </c>
      <c r="CV95" s="228">
        <v>0</v>
      </c>
      <c r="CW95" s="228">
        <v>0</v>
      </c>
      <c r="CX95" s="228">
        <v>0</v>
      </c>
      <c r="CY95" s="229">
        <v>0</v>
      </c>
      <c r="CZ95" s="228">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9">
        <v>0</v>
      </c>
      <c r="DT95" s="228">
        <v>0</v>
      </c>
      <c r="DU95" s="228">
        <v>0</v>
      </c>
      <c r="DV95" s="228">
        <v>0</v>
      </c>
      <c r="DW95" s="228">
        <v>0</v>
      </c>
      <c r="DX95" s="228">
        <v>0</v>
      </c>
      <c r="DY95" s="229">
        <v>0</v>
      </c>
      <c r="DZ95" s="229">
        <v>0</v>
      </c>
      <c r="EA95" s="228">
        <v>0</v>
      </c>
      <c r="EB95" s="229">
        <v>0</v>
      </c>
      <c r="EC95" s="229">
        <v>0</v>
      </c>
      <c r="ED95" s="228">
        <v>0</v>
      </c>
      <c r="EE95" s="229">
        <v>0</v>
      </c>
      <c r="EF95" s="228">
        <v>0</v>
      </c>
      <c r="EG95" s="228">
        <v>0</v>
      </c>
      <c r="EH95" s="229">
        <v>0</v>
      </c>
      <c r="EI95" s="229">
        <v>0</v>
      </c>
      <c r="EJ95" s="228">
        <v>0</v>
      </c>
      <c r="EK95" s="228">
        <v>0</v>
      </c>
      <c r="EL95" s="228">
        <v>0</v>
      </c>
      <c r="EM95" s="228">
        <v>0</v>
      </c>
      <c r="EN95" s="228">
        <v>0</v>
      </c>
      <c r="EO95" s="228">
        <v>0</v>
      </c>
      <c r="EP95" s="228">
        <v>0</v>
      </c>
      <c r="EQ95" s="229">
        <v>0</v>
      </c>
      <c r="ER95" s="228">
        <v>0</v>
      </c>
      <c r="ES95" s="228">
        <v>0</v>
      </c>
      <c r="ET95" s="228">
        <v>0</v>
      </c>
      <c r="EU95" s="228">
        <v>0</v>
      </c>
      <c r="EV95" s="228">
        <v>0</v>
      </c>
      <c r="EW95" s="228">
        <v>0</v>
      </c>
      <c r="EX95" s="228">
        <v>0</v>
      </c>
      <c r="EY95" s="229">
        <v>0</v>
      </c>
      <c r="EZ95" s="229">
        <v>0</v>
      </c>
      <c r="FA95" s="227" t="s">
        <v>237</v>
      </c>
      <c r="FB95" s="161">
        <f t="shared" si="1"/>
        <v>0</v>
      </c>
    </row>
    <row r="96" spans="1:158" ht="17.25" hidden="1" thickBot="1" x14ac:dyDescent="0.3">
      <c r="A96" s="226">
        <v>45940</v>
      </c>
      <c r="B96" s="227" t="s">
        <v>215</v>
      </c>
      <c r="C96" s="227" t="s">
        <v>238</v>
      </c>
      <c r="D96" s="228">
        <v>150</v>
      </c>
      <c r="E96" s="231">
        <v>5764</v>
      </c>
      <c r="F96" s="231">
        <v>5752.5</v>
      </c>
      <c r="G96" s="228">
        <v>11.5</v>
      </c>
      <c r="H96" s="229">
        <v>2E-3</v>
      </c>
      <c r="I96" s="231">
        <v>5735</v>
      </c>
      <c r="J96" s="231">
        <v>5724.5</v>
      </c>
      <c r="K96" s="228">
        <v>10.5</v>
      </c>
      <c r="L96" s="229">
        <v>1.8E-3</v>
      </c>
      <c r="M96" s="231">
        <v>5764</v>
      </c>
      <c r="N96" s="231">
        <v>5752.5</v>
      </c>
      <c r="O96" s="228">
        <v>11.5</v>
      </c>
      <c r="P96" s="229">
        <v>2E-3</v>
      </c>
      <c r="Q96" s="231">
        <v>5793.5</v>
      </c>
      <c r="R96" s="231">
        <v>5779</v>
      </c>
      <c r="S96" s="228">
        <v>14.5</v>
      </c>
      <c r="T96" s="229">
        <v>2.5000000000000001E-3</v>
      </c>
      <c r="U96" s="231">
        <v>5825.5</v>
      </c>
      <c r="V96" s="231">
        <v>5808.5</v>
      </c>
      <c r="W96" s="228">
        <v>17</v>
      </c>
      <c r="X96" s="229">
        <v>2.8999999999999998E-3</v>
      </c>
      <c r="Y96" s="228">
        <v>29</v>
      </c>
      <c r="Z96" s="228">
        <v>28</v>
      </c>
      <c r="AA96" s="228">
        <v>1</v>
      </c>
      <c r="AB96" s="229">
        <v>5.1000000000000004E-3</v>
      </c>
      <c r="AC96" s="228">
        <v>29</v>
      </c>
      <c r="AD96" s="228">
        <v>28</v>
      </c>
      <c r="AE96" s="228">
        <v>1</v>
      </c>
      <c r="AF96" s="229">
        <v>5.1000000000000004E-3</v>
      </c>
      <c r="AG96" s="228">
        <v>58.5</v>
      </c>
      <c r="AH96" s="228">
        <v>54.5</v>
      </c>
      <c r="AI96" s="228">
        <v>4</v>
      </c>
      <c r="AJ96" s="229">
        <v>1.0200000000000001E-2</v>
      </c>
      <c r="AK96" s="228">
        <v>90.5</v>
      </c>
      <c r="AL96" s="228">
        <v>84</v>
      </c>
      <c r="AM96" s="228">
        <v>6.5</v>
      </c>
      <c r="AN96" s="229">
        <v>1.5800000000000002E-2</v>
      </c>
      <c r="AO96" s="231">
        <v>5771.75</v>
      </c>
      <c r="AP96" s="231">
        <v>5798.03</v>
      </c>
      <c r="AQ96" s="228">
        <v>0</v>
      </c>
      <c r="AR96" s="230">
        <v>760050</v>
      </c>
      <c r="AS96" s="230">
        <v>1165950</v>
      </c>
      <c r="AT96" s="230">
        <v>-405900</v>
      </c>
      <c r="AU96" s="229">
        <v>-0.34810000000000002</v>
      </c>
      <c r="AV96" s="230">
        <v>710400</v>
      </c>
      <c r="AW96" s="230">
        <v>1066650</v>
      </c>
      <c r="AX96" s="230">
        <v>-356250</v>
      </c>
      <c r="AY96" s="229">
        <v>-0.33400000000000002</v>
      </c>
      <c r="AZ96" s="230">
        <v>37650</v>
      </c>
      <c r="BA96" s="230">
        <v>89850</v>
      </c>
      <c r="BB96" s="230">
        <v>-52200</v>
      </c>
      <c r="BC96" s="229">
        <v>-0.58099999999999996</v>
      </c>
      <c r="BD96" s="230">
        <v>12000</v>
      </c>
      <c r="BE96" s="230">
        <v>9450</v>
      </c>
      <c r="BF96" s="230">
        <v>2550</v>
      </c>
      <c r="BG96" s="229">
        <v>0.26979999999999998</v>
      </c>
      <c r="BH96" s="230">
        <v>2628450</v>
      </c>
      <c r="BI96" s="230">
        <v>3460350</v>
      </c>
      <c r="BJ96" s="230">
        <v>-831900</v>
      </c>
      <c r="BK96" s="229">
        <v>-0.2404</v>
      </c>
      <c r="BL96" s="230">
        <v>1014750</v>
      </c>
      <c r="BM96" s="230">
        <v>1506750</v>
      </c>
      <c r="BN96" s="230">
        <v>-492000</v>
      </c>
      <c r="BO96" s="229">
        <v>-0.32650000000000001</v>
      </c>
      <c r="BP96" s="230">
        <v>4403250</v>
      </c>
      <c r="BQ96" s="230">
        <v>6133050</v>
      </c>
      <c r="BR96" s="230">
        <v>-1729800</v>
      </c>
      <c r="BS96" s="229">
        <v>-0.28199999999999997</v>
      </c>
      <c r="BT96" s="230">
        <v>430408</v>
      </c>
      <c r="BU96" s="230">
        <v>677302</v>
      </c>
      <c r="BV96" s="230">
        <v>-246894</v>
      </c>
      <c r="BW96" s="229">
        <v>-0.36449999999999999</v>
      </c>
      <c r="BX96" s="230">
        <v>8090250</v>
      </c>
      <c r="BY96" s="230">
        <v>8216550</v>
      </c>
      <c r="BZ96" s="230">
        <v>-126300</v>
      </c>
      <c r="CA96" s="229">
        <v>-1.54E-2</v>
      </c>
      <c r="CB96" s="230">
        <v>7844400</v>
      </c>
      <c r="CC96" s="230">
        <v>7984650</v>
      </c>
      <c r="CD96" s="230">
        <v>-140250</v>
      </c>
      <c r="CE96" s="229">
        <v>-1.7600000000000001E-2</v>
      </c>
      <c r="CF96" s="230">
        <v>217350</v>
      </c>
      <c r="CG96" s="230">
        <v>211800</v>
      </c>
      <c r="CH96" s="230">
        <v>5550</v>
      </c>
      <c r="CI96" s="229">
        <v>2.6200000000000001E-2</v>
      </c>
      <c r="CJ96" s="230">
        <v>28500</v>
      </c>
      <c r="CK96" s="230">
        <v>20100</v>
      </c>
      <c r="CL96" s="230">
        <v>8400</v>
      </c>
      <c r="CM96" s="229">
        <v>0.41789999999999999</v>
      </c>
      <c r="CN96" s="230">
        <v>1858050</v>
      </c>
      <c r="CO96" s="230">
        <v>1794450</v>
      </c>
      <c r="CP96" s="230">
        <v>63600</v>
      </c>
      <c r="CQ96" s="229">
        <v>3.5400000000000001E-2</v>
      </c>
      <c r="CR96" s="230">
        <v>1341000</v>
      </c>
      <c r="CS96" s="230">
        <v>1295100</v>
      </c>
      <c r="CT96" s="230">
        <v>45900</v>
      </c>
      <c r="CU96" s="229">
        <v>3.5400000000000001E-2</v>
      </c>
      <c r="CV96" s="230">
        <v>11289300</v>
      </c>
      <c r="CW96" s="230">
        <v>11306100</v>
      </c>
      <c r="CX96" s="230">
        <v>-16800</v>
      </c>
      <c r="CY96" s="229">
        <v>-1.5E-3</v>
      </c>
      <c r="CZ96" s="228">
        <v>19.38</v>
      </c>
      <c r="DA96" s="228">
        <v>20.190000000000001</v>
      </c>
      <c r="DB96" s="228">
        <v>-0.81</v>
      </c>
      <c r="DC96" s="228">
        <v>-0.81</v>
      </c>
      <c r="DD96" s="228">
        <v>32.909999999999997</v>
      </c>
      <c r="DE96" s="228">
        <v>32.99</v>
      </c>
      <c r="DF96" s="228">
        <v>-13.53</v>
      </c>
      <c r="DG96" s="228">
        <v>-0.08</v>
      </c>
      <c r="DH96" s="228">
        <v>18.98</v>
      </c>
      <c r="DI96" s="228">
        <v>19.850000000000001</v>
      </c>
      <c r="DJ96" s="228">
        <v>-0.87</v>
      </c>
      <c r="DK96" s="228">
        <v>-0.87</v>
      </c>
      <c r="DL96" s="228">
        <v>20.420000000000002</v>
      </c>
      <c r="DM96" s="228">
        <v>20.95</v>
      </c>
      <c r="DN96" s="228">
        <v>-0.53</v>
      </c>
      <c r="DO96" s="228">
        <v>-0.53</v>
      </c>
      <c r="DP96" s="228">
        <v>0.72</v>
      </c>
      <c r="DQ96" s="228">
        <v>0.72</v>
      </c>
      <c r="DR96" s="228">
        <v>0</v>
      </c>
      <c r="DS96" s="229">
        <v>0</v>
      </c>
      <c r="DT96" s="231">
        <v>6000</v>
      </c>
      <c r="DU96" s="231">
        <v>5500</v>
      </c>
      <c r="DV96" s="228">
        <v>0.39</v>
      </c>
      <c r="DW96" s="228">
        <v>0.44</v>
      </c>
      <c r="DX96" s="228">
        <v>-0.05</v>
      </c>
      <c r="DY96" s="229">
        <v>-0.11360000000000001</v>
      </c>
      <c r="DZ96" s="229">
        <v>3.04E-2</v>
      </c>
      <c r="EA96" s="230">
        <v>231900</v>
      </c>
      <c r="EB96" s="229">
        <v>5.1000000000000004E-3</v>
      </c>
      <c r="EC96" s="229">
        <v>3.04E-2</v>
      </c>
      <c r="ED96" s="228">
        <v>26.28</v>
      </c>
      <c r="EE96" s="229">
        <v>4.5999999999999999E-3</v>
      </c>
      <c r="EF96" s="230">
        <v>253817</v>
      </c>
      <c r="EG96" s="230">
        <v>438694</v>
      </c>
      <c r="EH96" s="229">
        <v>-0.4214</v>
      </c>
      <c r="EI96" s="229">
        <v>0.5897</v>
      </c>
      <c r="EJ96" s="231">
        <v>155585.75</v>
      </c>
      <c r="EK96" s="231">
        <v>57544.92</v>
      </c>
      <c r="EL96" s="231">
        <v>43885.14</v>
      </c>
      <c r="EM96" s="231">
        <v>5445</v>
      </c>
      <c r="EN96" s="231">
        <v>257015.81</v>
      </c>
      <c r="EO96" s="231">
        <v>355933.52</v>
      </c>
      <c r="EP96" s="231">
        <v>-98917.71</v>
      </c>
      <c r="EQ96" s="229">
        <v>-0.27789999999999998</v>
      </c>
      <c r="ER96" s="231">
        <v>109050</v>
      </c>
      <c r="ES96" s="231">
        <v>75324</v>
      </c>
      <c r="ET96" s="231">
        <v>466404</v>
      </c>
      <c r="EU96" s="231">
        <v>32732860</v>
      </c>
      <c r="EV96" s="231">
        <v>650778</v>
      </c>
      <c r="EW96" s="231">
        <v>650731</v>
      </c>
      <c r="EX96" s="228">
        <v>47</v>
      </c>
      <c r="EY96" s="229">
        <v>1E-4</v>
      </c>
      <c r="EZ96" s="229">
        <v>0.34489999999999998</v>
      </c>
      <c r="FA96" s="227" t="s">
        <v>556</v>
      </c>
      <c r="FB96" s="161">
        <f t="shared" si="1"/>
        <v>245850</v>
      </c>
    </row>
    <row r="97" spans="1:158" ht="17.25" hidden="1" thickBot="1" x14ac:dyDescent="0.3">
      <c r="A97" s="226">
        <v>45940</v>
      </c>
      <c r="B97" s="227" t="s">
        <v>172</v>
      </c>
      <c r="C97" s="227" t="s">
        <v>239</v>
      </c>
      <c r="D97" s="228">
        <v>700</v>
      </c>
      <c r="E97" s="228">
        <v>767.65</v>
      </c>
      <c r="F97" s="228">
        <v>753.5</v>
      </c>
      <c r="G97" s="228">
        <v>14.15</v>
      </c>
      <c r="H97" s="229">
        <v>1.8800000000000001E-2</v>
      </c>
      <c r="I97" s="228">
        <v>763.35</v>
      </c>
      <c r="J97" s="228">
        <v>749.15</v>
      </c>
      <c r="K97" s="228">
        <v>14.2</v>
      </c>
      <c r="L97" s="229">
        <v>1.9E-2</v>
      </c>
      <c r="M97" s="228">
        <v>767.65</v>
      </c>
      <c r="N97" s="228">
        <v>753.5</v>
      </c>
      <c r="O97" s="228">
        <v>14.15</v>
      </c>
      <c r="P97" s="229">
        <v>1.8800000000000001E-2</v>
      </c>
      <c r="Q97" s="228">
        <v>771.95</v>
      </c>
      <c r="R97" s="228">
        <v>757.4</v>
      </c>
      <c r="S97" s="228">
        <v>14.55</v>
      </c>
      <c r="T97" s="229">
        <v>1.9199999999999998E-2</v>
      </c>
      <c r="U97" s="228">
        <v>775.7</v>
      </c>
      <c r="V97" s="228">
        <v>763.15</v>
      </c>
      <c r="W97" s="228">
        <v>12.55</v>
      </c>
      <c r="X97" s="229">
        <v>1.6400000000000001E-2</v>
      </c>
      <c r="Y97" s="228">
        <v>4.3</v>
      </c>
      <c r="Z97" s="228">
        <v>4.3499999999999996</v>
      </c>
      <c r="AA97" s="228">
        <v>-0.05</v>
      </c>
      <c r="AB97" s="229">
        <v>5.5999999999999999E-3</v>
      </c>
      <c r="AC97" s="228">
        <v>4.3</v>
      </c>
      <c r="AD97" s="228">
        <v>4.3499999999999996</v>
      </c>
      <c r="AE97" s="228">
        <v>-0.05</v>
      </c>
      <c r="AF97" s="229">
        <v>5.5999999999999999E-3</v>
      </c>
      <c r="AG97" s="228">
        <v>8.6</v>
      </c>
      <c r="AH97" s="228">
        <v>8.25</v>
      </c>
      <c r="AI97" s="228">
        <v>0.35</v>
      </c>
      <c r="AJ97" s="229">
        <v>1.1299999999999999E-2</v>
      </c>
      <c r="AK97" s="228">
        <v>12.35</v>
      </c>
      <c r="AL97" s="228">
        <v>14</v>
      </c>
      <c r="AM97" s="228">
        <v>-1.65</v>
      </c>
      <c r="AN97" s="229">
        <v>1.6199999999999999E-2</v>
      </c>
      <c r="AO97" s="228">
        <v>764.27</v>
      </c>
      <c r="AP97" s="228">
        <v>767.31</v>
      </c>
      <c r="AQ97" s="228">
        <v>0</v>
      </c>
      <c r="AR97" s="230">
        <v>10026100</v>
      </c>
      <c r="AS97" s="230">
        <v>6742400</v>
      </c>
      <c r="AT97" s="230">
        <v>3283700</v>
      </c>
      <c r="AU97" s="229">
        <v>0.48699999999999999</v>
      </c>
      <c r="AV97" s="230">
        <v>9358300</v>
      </c>
      <c r="AW97" s="230">
        <v>6271300</v>
      </c>
      <c r="AX97" s="230">
        <v>3087000</v>
      </c>
      <c r="AY97" s="229">
        <v>0.49220000000000003</v>
      </c>
      <c r="AZ97" s="230">
        <v>583100</v>
      </c>
      <c r="BA97" s="230">
        <v>362600</v>
      </c>
      <c r="BB97" s="230">
        <v>220500</v>
      </c>
      <c r="BC97" s="229">
        <v>0.60809999999999997</v>
      </c>
      <c r="BD97" s="230">
        <v>84700</v>
      </c>
      <c r="BE97" s="230">
        <v>108500</v>
      </c>
      <c r="BF97" s="230">
        <v>-23800</v>
      </c>
      <c r="BG97" s="229">
        <v>-0.21940000000000001</v>
      </c>
      <c r="BH97" s="230">
        <v>24532900</v>
      </c>
      <c r="BI97" s="230">
        <v>11258800</v>
      </c>
      <c r="BJ97" s="230">
        <v>13274100</v>
      </c>
      <c r="BK97" s="229">
        <v>1.179</v>
      </c>
      <c r="BL97" s="230">
        <v>10637200</v>
      </c>
      <c r="BM97" s="230">
        <v>6570900</v>
      </c>
      <c r="BN97" s="230">
        <v>4066300</v>
      </c>
      <c r="BO97" s="229">
        <v>0.61880000000000002</v>
      </c>
      <c r="BP97" s="230">
        <v>45196200</v>
      </c>
      <c r="BQ97" s="230">
        <v>24572100</v>
      </c>
      <c r="BR97" s="230">
        <v>20624100</v>
      </c>
      <c r="BS97" s="229">
        <v>0.83930000000000005</v>
      </c>
      <c r="BT97" s="230">
        <v>5473184</v>
      </c>
      <c r="BU97" s="230">
        <v>3618210</v>
      </c>
      <c r="BV97" s="230">
        <v>1854974</v>
      </c>
      <c r="BW97" s="229">
        <v>0.51270000000000004</v>
      </c>
      <c r="BX97" s="230">
        <v>53741800</v>
      </c>
      <c r="BY97" s="230">
        <v>53961600</v>
      </c>
      <c r="BZ97" s="230">
        <v>-219800</v>
      </c>
      <c r="CA97" s="229">
        <v>-4.1000000000000003E-3</v>
      </c>
      <c r="CB97" s="230">
        <v>51786700</v>
      </c>
      <c r="CC97" s="230">
        <v>52080000</v>
      </c>
      <c r="CD97" s="230">
        <v>-293300</v>
      </c>
      <c r="CE97" s="229">
        <v>-5.5999999999999999E-3</v>
      </c>
      <c r="CF97" s="230">
        <v>1839600</v>
      </c>
      <c r="CG97" s="230">
        <v>1789900</v>
      </c>
      <c r="CH97" s="230">
        <v>49700</v>
      </c>
      <c r="CI97" s="229">
        <v>2.7799999999999998E-2</v>
      </c>
      <c r="CJ97" s="230">
        <v>115500</v>
      </c>
      <c r="CK97" s="230">
        <v>91700</v>
      </c>
      <c r="CL97" s="230">
        <v>23800</v>
      </c>
      <c r="CM97" s="229">
        <v>0.25950000000000001</v>
      </c>
      <c r="CN97" s="230">
        <v>11341400</v>
      </c>
      <c r="CO97" s="230">
        <v>11094300</v>
      </c>
      <c r="CP97" s="230">
        <v>247100</v>
      </c>
      <c r="CQ97" s="229">
        <v>2.23E-2</v>
      </c>
      <c r="CR97" s="230">
        <v>11550700</v>
      </c>
      <c r="CS97" s="230">
        <v>11416300</v>
      </c>
      <c r="CT97" s="230">
        <v>134400</v>
      </c>
      <c r="CU97" s="229">
        <v>1.18E-2</v>
      </c>
      <c r="CV97" s="230">
        <v>76633900</v>
      </c>
      <c r="CW97" s="230">
        <v>76472200</v>
      </c>
      <c r="CX97" s="230">
        <v>161700</v>
      </c>
      <c r="CY97" s="229">
        <v>2.0999999999999999E-3</v>
      </c>
      <c r="CZ97" s="228">
        <v>30.07</v>
      </c>
      <c r="DA97" s="228">
        <v>29.69</v>
      </c>
      <c r="DB97" s="228">
        <v>0.38</v>
      </c>
      <c r="DC97" s="228">
        <v>0.38</v>
      </c>
      <c r="DD97" s="228">
        <v>47.6</v>
      </c>
      <c r="DE97" s="228">
        <v>47.65</v>
      </c>
      <c r="DF97" s="228">
        <v>-17.53</v>
      </c>
      <c r="DG97" s="228">
        <v>-0.05</v>
      </c>
      <c r="DH97" s="228">
        <v>29.82</v>
      </c>
      <c r="DI97" s="228">
        <v>29.57</v>
      </c>
      <c r="DJ97" s="228">
        <v>0.25</v>
      </c>
      <c r="DK97" s="228">
        <v>0.25</v>
      </c>
      <c r="DL97" s="228">
        <v>30.63</v>
      </c>
      <c r="DM97" s="228">
        <v>29.91</v>
      </c>
      <c r="DN97" s="228">
        <v>0.72</v>
      </c>
      <c r="DO97" s="228">
        <v>0.72</v>
      </c>
      <c r="DP97" s="228">
        <v>1.02</v>
      </c>
      <c r="DQ97" s="228">
        <v>1.03</v>
      </c>
      <c r="DR97" s="228">
        <v>-0.01</v>
      </c>
      <c r="DS97" s="229">
        <v>-9.7000000000000003E-3</v>
      </c>
      <c r="DT97" s="228">
        <v>800</v>
      </c>
      <c r="DU97" s="228">
        <v>700</v>
      </c>
      <c r="DV97" s="228">
        <v>0.43</v>
      </c>
      <c r="DW97" s="228">
        <v>0.57999999999999996</v>
      </c>
      <c r="DX97" s="228">
        <v>-0.15</v>
      </c>
      <c r="DY97" s="229">
        <v>-0.2586</v>
      </c>
      <c r="DZ97" s="229">
        <v>3.6400000000000002E-2</v>
      </c>
      <c r="EA97" s="230">
        <v>1881600</v>
      </c>
      <c r="EB97" s="229">
        <v>5.5999999999999999E-3</v>
      </c>
      <c r="EC97" s="229">
        <v>3.6400000000000002E-2</v>
      </c>
      <c r="ED97" s="228">
        <v>3.04</v>
      </c>
      <c r="EE97" s="229">
        <v>4.0000000000000001E-3</v>
      </c>
      <c r="EF97" s="230">
        <v>3237366</v>
      </c>
      <c r="EG97" s="230">
        <v>2192490</v>
      </c>
      <c r="EH97" s="229">
        <v>0.47660000000000002</v>
      </c>
      <c r="EI97" s="229">
        <v>0.59150000000000003</v>
      </c>
      <c r="EJ97" s="231">
        <v>194901.13</v>
      </c>
      <c r="EK97" s="231">
        <v>81016.84</v>
      </c>
      <c r="EL97" s="231">
        <v>76650.42</v>
      </c>
      <c r="EM97" s="231">
        <v>10514</v>
      </c>
      <c r="EN97" s="231">
        <v>352568.39</v>
      </c>
      <c r="EO97" s="231">
        <v>188759.85</v>
      </c>
      <c r="EP97" s="231">
        <v>163808.54</v>
      </c>
      <c r="EQ97" s="229">
        <v>0.86780000000000002</v>
      </c>
      <c r="ER97" s="231">
        <v>88353</v>
      </c>
      <c r="ES97" s="231">
        <v>85223</v>
      </c>
      <c r="ET97" s="231">
        <v>412637</v>
      </c>
      <c r="EU97" s="231">
        <v>93805784</v>
      </c>
      <c r="EV97" s="231">
        <v>586213</v>
      </c>
      <c r="EW97" s="231">
        <v>577056</v>
      </c>
      <c r="EX97" s="231">
        <v>9157</v>
      </c>
      <c r="EY97" s="229">
        <v>1.5900000000000001E-2</v>
      </c>
      <c r="EZ97" s="229">
        <v>0.81689999999999996</v>
      </c>
      <c r="FA97" s="227" t="s">
        <v>556</v>
      </c>
      <c r="FB97" s="161">
        <f t="shared" si="1"/>
        <v>1955100</v>
      </c>
    </row>
    <row r="98" spans="1:158" ht="17.25" hidden="1" thickBot="1" x14ac:dyDescent="0.3">
      <c r="A98" s="226">
        <v>45940</v>
      </c>
      <c r="B98" s="227" t="s">
        <v>188</v>
      </c>
      <c r="C98" s="227" t="s">
        <v>473</v>
      </c>
      <c r="D98" s="228">
        <v>1700</v>
      </c>
      <c r="E98" s="228">
        <v>355.65</v>
      </c>
      <c r="F98" s="228">
        <v>357.2</v>
      </c>
      <c r="G98" s="228">
        <v>-1.55</v>
      </c>
      <c r="H98" s="229">
        <v>-4.3E-3</v>
      </c>
      <c r="I98" s="228">
        <v>353.7</v>
      </c>
      <c r="J98" s="228">
        <v>354.85</v>
      </c>
      <c r="K98" s="228">
        <v>-1.1499999999999999</v>
      </c>
      <c r="L98" s="229">
        <v>-3.2000000000000002E-3</v>
      </c>
      <c r="M98" s="228">
        <v>355.65</v>
      </c>
      <c r="N98" s="228">
        <v>357.2</v>
      </c>
      <c r="O98" s="228">
        <v>-1.55</v>
      </c>
      <c r="P98" s="229">
        <v>-4.3E-3</v>
      </c>
      <c r="Q98" s="228">
        <v>357.5</v>
      </c>
      <c r="R98" s="228">
        <v>358.8</v>
      </c>
      <c r="S98" s="228">
        <v>-1.3</v>
      </c>
      <c r="T98" s="229">
        <v>-3.5999999999999999E-3</v>
      </c>
      <c r="U98" s="228">
        <v>359.95</v>
      </c>
      <c r="V98" s="228">
        <v>361.05</v>
      </c>
      <c r="W98" s="228">
        <v>-1.1000000000000001</v>
      </c>
      <c r="X98" s="229">
        <v>-3.0000000000000001E-3</v>
      </c>
      <c r="Y98" s="228">
        <v>1.95</v>
      </c>
      <c r="Z98" s="228">
        <v>2.35</v>
      </c>
      <c r="AA98" s="228">
        <v>-0.4</v>
      </c>
      <c r="AB98" s="229">
        <v>5.4999999999999997E-3</v>
      </c>
      <c r="AC98" s="228">
        <v>1.95</v>
      </c>
      <c r="AD98" s="228">
        <v>2.35</v>
      </c>
      <c r="AE98" s="228">
        <v>-0.4</v>
      </c>
      <c r="AF98" s="229">
        <v>5.4999999999999997E-3</v>
      </c>
      <c r="AG98" s="228">
        <v>3.8</v>
      </c>
      <c r="AH98" s="228">
        <v>3.95</v>
      </c>
      <c r="AI98" s="228">
        <v>-0.15</v>
      </c>
      <c r="AJ98" s="229">
        <v>1.0699999999999999E-2</v>
      </c>
      <c r="AK98" s="228">
        <v>6.25</v>
      </c>
      <c r="AL98" s="228">
        <v>6.2</v>
      </c>
      <c r="AM98" s="228">
        <v>0.05</v>
      </c>
      <c r="AN98" s="229">
        <v>1.77E-2</v>
      </c>
      <c r="AO98" s="228">
        <v>357.14</v>
      </c>
      <c r="AP98" s="228">
        <v>359.13</v>
      </c>
      <c r="AQ98" s="228">
        <v>0</v>
      </c>
      <c r="AR98" s="230">
        <v>8896100</v>
      </c>
      <c r="AS98" s="230">
        <v>7886300</v>
      </c>
      <c r="AT98" s="230">
        <v>1009800</v>
      </c>
      <c r="AU98" s="229">
        <v>0.128</v>
      </c>
      <c r="AV98" s="230">
        <v>8564600</v>
      </c>
      <c r="AW98" s="230">
        <v>7233500</v>
      </c>
      <c r="AX98" s="230">
        <v>1331100</v>
      </c>
      <c r="AY98" s="229">
        <v>0.184</v>
      </c>
      <c r="AZ98" s="230">
        <v>312800</v>
      </c>
      <c r="BA98" s="230">
        <v>625600</v>
      </c>
      <c r="BB98" s="230">
        <v>-312800</v>
      </c>
      <c r="BC98" s="229">
        <v>-0.5</v>
      </c>
      <c r="BD98" s="230">
        <v>18700</v>
      </c>
      <c r="BE98" s="230">
        <v>27200</v>
      </c>
      <c r="BF98" s="230">
        <v>-8500</v>
      </c>
      <c r="BG98" s="229">
        <v>-0.3125</v>
      </c>
      <c r="BH98" s="230">
        <v>22025200</v>
      </c>
      <c r="BI98" s="230">
        <v>12556200</v>
      </c>
      <c r="BJ98" s="230">
        <v>9469000</v>
      </c>
      <c r="BK98" s="229">
        <v>0.75409999999999999</v>
      </c>
      <c r="BL98" s="230">
        <v>8114100</v>
      </c>
      <c r="BM98" s="230">
        <v>7852300</v>
      </c>
      <c r="BN98" s="230">
        <v>261800</v>
      </c>
      <c r="BO98" s="229">
        <v>3.3300000000000003E-2</v>
      </c>
      <c r="BP98" s="230">
        <v>39035400</v>
      </c>
      <c r="BQ98" s="230">
        <v>28294800</v>
      </c>
      <c r="BR98" s="230">
        <v>10740600</v>
      </c>
      <c r="BS98" s="229">
        <v>0.37959999999999999</v>
      </c>
      <c r="BT98" s="230">
        <v>5107578</v>
      </c>
      <c r="BU98" s="230">
        <v>4514550</v>
      </c>
      <c r="BV98" s="230">
        <v>593028</v>
      </c>
      <c r="BW98" s="229">
        <v>0.13139999999999999</v>
      </c>
      <c r="BX98" s="230">
        <v>88774000</v>
      </c>
      <c r="BY98" s="230">
        <v>88248700</v>
      </c>
      <c r="BZ98" s="230">
        <v>525300</v>
      </c>
      <c r="CA98" s="229">
        <v>6.0000000000000001E-3</v>
      </c>
      <c r="CB98" s="230">
        <v>86851300</v>
      </c>
      <c r="CC98" s="230">
        <v>86422900</v>
      </c>
      <c r="CD98" s="230">
        <v>428400</v>
      </c>
      <c r="CE98" s="229">
        <v>5.0000000000000001E-3</v>
      </c>
      <c r="CF98" s="230">
        <v>1859800</v>
      </c>
      <c r="CG98" s="230">
        <v>1769700</v>
      </c>
      <c r="CH98" s="230">
        <v>90100</v>
      </c>
      <c r="CI98" s="229">
        <v>5.0900000000000001E-2</v>
      </c>
      <c r="CJ98" s="230">
        <v>62900</v>
      </c>
      <c r="CK98" s="230">
        <v>56100</v>
      </c>
      <c r="CL98" s="230">
        <v>6800</v>
      </c>
      <c r="CM98" s="229">
        <v>0.1212</v>
      </c>
      <c r="CN98" s="230">
        <v>23138700</v>
      </c>
      <c r="CO98" s="230">
        <v>18479000</v>
      </c>
      <c r="CP98" s="230">
        <v>4659700</v>
      </c>
      <c r="CQ98" s="229">
        <v>0.25219999999999998</v>
      </c>
      <c r="CR98" s="230">
        <v>13358600</v>
      </c>
      <c r="CS98" s="230">
        <v>12741500</v>
      </c>
      <c r="CT98" s="230">
        <v>617100</v>
      </c>
      <c r="CU98" s="229">
        <v>4.8399999999999999E-2</v>
      </c>
      <c r="CV98" s="230">
        <v>125271300</v>
      </c>
      <c r="CW98" s="230">
        <v>119469200</v>
      </c>
      <c r="CX98" s="230">
        <v>5802100</v>
      </c>
      <c r="CY98" s="229">
        <v>4.8599999999999997E-2</v>
      </c>
      <c r="CZ98" s="228">
        <v>32.94</v>
      </c>
      <c r="DA98" s="228">
        <v>31.36</v>
      </c>
      <c r="DB98" s="228">
        <v>1.58</v>
      </c>
      <c r="DC98" s="228">
        <v>1.58</v>
      </c>
      <c r="DD98" s="228">
        <v>39.86</v>
      </c>
      <c r="DE98" s="228">
        <v>39.950000000000003</v>
      </c>
      <c r="DF98" s="228">
        <v>-6.92</v>
      </c>
      <c r="DG98" s="228">
        <v>-0.09</v>
      </c>
      <c r="DH98" s="228">
        <v>33.01</v>
      </c>
      <c r="DI98" s="228">
        <v>31.22</v>
      </c>
      <c r="DJ98" s="228">
        <v>1.79</v>
      </c>
      <c r="DK98" s="228">
        <v>1.79</v>
      </c>
      <c r="DL98" s="228">
        <v>32.75</v>
      </c>
      <c r="DM98" s="228">
        <v>31.59</v>
      </c>
      <c r="DN98" s="228">
        <v>1.1599999999999999</v>
      </c>
      <c r="DO98" s="228">
        <v>1.1599999999999999</v>
      </c>
      <c r="DP98" s="228">
        <v>0.57999999999999996</v>
      </c>
      <c r="DQ98" s="228">
        <v>0.69</v>
      </c>
      <c r="DR98" s="228">
        <v>-0.11</v>
      </c>
      <c r="DS98" s="229">
        <v>-0.15939999999999999</v>
      </c>
      <c r="DT98" s="228">
        <v>360</v>
      </c>
      <c r="DU98" s="228">
        <v>350</v>
      </c>
      <c r="DV98" s="228">
        <v>0.37</v>
      </c>
      <c r="DW98" s="228">
        <v>0.63</v>
      </c>
      <c r="DX98" s="228">
        <v>-0.26</v>
      </c>
      <c r="DY98" s="229">
        <v>-0.41270000000000001</v>
      </c>
      <c r="DZ98" s="229">
        <v>2.1700000000000001E-2</v>
      </c>
      <c r="EA98" s="230">
        <v>1825800</v>
      </c>
      <c r="EB98" s="229">
        <v>5.1999999999999998E-3</v>
      </c>
      <c r="EC98" s="229">
        <v>2.1700000000000001E-2</v>
      </c>
      <c r="ED98" s="228">
        <v>1.99</v>
      </c>
      <c r="EE98" s="229">
        <v>5.5999999999999999E-3</v>
      </c>
      <c r="EF98" s="230">
        <v>3346332</v>
      </c>
      <c r="EG98" s="230">
        <v>2802439</v>
      </c>
      <c r="EH98" s="229">
        <v>0.19409999999999999</v>
      </c>
      <c r="EI98" s="229">
        <v>0.6552</v>
      </c>
      <c r="EJ98" s="231">
        <v>82364.22</v>
      </c>
      <c r="EK98" s="231">
        <v>28957</v>
      </c>
      <c r="EL98" s="231">
        <v>31778.799999999999</v>
      </c>
      <c r="EM98" s="231">
        <v>5208</v>
      </c>
      <c r="EN98" s="231">
        <v>143100.01999999999</v>
      </c>
      <c r="EO98" s="231">
        <v>102735.96</v>
      </c>
      <c r="EP98" s="231">
        <v>40364.06</v>
      </c>
      <c r="EQ98" s="229">
        <v>0.39290000000000003</v>
      </c>
      <c r="ER98" s="231">
        <v>85728</v>
      </c>
      <c r="ES98" s="231">
        <v>46184</v>
      </c>
      <c r="ET98" s="231">
        <v>315762</v>
      </c>
      <c r="EU98" s="231">
        <v>197705578</v>
      </c>
      <c r="EV98" s="231">
        <v>447674</v>
      </c>
      <c r="EW98" s="231">
        <v>427995</v>
      </c>
      <c r="EX98" s="231">
        <v>19679</v>
      </c>
      <c r="EY98" s="229">
        <v>4.5999999999999999E-2</v>
      </c>
      <c r="EZ98" s="229">
        <v>0.63360000000000005</v>
      </c>
      <c r="FA98" s="227" t="s">
        <v>567</v>
      </c>
      <c r="FB98" s="161">
        <f t="shared" si="1"/>
        <v>1922700</v>
      </c>
    </row>
    <row r="99" spans="1:158" ht="17.25" hidden="1" thickBot="1" x14ac:dyDescent="0.3">
      <c r="A99" s="226">
        <v>45940</v>
      </c>
      <c r="B99" s="227" t="s">
        <v>221</v>
      </c>
      <c r="C99" s="227" t="s">
        <v>240</v>
      </c>
      <c r="D99" s="228">
        <v>400</v>
      </c>
      <c r="E99" s="231">
        <v>1508.2</v>
      </c>
      <c r="F99" s="231">
        <v>1506.6</v>
      </c>
      <c r="G99" s="228">
        <v>1.6</v>
      </c>
      <c r="H99" s="229">
        <v>1.1000000000000001E-3</v>
      </c>
      <c r="I99" s="231">
        <v>1514.9</v>
      </c>
      <c r="J99" s="231">
        <v>1509.3</v>
      </c>
      <c r="K99" s="228">
        <v>5.6</v>
      </c>
      <c r="L99" s="229">
        <v>3.7000000000000002E-3</v>
      </c>
      <c r="M99" s="231">
        <v>1508.2</v>
      </c>
      <c r="N99" s="231">
        <v>1506.6</v>
      </c>
      <c r="O99" s="228">
        <v>1.6</v>
      </c>
      <c r="P99" s="229">
        <v>1.1000000000000001E-3</v>
      </c>
      <c r="Q99" s="231">
        <v>1500.5</v>
      </c>
      <c r="R99" s="231">
        <v>1496.4</v>
      </c>
      <c r="S99" s="228">
        <v>4.0999999999999996</v>
      </c>
      <c r="T99" s="229">
        <v>2.7000000000000001E-3</v>
      </c>
      <c r="U99" s="231">
        <v>1505.9</v>
      </c>
      <c r="V99" s="231">
        <v>1501.9</v>
      </c>
      <c r="W99" s="228">
        <v>4</v>
      </c>
      <c r="X99" s="229">
        <v>2.7000000000000001E-3</v>
      </c>
      <c r="Y99" s="228">
        <v>-6.7</v>
      </c>
      <c r="Z99" s="228">
        <v>-2.7</v>
      </c>
      <c r="AA99" s="228">
        <v>-4</v>
      </c>
      <c r="AB99" s="229">
        <v>-4.4000000000000003E-3</v>
      </c>
      <c r="AC99" s="228">
        <v>-6.7</v>
      </c>
      <c r="AD99" s="228">
        <v>-2.7</v>
      </c>
      <c r="AE99" s="228">
        <v>-4</v>
      </c>
      <c r="AF99" s="229">
        <v>-4.4000000000000003E-3</v>
      </c>
      <c r="AG99" s="228">
        <v>-14.4</v>
      </c>
      <c r="AH99" s="228">
        <v>-12.9</v>
      </c>
      <c r="AI99" s="228">
        <v>-1.5</v>
      </c>
      <c r="AJ99" s="229">
        <v>-9.4999999999999998E-3</v>
      </c>
      <c r="AK99" s="228">
        <v>-9</v>
      </c>
      <c r="AL99" s="228">
        <v>-7.4</v>
      </c>
      <c r="AM99" s="228">
        <v>-1.6</v>
      </c>
      <c r="AN99" s="229">
        <v>-5.8999999999999999E-3</v>
      </c>
      <c r="AO99" s="231">
        <v>1507.21</v>
      </c>
      <c r="AP99" s="231">
        <v>1499.43</v>
      </c>
      <c r="AQ99" s="228">
        <v>0</v>
      </c>
      <c r="AR99" s="230">
        <v>10703200</v>
      </c>
      <c r="AS99" s="230">
        <v>13160400</v>
      </c>
      <c r="AT99" s="230">
        <v>-2457200</v>
      </c>
      <c r="AU99" s="229">
        <v>-0.1867</v>
      </c>
      <c r="AV99" s="230">
        <v>9734400</v>
      </c>
      <c r="AW99" s="230">
        <v>12204400</v>
      </c>
      <c r="AX99" s="230">
        <v>-2470000</v>
      </c>
      <c r="AY99" s="229">
        <v>-0.2024</v>
      </c>
      <c r="AZ99" s="230">
        <v>808000</v>
      </c>
      <c r="BA99" s="230">
        <v>884000</v>
      </c>
      <c r="BB99" s="230">
        <v>-76000</v>
      </c>
      <c r="BC99" s="229">
        <v>-8.5999999999999993E-2</v>
      </c>
      <c r="BD99" s="230">
        <v>160800</v>
      </c>
      <c r="BE99" s="230">
        <v>72000</v>
      </c>
      <c r="BF99" s="230">
        <v>88800</v>
      </c>
      <c r="BG99" s="229">
        <v>1.2333000000000001</v>
      </c>
      <c r="BH99" s="230">
        <v>27002400</v>
      </c>
      <c r="BI99" s="230">
        <v>40500800</v>
      </c>
      <c r="BJ99" s="230">
        <v>-13498400</v>
      </c>
      <c r="BK99" s="229">
        <v>-0.33329999999999999</v>
      </c>
      <c r="BL99" s="230">
        <v>17698400</v>
      </c>
      <c r="BM99" s="230">
        <v>24314000</v>
      </c>
      <c r="BN99" s="230">
        <v>-6615600</v>
      </c>
      <c r="BO99" s="229">
        <v>-0.27210000000000001</v>
      </c>
      <c r="BP99" s="230">
        <v>55404000</v>
      </c>
      <c r="BQ99" s="230">
        <v>77975200</v>
      </c>
      <c r="BR99" s="230">
        <v>-22571200</v>
      </c>
      <c r="BS99" s="229">
        <v>-0.28949999999999998</v>
      </c>
      <c r="BT99" s="230">
        <v>3941834</v>
      </c>
      <c r="BU99" s="230">
        <v>7610404</v>
      </c>
      <c r="BV99" s="230">
        <v>-3668570</v>
      </c>
      <c r="BW99" s="229">
        <v>-0.48199999999999998</v>
      </c>
      <c r="BX99" s="230">
        <v>59457200</v>
      </c>
      <c r="BY99" s="230">
        <v>61124800</v>
      </c>
      <c r="BZ99" s="230">
        <v>-1667600</v>
      </c>
      <c r="CA99" s="229">
        <v>-2.7300000000000001E-2</v>
      </c>
      <c r="CB99" s="230">
        <v>39406800</v>
      </c>
      <c r="CC99" s="230">
        <v>40988800</v>
      </c>
      <c r="CD99" s="230">
        <v>-1582000</v>
      </c>
      <c r="CE99" s="229">
        <v>-3.8600000000000002E-2</v>
      </c>
      <c r="CF99" s="230">
        <v>19810000</v>
      </c>
      <c r="CG99" s="230">
        <v>20000400</v>
      </c>
      <c r="CH99" s="230">
        <v>-190400</v>
      </c>
      <c r="CI99" s="229">
        <v>-9.4999999999999998E-3</v>
      </c>
      <c r="CJ99" s="230">
        <v>240400</v>
      </c>
      <c r="CK99" s="230">
        <v>135600</v>
      </c>
      <c r="CL99" s="230">
        <v>104800</v>
      </c>
      <c r="CM99" s="229">
        <v>0.77290000000000003</v>
      </c>
      <c r="CN99" s="230">
        <v>19015600</v>
      </c>
      <c r="CO99" s="230">
        <v>18856400</v>
      </c>
      <c r="CP99" s="230">
        <v>159200</v>
      </c>
      <c r="CQ99" s="229">
        <v>8.3999999999999995E-3</v>
      </c>
      <c r="CR99" s="230">
        <v>16080000</v>
      </c>
      <c r="CS99" s="230">
        <v>16436800</v>
      </c>
      <c r="CT99" s="230">
        <v>-356800</v>
      </c>
      <c r="CU99" s="229">
        <v>-2.1700000000000001E-2</v>
      </c>
      <c r="CV99" s="230">
        <v>94552800</v>
      </c>
      <c r="CW99" s="230">
        <v>96418000</v>
      </c>
      <c r="CX99" s="230">
        <v>-1865200</v>
      </c>
      <c r="CY99" s="229">
        <v>-1.9300000000000001E-2</v>
      </c>
      <c r="CZ99" s="228">
        <v>27.15</v>
      </c>
      <c r="DA99" s="228">
        <v>28.85</v>
      </c>
      <c r="DB99" s="228">
        <v>-1.7</v>
      </c>
      <c r="DC99" s="228">
        <v>-1.7</v>
      </c>
      <c r="DD99" s="228">
        <v>29.48</v>
      </c>
      <c r="DE99" s="228">
        <v>29.55</v>
      </c>
      <c r="DF99" s="228">
        <v>-2.33</v>
      </c>
      <c r="DG99" s="228">
        <v>-7.0000000000000007E-2</v>
      </c>
      <c r="DH99" s="228">
        <v>26.59</v>
      </c>
      <c r="DI99" s="228">
        <v>28.27</v>
      </c>
      <c r="DJ99" s="228">
        <v>-1.68</v>
      </c>
      <c r="DK99" s="228">
        <v>-1.68</v>
      </c>
      <c r="DL99" s="228">
        <v>28</v>
      </c>
      <c r="DM99" s="228">
        <v>29.81</v>
      </c>
      <c r="DN99" s="228">
        <v>-1.81</v>
      </c>
      <c r="DO99" s="228">
        <v>-1.81</v>
      </c>
      <c r="DP99" s="228">
        <v>0.85</v>
      </c>
      <c r="DQ99" s="228">
        <v>0.87</v>
      </c>
      <c r="DR99" s="228">
        <v>-0.02</v>
      </c>
      <c r="DS99" s="229">
        <v>-2.3E-2</v>
      </c>
      <c r="DT99" s="231">
        <v>1500</v>
      </c>
      <c r="DU99" s="231">
        <v>1500</v>
      </c>
      <c r="DV99" s="228">
        <v>0.66</v>
      </c>
      <c r="DW99" s="228">
        <v>0.6</v>
      </c>
      <c r="DX99" s="228">
        <v>0.06</v>
      </c>
      <c r="DY99" s="229">
        <v>0.1</v>
      </c>
      <c r="DZ99" s="229">
        <v>0.3372</v>
      </c>
      <c r="EA99" s="230">
        <v>20136000</v>
      </c>
      <c r="EB99" s="229">
        <v>-5.1000000000000004E-3</v>
      </c>
      <c r="EC99" s="229">
        <v>0.3372</v>
      </c>
      <c r="ED99" s="228">
        <v>-7.78</v>
      </c>
      <c r="EE99" s="229">
        <v>-5.1999999999999998E-3</v>
      </c>
      <c r="EF99" s="230">
        <v>1819651</v>
      </c>
      <c r="EG99" s="230">
        <v>3339752</v>
      </c>
      <c r="EH99" s="229">
        <v>-0.45519999999999999</v>
      </c>
      <c r="EI99" s="229">
        <v>0.46160000000000001</v>
      </c>
      <c r="EJ99" s="231">
        <v>424622.72</v>
      </c>
      <c r="EK99" s="231">
        <v>262755.02</v>
      </c>
      <c r="EL99" s="231">
        <v>161253.84</v>
      </c>
      <c r="EM99" s="231">
        <v>28987</v>
      </c>
      <c r="EN99" s="231">
        <v>848631.58</v>
      </c>
      <c r="EO99" s="231">
        <v>1189540.2</v>
      </c>
      <c r="EP99" s="231">
        <v>-340908.62</v>
      </c>
      <c r="EQ99" s="229">
        <v>-0.28660000000000002</v>
      </c>
      <c r="ER99" s="231">
        <v>293020</v>
      </c>
      <c r="ES99" s="231">
        <v>230972</v>
      </c>
      <c r="ET99" s="231">
        <v>895203</v>
      </c>
      <c r="EU99" s="231">
        <v>341789333</v>
      </c>
      <c r="EV99" s="231">
        <v>1419195</v>
      </c>
      <c r="EW99" s="231">
        <v>1444852</v>
      </c>
      <c r="EX99" s="231">
        <v>-25657</v>
      </c>
      <c r="EY99" s="229">
        <v>-1.78E-2</v>
      </c>
      <c r="EZ99" s="229">
        <v>0.27660000000000001</v>
      </c>
      <c r="FA99" s="227" t="s">
        <v>556</v>
      </c>
      <c r="FB99" s="161">
        <f t="shared" si="1"/>
        <v>20050400</v>
      </c>
    </row>
    <row r="100" spans="1:158" ht="17.25" hidden="1" thickBot="1" x14ac:dyDescent="0.3">
      <c r="A100" s="226">
        <v>45940</v>
      </c>
      <c r="B100" s="227" t="s">
        <v>161</v>
      </c>
      <c r="C100" s="227" t="s">
        <v>671</v>
      </c>
      <c r="D100" s="228">
        <v>3272</v>
      </c>
      <c r="E100" s="228">
        <v>150.93</v>
      </c>
      <c r="F100" s="228">
        <v>147.86000000000001</v>
      </c>
      <c r="G100" s="228">
        <v>3.07</v>
      </c>
      <c r="H100" s="229">
        <v>2.0799999999999999E-2</v>
      </c>
      <c r="I100" s="228">
        <v>150.08000000000001</v>
      </c>
      <c r="J100" s="228">
        <v>146.99</v>
      </c>
      <c r="K100" s="228">
        <v>3.09</v>
      </c>
      <c r="L100" s="229">
        <v>2.1000000000000001E-2</v>
      </c>
      <c r="M100" s="228">
        <v>150.93</v>
      </c>
      <c r="N100" s="228">
        <v>147.86000000000001</v>
      </c>
      <c r="O100" s="228">
        <v>3.07</v>
      </c>
      <c r="P100" s="229">
        <v>2.0799999999999999E-2</v>
      </c>
      <c r="Q100" s="228">
        <v>151.88</v>
      </c>
      <c r="R100" s="228">
        <v>148.66999999999999</v>
      </c>
      <c r="S100" s="228">
        <v>3.21</v>
      </c>
      <c r="T100" s="229">
        <v>2.1600000000000001E-2</v>
      </c>
      <c r="U100" s="228">
        <v>152.84</v>
      </c>
      <c r="V100" s="228">
        <v>149.18</v>
      </c>
      <c r="W100" s="228">
        <v>3.66</v>
      </c>
      <c r="X100" s="229">
        <v>2.4500000000000001E-2</v>
      </c>
      <c r="Y100" s="228">
        <v>0.85</v>
      </c>
      <c r="Z100" s="228">
        <v>0.87</v>
      </c>
      <c r="AA100" s="228">
        <v>-0.02</v>
      </c>
      <c r="AB100" s="229">
        <v>5.7000000000000002E-3</v>
      </c>
      <c r="AC100" s="228">
        <v>0.85</v>
      </c>
      <c r="AD100" s="228">
        <v>0.87</v>
      </c>
      <c r="AE100" s="228">
        <v>-0.02</v>
      </c>
      <c r="AF100" s="229">
        <v>5.7000000000000002E-3</v>
      </c>
      <c r="AG100" s="228">
        <v>1.8</v>
      </c>
      <c r="AH100" s="228">
        <v>1.68</v>
      </c>
      <c r="AI100" s="228">
        <v>0.12</v>
      </c>
      <c r="AJ100" s="229">
        <v>1.2E-2</v>
      </c>
      <c r="AK100" s="228">
        <v>2.76</v>
      </c>
      <c r="AL100" s="228">
        <v>2.19</v>
      </c>
      <c r="AM100" s="228">
        <v>0.56999999999999995</v>
      </c>
      <c r="AN100" s="229">
        <v>1.84E-2</v>
      </c>
      <c r="AO100" s="228">
        <v>151.21</v>
      </c>
      <c r="AP100" s="228">
        <v>152</v>
      </c>
      <c r="AQ100" s="228">
        <v>0</v>
      </c>
      <c r="AR100" s="230">
        <v>13447920</v>
      </c>
      <c r="AS100" s="230">
        <v>15414392</v>
      </c>
      <c r="AT100" s="230">
        <v>-1966472</v>
      </c>
      <c r="AU100" s="229">
        <v>-0.12759999999999999</v>
      </c>
      <c r="AV100" s="230">
        <v>12345256</v>
      </c>
      <c r="AW100" s="230">
        <v>14108864</v>
      </c>
      <c r="AX100" s="230">
        <v>-1763608</v>
      </c>
      <c r="AY100" s="229">
        <v>-0.125</v>
      </c>
      <c r="AZ100" s="230">
        <v>1024136</v>
      </c>
      <c r="BA100" s="230">
        <v>1187736</v>
      </c>
      <c r="BB100" s="230">
        <v>-163600</v>
      </c>
      <c r="BC100" s="229">
        <v>-0.13769999999999999</v>
      </c>
      <c r="BD100" s="230">
        <v>78528</v>
      </c>
      <c r="BE100" s="230">
        <v>117792</v>
      </c>
      <c r="BF100" s="230">
        <v>-39264</v>
      </c>
      <c r="BG100" s="229">
        <v>-0.33329999999999999</v>
      </c>
      <c r="BH100" s="230">
        <v>51216616</v>
      </c>
      <c r="BI100" s="230">
        <v>36145784</v>
      </c>
      <c r="BJ100" s="230">
        <v>15070832</v>
      </c>
      <c r="BK100" s="229">
        <v>0.41689999999999999</v>
      </c>
      <c r="BL100" s="230">
        <v>16353456</v>
      </c>
      <c r="BM100" s="230">
        <v>12806608</v>
      </c>
      <c r="BN100" s="230">
        <v>3546848</v>
      </c>
      <c r="BO100" s="229">
        <v>0.27700000000000002</v>
      </c>
      <c r="BP100" s="230">
        <v>81017992</v>
      </c>
      <c r="BQ100" s="230">
        <v>64366784</v>
      </c>
      <c r="BR100" s="230">
        <v>16651208</v>
      </c>
      <c r="BS100" s="229">
        <v>0.25869999999999999</v>
      </c>
      <c r="BT100" s="230">
        <v>10923362</v>
      </c>
      <c r="BU100" s="230">
        <v>12788851</v>
      </c>
      <c r="BV100" s="230">
        <v>-1865489</v>
      </c>
      <c r="BW100" s="229">
        <v>-0.1459</v>
      </c>
      <c r="BX100" s="230">
        <v>44898384</v>
      </c>
      <c r="BY100" s="230">
        <v>46881216</v>
      </c>
      <c r="BZ100" s="230">
        <v>-1982832</v>
      </c>
      <c r="CA100" s="229">
        <v>-4.2299999999999997E-2</v>
      </c>
      <c r="CB100" s="230">
        <v>43160952</v>
      </c>
      <c r="CC100" s="230">
        <v>45248488</v>
      </c>
      <c r="CD100" s="230">
        <v>-2087536</v>
      </c>
      <c r="CE100" s="229">
        <v>-4.6100000000000002E-2</v>
      </c>
      <c r="CF100" s="230">
        <v>1577104</v>
      </c>
      <c r="CG100" s="230">
        <v>1508392</v>
      </c>
      <c r="CH100" s="230">
        <v>68712</v>
      </c>
      <c r="CI100" s="229">
        <v>4.5600000000000002E-2</v>
      </c>
      <c r="CJ100" s="230">
        <v>160328</v>
      </c>
      <c r="CK100" s="230">
        <v>124336</v>
      </c>
      <c r="CL100" s="230">
        <v>35992</v>
      </c>
      <c r="CM100" s="229">
        <v>0.28949999999999998</v>
      </c>
      <c r="CN100" s="230">
        <v>16180040</v>
      </c>
      <c r="CO100" s="230">
        <v>14521136</v>
      </c>
      <c r="CP100" s="230">
        <v>1658904</v>
      </c>
      <c r="CQ100" s="229">
        <v>0.1142</v>
      </c>
      <c r="CR100" s="230">
        <v>9511704</v>
      </c>
      <c r="CS100" s="230">
        <v>8556280</v>
      </c>
      <c r="CT100" s="230">
        <v>955424</v>
      </c>
      <c r="CU100" s="229">
        <v>0.11169999999999999</v>
      </c>
      <c r="CV100" s="230">
        <v>70590128</v>
      </c>
      <c r="CW100" s="230">
        <v>69958632</v>
      </c>
      <c r="CX100" s="230">
        <v>631496</v>
      </c>
      <c r="CY100" s="229">
        <v>8.9999999999999993E-3</v>
      </c>
      <c r="CZ100" s="228">
        <v>33.69</v>
      </c>
      <c r="DA100" s="228">
        <v>34.4</v>
      </c>
      <c r="DB100" s="228">
        <v>-0.71</v>
      </c>
      <c r="DC100" s="228">
        <v>-0.71</v>
      </c>
      <c r="DD100" s="228">
        <v>57.26</v>
      </c>
      <c r="DE100" s="228">
        <v>57.34</v>
      </c>
      <c r="DF100" s="228">
        <v>-23.57</v>
      </c>
      <c r="DG100" s="228">
        <v>-0.08</v>
      </c>
      <c r="DH100" s="228">
        <v>33.83</v>
      </c>
      <c r="DI100" s="228">
        <v>34.1</v>
      </c>
      <c r="DJ100" s="228">
        <v>-0.27</v>
      </c>
      <c r="DK100" s="228">
        <v>-0.27</v>
      </c>
      <c r="DL100" s="228">
        <v>33.24</v>
      </c>
      <c r="DM100" s="228">
        <v>35.24</v>
      </c>
      <c r="DN100" s="228">
        <v>-2</v>
      </c>
      <c r="DO100" s="228">
        <v>-2</v>
      </c>
      <c r="DP100" s="228">
        <v>0.59</v>
      </c>
      <c r="DQ100" s="228">
        <v>0.59</v>
      </c>
      <c r="DR100" s="228">
        <v>0</v>
      </c>
      <c r="DS100" s="229">
        <v>0</v>
      </c>
      <c r="DT100" s="228">
        <v>150</v>
      </c>
      <c r="DU100" s="228">
        <v>140</v>
      </c>
      <c r="DV100" s="228">
        <v>0.32</v>
      </c>
      <c r="DW100" s="228">
        <v>0.35</v>
      </c>
      <c r="DX100" s="228">
        <v>-0.03</v>
      </c>
      <c r="DY100" s="229">
        <v>-8.5699999999999998E-2</v>
      </c>
      <c r="DZ100" s="229">
        <v>3.8699999999999998E-2</v>
      </c>
      <c r="EA100" s="230">
        <v>1632728</v>
      </c>
      <c r="EB100" s="229">
        <v>6.3E-3</v>
      </c>
      <c r="EC100" s="229">
        <v>3.8699999999999998E-2</v>
      </c>
      <c r="ED100" s="228">
        <v>0.79</v>
      </c>
      <c r="EE100" s="229">
        <v>5.1999999999999998E-3</v>
      </c>
      <c r="EF100" s="230">
        <v>3473206</v>
      </c>
      <c r="EG100" s="230">
        <v>4031751</v>
      </c>
      <c r="EH100" s="229">
        <v>-0.13850000000000001</v>
      </c>
      <c r="EI100" s="229">
        <v>0.318</v>
      </c>
      <c r="EJ100" s="231">
        <v>81843.73</v>
      </c>
      <c r="EK100" s="231">
        <v>24093.27</v>
      </c>
      <c r="EL100" s="231">
        <v>20344.14</v>
      </c>
      <c r="EM100" s="231">
        <v>2408</v>
      </c>
      <c r="EN100" s="231">
        <v>126281.14</v>
      </c>
      <c r="EO100" s="231">
        <v>96460.67</v>
      </c>
      <c r="EP100" s="231">
        <v>29820.47</v>
      </c>
      <c r="EQ100" s="229">
        <v>0.30909999999999999</v>
      </c>
      <c r="ER100" s="231">
        <v>25185</v>
      </c>
      <c r="ES100" s="231">
        <v>13514</v>
      </c>
      <c r="ET100" s="231">
        <v>67783</v>
      </c>
      <c r="EU100" s="231">
        <v>144708707</v>
      </c>
      <c r="EV100" s="231">
        <v>106482</v>
      </c>
      <c r="EW100" s="231">
        <v>103641</v>
      </c>
      <c r="EX100" s="231">
        <v>2841</v>
      </c>
      <c r="EY100" s="229">
        <v>2.7400000000000001E-2</v>
      </c>
      <c r="EZ100" s="229">
        <v>0.48780000000000001</v>
      </c>
      <c r="FA100" s="227" t="s">
        <v>556</v>
      </c>
      <c r="FB100" s="161">
        <f t="shared" si="1"/>
        <v>1737432</v>
      </c>
    </row>
    <row r="101" spans="1:158" ht="17.25" hidden="1" thickBot="1" x14ac:dyDescent="0.3">
      <c r="A101" s="226">
        <v>45940</v>
      </c>
      <c r="B101" s="227" t="s">
        <v>193</v>
      </c>
      <c r="C101" s="227" t="s">
        <v>241</v>
      </c>
      <c r="D101" s="228">
        <v>4875</v>
      </c>
      <c r="E101" s="228">
        <v>154.69999999999999</v>
      </c>
      <c r="F101" s="228">
        <v>156.09</v>
      </c>
      <c r="G101" s="228">
        <v>-1.39</v>
      </c>
      <c r="H101" s="229">
        <v>-8.8999999999999999E-3</v>
      </c>
      <c r="I101" s="228">
        <v>154.11000000000001</v>
      </c>
      <c r="J101" s="228">
        <v>155.25</v>
      </c>
      <c r="K101" s="228">
        <v>-1.1399999999999999</v>
      </c>
      <c r="L101" s="229">
        <v>-7.3000000000000001E-3</v>
      </c>
      <c r="M101" s="228">
        <v>154.69999999999999</v>
      </c>
      <c r="N101" s="228">
        <v>156.09</v>
      </c>
      <c r="O101" s="228">
        <v>-1.39</v>
      </c>
      <c r="P101" s="229">
        <v>-8.8999999999999999E-3</v>
      </c>
      <c r="Q101" s="228">
        <v>155.36000000000001</v>
      </c>
      <c r="R101" s="228">
        <v>156.72999999999999</v>
      </c>
      <c r="S101" s="228">
        <v>-1.37</v>
      </c>
      <c r="T101" s="229">
        <v>-8.6999999999999994E-3</v>
      </c>
      <c r="U101" s="228">
        <v>156.32</v>
      </c>
      <c r="V101" s="228">
        <v>157.66999999999999</v>
      </c>
      <c r="W101" s="228">
        <v>-1.35</v>
      </c>
      <c r="X101" s="229">
        <v>-8.6E-3</v>
      </c>
      <c r="Y101" s="228">
        <v>0.59</v>
      </c>
      <c r="Z101" s="228">
        <v>0.84</v>
      </c>
      <c r="AA101" s="228">
        <v>-0.25</v>
      </c>
      <c r="AB101" s="229">
        <v>3.8E-3</v>
      </c>
      <c r="AC101" s="228">
        <v>0.59</v>
      </c>
      <c r="AD101" s="228">
        <v>0.84</v>
      </c>
      <c r="AE101" s="228">
        <v>-0.25</v>
      </c>
      <c r="AF101" s="229">
        <v>3.8E-3</v>
      </c>
      <c r="AG101" s="228">
        <v>1.25</v>
      </c>
      <c r="AH101" s="228">
        <v>1.48</v>
      </c>
      <c r="AI101" s="228">
        <v>-0.23</v>
      </c>
      <c r="AJ101" s="229">
        <v>8.0999999999999996E-3</v>
      </c>
      <c r="AK101" s="228">
        <v>2.21</v>
      </c>
      <c r="AL101" s="228">
        <v>2.42</v>
      </c>
      <c r="AM101" s="228">
        <v>-0.21</v>
      </c>
      <c r="AN101" s="229">
        <v>1.43E-2</v>
      </c>
      <c r="AO101" s="228">
        <v>156.11000000000001</v>
      </c>
      <c r="AP101" s="228">
        <v>156.6</v>
      </c>
      <c r="AQ101" s="228">
        <v>0</v>
      </c>
      <c r="AR101" s="230">
        <v>16794375</v>
      </c>
      <c r="AS101" s="230">
        <v>24360375</v>
      </c>
      <c r="AT101" s="230">
        <v>-7566000</v>
      </c>
      <c r="AU101" s="229">
        <v>-0.31059999999999999</v>
      </c>
      <c r="AV101" s="230">
        <v>14815125</v>
      </c>
      <c r="AW101" s="230">
        <v>22161750</v>
      </c>
      <c r="AX101" s="230">
        <v>-7346625</v>
      </c>
      <c r="AY101" s="229">
        <v>-0.33150000000000002</v>
      </c>
      <c r="AZ101" s="230">
        <v>1599000</v>
      </c>
      <c r="BA101" s="230">
        <v>1686750</v>
      </c>
      <c r="BB101" s="230">
        <v>-87750</v>
      </c>
      <c r="BC101" s="229">
        <v>-5.1999999999999998E-2</v>
      </c>
      <c r="BD101" s="230">
        <v>380250</v>
      </c>
      <c r="BE101" s="230">
        <v>511875</v>
      </c>
      <c r="BF101" s="230">
        <v>-131625</v>
      </c>
      <c r="BG101" s="229">
        <v>-0.2571</v>
      </c>
      <c r="BH101" s="230">
        <v>55331250</v>
      </c>
      <c r="BI101" s="230">
        <v>87286875</v>
      </c>
      <c r="BJ101" s="230">
        <v>-31955625</v>
      </c>
      <c r="BK101" s="229">
        <v>-0.36609999999999998</v>
      </c>
      <c r="BL101" s="230">
        <v>31594875</v>
      </c>
      <c r="BM101" s="230">
        <v>48457500</v>
      </c>
      <c r="BN101" s="230">
        <v>-16862625</v>
      </c>
      <c r="BO101" s="229">
        <v>-0.34799999999999998</v>
      </c>
      <c r="BP101" s="230">
        <v>103720500</v>
      </c>
      <c r="BQ101" s="230">
        <v>160104750</v>
      </c>
      <c r="BR101" s="230">
        <v>-56384250</v>
      </c>
      <c r="BS101" s="229">
        <v>-0.35220000000000001</v>
      </c>
      <c r="BT101" s="230">
        <v>9890683</v>
      </c>
      <c r="BU101" s="230">
        <v>14882187</v>
      </c>
      <c r="BV101" s="230">
        <v>-4991504</v>
      </c>
      <c r="BW101" s="229">
        <v>-0.33539999999999998</v>
      </c>
      <c r="BX101" s="230">
        <v>95652375</v>
      </c>
      <c r="BY101" s="230">
        <v>94692000</v>
      </c>
      <c r="BZ101" s="230">
        <v>960375</v>
      </c>
      <c r="CA101" s="229">
        <v>1.01E-2</v>
      </c>
      <c r="CB101" s="230">
        <v>91611000</v>
      </c>
      <c r="CC101" s="230">
        <v>91118625</v>
      </c>
      <c r="CD101" s="230">
        <v>492375</v>
      </c>
      <c r="CE101" s="229">
        <v>5.4000000000000003E-3</v>
      </c>
      <c r="CF101" s="230">
        <v>3553875</v>
      </c>
      <c r="CG101" s="230">
        <v>3227250</v>
      </c>
      <c r="CH101" s="230">
        <v>326625</v>
      </c>
      <c r="CI101" s="229">
        <v>0.1012</v>
      </c>
      <c r="CJ101" s="230">
        <v>487500</v>
      </c>
      <c r="CK101" s="230">
        <v>346125</v>
      </c>
      <c r="CL101" s="230">
        <v>141375</v>
      </c>
      <c r="CM101" s="229">
        <v>0.40849999999999997</v>
      </c>
      <c r="CN101" s="230">
        <v>42042000</v>
      </c>
      <c r="CO101" s="230">
        <v>39433875</v>
      </c>
      <c r="CP101" s="230">
        <v>2608125</v>
      </c>
      <c r="CQ101" s="229">
        <v>6.6100000000000006E-2</v>
      </c>
      <c r="CR101" s="230">
        <v>29718000</v>
      </c>
      <c r="CS101" s="230">
        <v>29303625</v>
      </c>
      <c r="CT101" s="230">
        <v>414375</v>
      </c>
      <c r="CU101" s="229">
        <v>1.41E-2</v>
      </c>
      <c r="CV101" s="230">
        <v>167412375</v>
      </c>
      <c r="CW101" s="230">
        <v>163429500</v>
      </c>
      <c r="CX101" s="230">
        <v>3982875</v>
      </c>
      <c r="CY101" s="229">
        <v>2.4400000000000002E-2</v>
      </c>
      <c r="CZ101" s="228">
        <v>22.85</v>
      </c>
      <c r="DA101" s="228">
        <v>22.94</v>
      </c>
      <c r="DB101" s="228">
        <v>-0.09</v>
      </c>
      <c r="DC101" s="228">
        <v>-0.09</v>
      </c>
      <c r="DD101" s="228">
        <v>32.17</v>
      </c>
      <c r="DE101" s="228">
        <v>32.229999999999997</v>
      </c>
      <c r="DF101" s="228">
        <v>-9.32</v>
      </c>
      <c r="DG101" s="228">
        <v>-0.06</v>
      </c>
      <c r="DH101" s="228">
        <v>23.27</v>
      </c>
      <c r="DI101" s="228">
        <v>23.11</v>
      </c>
      <c r="DJ101" s="228">
        <v>0.16</v>
      </c>
      <c r="DK101" s="228">
        <v>0.16</v>
      </c>
      <c r="DL101" s="228">
        <v>22.12</v>
      </c>
      <c r="DM101" s="228">
        <v>22.63</v>
      </c>
      <c r="DN101" s="228">
        <v>-0.51</v>
      </c>
      <c r="DO101" s="228">
        <v>-0.51</v>
      </c>
      <c r="DP101" s="228">
        <v>0.71</v>
      </c>
      <c r="DQ101" s="228">
        <v>0.74</v>
      </c>
      <c r="DR101" s="228">
        <v>-0.03</v>
      </c>
      <c r="DS101" s="229">
        <v>-4.0500000000000001E-2</v>
      </c>
      <c r="DT101" s="228">
        <v>160</v>
      </c>
      <c r="DU101" s="228">
        <v>150</v>
      </c>
      <c r="DV101" s="228">
        <v>0.56999999999999995</v>
      </c>
      <c r="DW101" s="228">
        <v>0.56000000000000005</v>
      </c>
      <c r="DX101" s="228">
        <v>0.01</v>
      </c>
      <c r="DY101" s="229">
        <v>1.7899999999999999E-2</v>
      </c>
      <c r="DZ101" s="229">
        <v>4.2299999999999997E-2</v>
      </c>
      <c r="EA101" s="230">
        <v>3573375</v>
      </c>
      <c r="EB101" s="229">
        <v>4.3E-3</v>
      </c>
      <c r="EC101" s="229">
        <v>4.2299999999999997E-2</v>
      </c>
      <c r="ED101" s="228">
        <v>0.49</v>
      </c>
      <c r="EE101" s="229">
        <v>3.0999999999999999E-3</v>
      </c>
      <c r="EF101" s="230">
        <v>5920323</v>
      </c>
      <c r="EG101" s="230">
        <v>7536479</v>
      </c>
      <c r="EH101" s="229">
        <v>-0.21440000000000001</v>
      </c>
      <c r="EI101" s="229">
        <v>0.59860000000000002</v>
      </c>
      <c r="EJ101" s="231">
        <v>89284.14</v>
      </c>
      <c r="EK101" s="231">
        <v>49313.01</v>
      </c>
      <c r="EL101" s="231">
        <v>26231.48</v>
      </c>
      <c r="EM101" s="231">
        <v>4133</v>
      </c>
      <c r="EN101" s="231">
        <v>164828.63</v>
      </c>
      <c r="EO101" s="231">
        <v>254376.1</v>
      </c>
      <c r="EP101" s="231">
        <v>-89547.47</v>
      </c>
      <c r="EQ101" s="229">
        <v>-0.35199999999999998</v>
      </c>
      <c r="ER101" s="231">
        <v>66423</v>
      </c>
      <c r="ES101" s="231">
        <v>44206</v>
      </c>
      <c r="ET101" s="231">
        <v>148006</v>
      </c>
      <c r="EU101" s="231">
        <v>684903861</v>
      </c>
      <c r="EV101" s="231">
        <v>258635</v>
      </c>
      <c r="EW101" s="231">
        <v>253539</v>
      </c>
      <c r="EX101" s="231">
        <v>5096</v>
      </c>
      <c r="EY101" s="229">
        <v>2.01E-2</v>
      </c>
      <c r="EZ101" s="229">
        <v>0.24440000000000001</v>
      </c>
      <c r="FA101" s="227" t="s">
        <v>567</v>
      </c>
      <c r="FB101" s="161">
        <f t="shared" si="1"/>
        <v>4041375</v>
      </c>
    </row>
    <row r="102" spans="1:158" ht="17.25" hidden="1" thickBot="1" x14ac:dyDescent="0.3">
      <c r="A102" s="226">
        <v>45940</v>
      </c>
      <c r="B102" s="227" t="s">
        <v>215</v>
      </c>
      <c r="C102" s="227" t="s">
        <v>490</v>
      </c>
      <c r="D102" s="228">
        <v>875</v>
      </c>
      <c r="E102" s="228">
        <v>717.15</v>
      </c>
      <c r="F102" s="228">
        <v>713.7</v>
      </c>
      <c r="G102" s="228">
        <v>3.45</v>
      </c>
      <c r="H102" s="229">
        <v>4.7999999999999996E-3</v>
      </c>
      <c r="I102" s="228">
        <v>715.7</v>
      </c>
      <c r="J102" s="228">
        <v>709.8</v>
      </c>
      <c r="K102" s="228">
        <v>5.9</v>
      </c>
      <c r="L102" s="229">
        <v>8.3000000000000001E-3</v>
      </c>
      <c r="M102" s="228">
        <v>717.15</v>
      </c>
      <c r="N102" s="228">
        <v>713.7</v>
      </c>
      <c r="O102" s="228">
        <v>3.45</v>
      </c>
      <c r="P102" s="229">
        <v>4.7999999999999996E-3</v>
      </c>
      <c r="Q102" s="228">
        <v>718.2</v>
      </c>
      <c r="R102" s="228">
        <v>713.9</v>
      </c>
      <c r="S102" s="228">
        <v>4.3</v>
      </c>
      <c r="T102" s="229">
        <v>6.0000000000000001E-3</v>
      </c>
      <c r="U102" s="228">
        <v>722.2</v>
      </c>
      <c r="V102" s="228">
        <v>718.25</v>
      </c>
      <c r="W102" s="228">
        <v>3.95</v>
      </c>
      <c r="X102" s="229">
        <v>5.4999999999999997E-3</v>
      </c>
      <c r="Y102" s="228">
        <v>1.45</v>
      </c>
      <c r="Z102" s="228">
        <v>3.9</v>
      </c>
      <c r="AA102" s="228">
        <v>-2.4500000000000002</v>
      </c>
      <c r="AB102" s="229">
        <v>2E-3</v>
      </c>
      <c r="AC102" s="228">
        <v>1.45</v>
      </c>
      <c r="AD102" s="228">
        <v>3.9</v>
      </c>
      <c r="AE102" s="228">
        <v>-2.4500000000000002</v>
      </c>
      <c r="AF102" s="229">
        <v>2E-3</v>
      </c>
      <c r="AG102" s="228">
        <v>2.5</v>
      </c>
      <c r="AH102" s="228">
        <v>4.0999999999999996</v>
      </c>
      <c r="AI102" s="228">
        <v>-1.6</v>
      </c>
      <c r="AJ102" s="229">
        <v>3.5000000000000001E-3</v>
      </c>
      <c r="AK102" s="228">
        <v>6.5</v>
      </c>
      <c r="AL102" s="228">
        <v>8.4499999999999993</v>
      </c>
      <c r="AM102" s="228">
        <v>-1.95</v>
      </c>
      <c r="AN102" s="229">
        <v>9.1000000000000004E-3</v>
      </c>
      <c r="AO102" s="228">
        <v>717.82</v>
      </c>
      <c r="AP102" s="228">
        <v>718.83</v>
      </c>
      <c r="AQ102" s="228">
        <v>0</v>
      </c>
      <c r="AR102" s="230">
        <v>1607375</v>
      </c>
      <c r="AS102" s="230">
        <v>1905750</v>
      </c>
      <c r="AT102" s="230">
        <v>-298375</v>
      </c>
      <c r="AU102" s="229">
        <v>-0.15659999999999999</v>
      </c>
      <c r="AV102" s="230">
        <v>1357125</v>
      </c>
      <c r="AW102" s="230">
        <v>1451625</v>
      </c>
      <c r="AX102" s="230">
        <v>-94500</v>
      </c>
      <c r="AY102" s="229">
        <v>-6.5100000000000005E-2</v>
      </c>
      <c r="AZ102" s="230">
        <v>212625</v>
      </c>
      <c r="BA102" s="230">
        <v>415625</v>
      </c>
      <c r="BB102" s="230">
        <v>-203000</v>
      </c>
      <c r="BC102" s="229">
        <v>-0.4884</v>
      </c>
      <c r="BD102" s="230">
        <v>37625</v>
      </c>
      <c r="BE102" s="230">
        <v>38500</v>
      </c>
      <c r="BF102" s="228">
        <v>-875</v>
      </c>
      <c r="BG102" s="229">
        <v>-2.2700000000000001E-2</v>
      </c>
      <c r="BH102" s="230">
        <v>4612125</v>
      </c>
      <c r="BI102" s="230">
        <v>4737250</v>
      </c>
      <c r="BJ102" s="230">
        <v>-125125</v>
      </c>
      <c r="BK102" s="229">
        <v>-2.64E-2</v>
      </c>
      <c r="BL102" s="230">
        <v>1698375</v>
      </c>
      <c r="BM102" s="230">
        <v>1467375</v>
      </c>
      <c r="BN102" s="230">
        <v>231000</v>
      </c>
      <c r="BO102" s="229">
        <v>0.15740000000000001</v>
      </c>
      <c r="BP102" s="230">
        <v>7917875</v>
      </c>
      <c r="BQ102" s="230">
        <v>8110375</v>
      </c>
      <c r="BR102" s="230">
        <v>-192500</v>
      </c>
      <c r="BS102" s="229">
        <v>-2.3699999999999999E-2</v>
      </c>
      <c r="BT102" s="230">
        <v>741590</v>
      </c>
      <c r="BU102" s="230">
        <v>740997</v>
      </c>
      <c r="BV102" s="228">
        <v>593</v>
      </c>
      <c r="BW102" s="229">
        <v>8.0000000000000004E-4</v>
      </c>
      <c r="BX102" s="230">
        <v>15651125</v>
      </c>
      <c r="BY102" s="230">
        <v>15977500</v>
      </c>
      <c r="BZ102" s="230">
        <v>-326375</v>
      </c>
      <c r="CA102" s="229">
        <v>-2.0400000000000001E-2</v>
      </c>
      <c r="CB102" s="230">
        <v>13822375</v>
      </c>
      <c r="CC102" s="230">
        <v>14165375</v>
      </c>
      <c r="CD102" s="230">
        <v>-343000</v>
      </c>
      <c r="CE102" s="229">
        <v>-2.4199999999999999E-2</v>
      </c>
      <c r="CF102" s="230">
        <v>1729000</v>
      </c>
      <c r="CG102" s="230">
        <v>1708000</v>
      </c>
      <c r="CH102" s="230">
        <v>21000</v>
      </c>
      <c r="CI102" s="229">
        <v>1.23E-2</v>
      </c>
      <c r="CJ102" s="230">
        <v>99750</v>
      </c>
      <c r="CK102" s="230">
        <v>104125</v>
      </c>
      <c r="CL102" s="230">
        <v>-4375</v>
      </c>
      <c r="CM102" s="229">
        <v>-4.2000000000000003E-2</v>
      </c>
      <c r="CN102" s="230">
        <v>8211000</v>
      </c>
      <c r="CO102" s="230">
        <v>8194375</v>
      </c>
      <c r="CP102" s="230">
        <v>16625</v>
      </c>
      <c r="CQ102" s="229">
        <v>2E-3</v>
      </c>
      <c r="CR102" s="230">
        <v>4648000</v>
      </c>
      <c r="CS102" s="230">
        <v>4610375</v>
      </c>
      <c r="CT102" s="230">
        <v>37625</v>
      </c>
      <c r="CU102" s="229">
        <v>8.2000000000000007E-3</v>
      </c>
      <c r="CV102" s="230">
        <v>28510125</v>
      </c>
      <c r="CW102" s="230">
        <v>28782250</v>
      </c>
      <c r="CX102" s="230">
        <v>-272125</v>
      </c>
      <c r="CY102" s="229">
        <v>-9.4999999999999998E-3</v>
      </c>
      <c r="CZ102" s="228">
        <v>19.86</v>
      </c>
      <c r="DA102" s="228">
        <v>20.88</v>
      </c>
      <c r="DB102" s="228">
        <v>-1.02</v>
      </c>
      <c r="DC102" s="228">
        <v>-1.02</v>
      </c>
      <c r="DD102" s="228">
        <v>31.33</v>
      </c>
      <c r="DE102" s="228">
        <v>31.41</v>
      </c>
      <c r="DF102" s="228">
        <v>-11.47</v>
      </c>
      <c r="DG102" s="228">
        <v>-0.08</v>
      </c>
      <c r="DH102" s="228">
        <v>20.03</v>
      </c>
      <c r="DI102" s="228">
        <v>21.1</v>
      </c>
      <c r="DJ102" s="228">
        <v>-1.07</v>
      </c>
      <c r="DK102" s="228">
        <v>-1.07</v>
      </c>
      <c r="DL102" s="228">
        <v>19.38</v>
      </c>
      <c r="DM102" s="228">
        <v>20.149999999999999</v>
      </c>
      <c r="DN102" s="228">
        <v>-0.77</v>
      </c>
      <c r="DO102" s="228">
        <v>-0.77</v>
      </c>
      <c r="DP102" s="228">
        <v>0.56999999999999995</v>
      </c>
      <c r="DQ102" s="228">
        <v>0.56000000000000005</v>
      </c>
      <c r="DR102" s="228">
        <v>0.01</v>
      </c>
      <c r="DS102" s="229">
        <v>1.7899999999999999E-2</v>
      </c>
      <c r="DT102" s="228">
        <v>750</v>
      </c>
      <c r="DU102" s="228">
        <v>700</v>
      </c>
      <c r="DV102" s="228">
        <v>0.37</v>
      </c>
      <c r="DW102" s="228">
        <v>0.31</v>
      </c>
      <c r="DX102" s="228">
        <v>0.06</v>
      </c>
      <c r="DY102" s="229">
        <v>0.19350000000000001</v>
      </c>
      <c r="DZ102" s="229">
        <v>0.1168</v>
      </c>
      <c r="EA102" s="230">
        <v>1812125</v>
      </c>
      <c r="EB102" s="229">
        <v>1.5E-3</v>
      </c>
      <c r="EC102" s="229">
        <v>0.1168</v>
      </c>
      <c r="ED102" s="228">
        <v>1.01</v>
      </c>
      <c r="EE102" s="229">
        <v>1.4E-3</v>
      </c>
      <c r="EF102" s="230">
        <v>460753</v>
      </c>
      <c r="EG102" s="230">
        <v>376597</v>
      </c>
      <c r="EH102" s="229">
        <v>0.2235</v>
      </c>
      <c r="EI102" s="229">
        <v>0.62129999999999996</v>
      </c>
      <c r="EJ102" s="231">
        <v>34202.620000000003</v>
      </c>
      <c r="EK102" s="231">
        <v>12060.84</v>
      </c>
      <c r="EL102" s="231">
        <v>11542.16</v>
      </c>
      <c r="EM102" s="231">
        <v>2045</v>
      </c>
      <c r="EN102" s="231">
        <v>57805.62</v>
      </c>
      <c r="EO102" s="231">
        <v>58947.28</v>
      </c>
      <c r="EP102" s="231">
        <v>-1141.6600000000001</v>
      </c>
      <c r="EQ102" s="229">
        <v>-1.9400000000000001E-2</v>
      </c>
      <c r="ER102" s="231">
        <v>61699</v>
      </c>
      <c r="ES102" s="231">
        <v>33162</v>
      </c>
      <c r="ET102" s="231">
        <v>112265</v>
      </c>
      <c r="EU102" s="231">
        <v>30082783</v>
      </c>
      <c r="EV102" s="231">
        <v>207126</v>
      </c>
      <c r="EW102" s="231">
        <v>208484</v>
      </c>
      <c r="EX102" s="231">
        <v>-1358</v>
      </c>
      <c r="EY102" s="229">
        <v>-6.4999999999999997E-3</v>
      </c>
      <c r="EZ102" s="229">
        <v>0.94769999999999999</v>
      </c>
      <c r="FA102" s="227" t="s">
        <v>556</v>
      </c>
      <c r="FB102" s="161">
        <f t="shared" si="1"/>
        <v>1828750</v>
      </c>
    </row>
    <row r="103" spans="1:158" ht="17.25" hidden="1" thickBot="1" x14ac:dyDescent="0.3">
      <c r="A103" s="226">
        <v>45940</v>
      </c>
      <c r="B103" s="227" t="s">
        <v>175</v>
      </c>
      <c r="C103" s="227" t="s">
        <v>666</v>
      </c>
      <c r="D103" s="228">
        <v>3450</v>
      </c>
      <c r="E103" s="228">
        <v>151.61000000000001</v>
      </c>
      <c r="F103" s="228">
        <v>149.58000000000001</v>
      </c>
      <c r="G103" s="228">
        <v>2.0299999999999998</v>
      </c>
      <c r="H103" s="229">
        <v>1.3599999999999999E-2</v>
      </c>
      <c r="I103" s="228">
        <v>150.96</v>
      </c>
      <c r="J103" s="228">
        <v>148.85</v>
      </c>
      <c r="K103" s="228">
        <v>2.11</v>
      </c>
      <c r="L103" s="229">
        <v>1.4200000000000001E-2</v>
      </c>
      <c r="M103" s="228">
        <v>151.61000000000001</v>
      </c>
      <c r="N103" s="228">
        <v>149.58000000000001</v>
      </c>
      <c r="O103" s="228">
        <v>2.0299999999999998</v>
      </c>
      <c r="P103" s="229">
        <v>1.3599999999999999E-2</v>
      </c>
      <c r="Q103" s="228">
        <v>151.08000000000001</v>
      </c>
      <c r="R103" s="228">
        <v>148.93</v>
      </c>
      <c r="S103" s="228">
        <v>2.15</v>
      </c>
      <c r="T103" s="229">
        <v>1.44E-2</v>
      </c>
      <c r="U103" s="228">
        <v>150.93</v>
      </c>
      <c r="V103" s="228">
        <v>148.97999999999999</v>
      </c>
      <c r="W103" s="228">
        <v>1.95</v>
      </c>
      <c r="X103" s="229">
        <v>1.3100000000000001E-2</v>
      </c>
      <c r="Y103" s="228">
        <v>0.65</v>
      </c>
      <c r="Z103" s="228">
        <v>0.73</v>
      </c>
      <c r="AA103" s="228">
        <v>-0.08</v>
      </c>
      <c r="AB103" s="229">
        <v>4.3E-3</v>
      </c>
      <c r="AC103" s="228">
        <v>0.65</v>
      </c>
      <c r="AD103" s="228">
        <v>0.73</v>
      </c>
      <c r="AE103" s="228">
        <v>-0.08</v>
      </c>
      <c r="AF103" s="229">
        <v>4.3E-3</v>
      </c>
      <c r="AG103" s="228">
        <v>0.12</v>
      </c>
      <c r="AH103" s="228">
        <v>0.08</v>
      </c>
      <c r="AI103" s="228">
        <v>0.04</v>
      </c>
      <c r="AJ103" s="229">
        <v>8.0000000000000004E-4</v>
      </c>
      <c r="AK103" s="228">
        <v>-0.03</v>
      </c>
      <c r="AL103" s="228">
        <v>0.13</v>
      </c>
      <c r="AM103" s="228">
        <v>-0.16</v>
      </c>
      <c r="AN103" s="229">
        <v>-2.0000000000000001E-4</v>
      </c>
      <c r="AO103" s="228">
        <v>151.63</v>
      </c>
      <c r="AP103" s="228">
        <v>150.94</v>
      </c>
      <c r="AQ103" s="228">
        <v>0</v>
      </c>
      <c r="AR103" s="230">
        <v>7489950</v>
      </c>
      <c r="AS103" s="230">
        <v>9025200</v>
      </c>
      <c r="AT103" s="230">
        <v>-1535250</v>
      </c>
      <c r="AU103" s="229">
        <v>-0.1701</v>
      </c>
      <c r="AV103" s="230">
        <v>5899500</v>
      </c>
      <c r="AW103" s="230">
        <v>7479600</v>
      </c>
      <c r="AX103" s="230">
        <v>-1580100</v>
      </c>
      <c r="AY103" s="229">
        <v>-0.21129999999999999</v>
      </c>
      <c r="AZ103" s="230">
        <v>1324800</v>
      </c>
      <c r="BA103" s="230">
        <v>1328250</v>
      </c>
      <c r="BB103" s="230">
        <v>-3450</v>
      </c>
      <c r="BC103" s="229">
        <v>-2.5999999999999999E-3</v>
      </c>
      <c r="BD103" s="230">
        <v>265650</v>
      </c>
      <c r="BE103" s="230">
        <v>217350</v>
      </c>
      <c r="BF103" s="230">
        <v>48300</v>
      </c>
      <c r="BG103" s="229">
        <v>0.22220000000000001</v>
      </c>
      <c r="BH103" s="230">
        <v>19813350</v>
      </c>
      <c r="BI103" s="230">
        <v>20651700</v>
      </c>
      <c r="BJ103" s="230">
        <v>-838350</v>
      </c>
      <c r="BK103" s="229">
        <v>-4.0599999999999997E-2</v>
      </c>
      <c r="BL103" s="230">
        <v>9404700</v>
      </c>
      <c r="BM103" s="230">
        <v>8083350</v>
      </c>
      <c r="BN103" s="230">
        <v>1321350</v>
      </c>
      <c r="BO103" s="229">
        <v>0.16350000000000001</v>
      </c>
      <c r="BP103" s="230">
        <v>36708000</v>
      </c>
      <c r="BQ103" s="230">
        <v>37760250</v>
      </c>
      <c r="BR103" s="230">
        <v>-1052250</v>
      </c>
      <c r="BS103" s="229">
        <v>-2.7900000000000001E-2</v>
      </c>
      <c r="BT103" s="230">
        <v>5775776</v>
      </c>
      <c r="BU103" s="230">
        <v>8224309</v>
      </c>
      <c r="BV103" s="230">
        <v>-2448533</v>
      </c>
      <c r="BW103" s="229">
        <v>-0.29770000000000002</v>
      </c>
      <c r="BX103" s="230">
        <v>42897300</v>
      </c>
      <c r="BY103" s="230">
        <v>43304400</v>
      </c>
      <c r="BZ103" s="230">
        <v>-407100</v>
      </c>
      <c r="CA103" s="229">
        <v>-9.4000000000000004E-3</v>
      </c>
      <c r="CB103" s="230">
        <v>35959350</v>
      </c>
      <c r="CC103" s="230">
        <v>36690750</v>
      </c>
      <c r="CD103" s="230">
        <v>-731400</v>
      </c>
      <c r="CE103" s="229">
        <v>-1.9900000000000001E-2</v>
      </c>
      <c r="CF103" s="230">
        <v>5978850</v>
      </c>
      <c r="CG103" s="230">
        <v>5737350</v>
      </c>
      <c r="CH103" s="230">
        <v>241500</v>
      </c>
      <c r="CI103" s="229">
        <v>4.2099999999999999E-2</v>
      </c>
      <c r="CJ103" s="230">
        <v>959100</v>
      </c>
      <c r="CK103" s="230">
        <v>876300</v>
      </c>
      <c r="CL103" s="230">
        <v>82800</v>
      </c>
      <c r="CM103" s="229">
        <v>9.4500000000000001E-2</v>
      </c>
      <c r="CN103" s="230">
        <v>30256500</v>
      </c>
      <c r="CO103" s="230">
        <v>31208700</v>
      </c>
      <c r="CP103" s="230">
        <v>-952200</v>
      </c>
      <c r="CQ103" s="229">
        <v>-3.0499999999999999E-2</v>
      </c>
      <c r="CR103" s="230">
        <v>13858650</v>
      </c>
      <c r="CS103" s="230">
        <v>13920750</v>
      </c>
      <c r="CT103" s="230">
        <v>-62100</v>
      </c>
      <c r="CU103" s="229">
        <v>-4.4999999999999997E-3</v>
      </c>
      <c r="CV103" s="230">
        <v>87012450</v>
      </c>
      <c r="CW103" s="230">
        <v>88433850</v>
      </c>
      <c r="CX103" s="230">
        <v>-1421400</v>
      </c>
      <c r="CY103" s="229">
        <v>-1.61E-2</v>
      </c>
      <c r="CZ103" s="228">
        <v>39.81</v>
      </c>
      <c r="DA103" s="228">
        <v>41.34</v>
      </c>
      <c r="DB103" s="228">
        <v>-1.53</v>
      </c>
      <c r="DC103" s="228">
        <v>-1.53</v>
      </c>
      <c r="DD103" s="228">
        <v>52.74</v>
      </c>
      <c r="DE103" s="228">
        <v>52.84</v>
      </c>
      <c r="DF103" s="228">
        <v>-12.93</v>
      </c>
      <c r="DG103" s="228">
        <v>-0.1</v>
      </c>
      <c r="DH103" s="228">
        <v>40.51</v>
      </c>
      <c r="DI103" s="228">
        <v>41.95</v>
      </c>
      <c r="DJ103" s="228">
        <v>-1.44</v>
      </c>
      <c r="DK103" s="228">
        <v>-1.44</v>
      </c>
      <c r="DL103" s="228">
        <v>38.33</v>
      </c>
      <c r="DM103" s="228">
        <v>39.79</v>
      </c>
      <c r="DN103" s="228">
        <v>-1.46</v>
      </c>
      <c r="DO103" s="228">
        <v>-1.46</v>
      </c>
      <c r="DP103" s="228">
        <v>0.46</v>
      </c>
      <c r="DQ103" s="228">
        <v>0.45</v>
      </c>
      <c r="DR103" s="228">
        <v>0.01</v>
      </c>
      <c r="DS103" s="229">
        <v>2.2200000000000001E-2</v>
      </c>
      <c r="DT103" s="228">
        <v>160</v>
      </c>
      <c r="DU103" s="228">
        <v>150</v>
      </c>
      <c r="DV103" s="228">
        <v>0.47</v>
      </c>
      <c r="DW103" s="228">
        <v>0.39</v>
      </c>
      <c r="DX103" s="228">
        <v>0.08</v>
      </c>
      <c r="DY103" s="229">
        <v>0.2051</v>
      </c>
      <c r="DZ103" s="229">
        <v>0.16170000000000001</v>
      </c>
      <c r="EA103" s="230">
        <v>6613650</v>
      </c>
      <c r="EB103" s="229">
        <v>-3.5000000000000001E-3</v>
      </c>
      <c r="EC103" s="229">
        <v>0.16170000000000001</v>
      </c>
      <c r="ED103" s="228">
        <v>-0.69</v>
      </c>
      <c r="EE103" s="229">
        <v>-4.5999999999999999E-3</v>
      </c>
      <c r="EF103" s="230">
        <v>2182124</v>
      </c>
      <c r="EG103" s="230">
        <v>3434956</v>
      </c>
      <c r="EH103" s="229">
        <v>-0.36470000000000002</v>
      </c>
      <c r="EI103" s="229">
        <v>0.37780000000000002</v>
      </c>
      <c r="EJ103" s="231">
        <v>31924.15</v>
      </c>
      <c r="EK103" s="231">
        <v>14161.56</v>
      </c>
      <c r="EL103" s="231">
        <v>11345.21</v>
      </c>
      <c r="EM103" s="231">
        <v>3071</v>
      </c>
      <c r="EN103" s="231">
        <v>57430.92</v>
      </c>
      <c r="EO103" s="231">
        <v>58740.25</v>
      </c>
      <c r="EP103" s="231">
        <v>-1309.33</v>
      </c>
      <c r="EQ103" s="229">
        <v>-2.23E-2</v>
      </c>
      <c r="ER103" s="231">
        <v>48644</v>
      </c>
      <c r="ES103" s="231">
        <v>20677</v>
      </c>
      <c r="ET103" s="231">
        <v>64998</v>
      </c>
      <c r="EU103" s="231">
        <v>119011160</v>
      </c>
      <c r="EV103" s="231">
        <v>134319</v>
      </c>
      <c r="EW103" s="231">
        <v>135721</v>
      </c>
      <c r="EX103" s="231">
        <v>-1402</v>
      </c>
      <c r="EY103" s="229">
        <v>-1.03E-2</v>
      </c>
      <c r="EZ103" s="229">
        <v>0.73109999999999997</v>
      </c>
      <c r="FA103" s="227" t="s">
        <v>556</v>
      </c>
      <c r="FB103" s="161">
        <f t="shared" si="1"/>
        <v>6937950</v>
      </c>
    </row>
    <row r="104" spans="1:158" ht="17.25" hidden="1" thickBot="1" x14ac:dyDescent="0.3">
      <c r="A104" s="226">
        <v>45940</v>
      </c>
      <c r="B104" s="227" t="s">
        <v>215</v>
      </c>
      <c r="C104" s="227" t="s">
        <v>593</v>
      </c>
      <c r="D104" s="228">
        <v>4250</v>
      </c>
      <c r="E104" s="228">
        <v>126.39</v>
      </c>
      <c r="F104" s="228">
        <v>124.98</v>
      </c>
      <c r="G104" s="228">
        <v>1.41</v>
      </c>
      <c r="H104" s="229">
        <v>1.1299999999999999E-2</v>
      </c>
      <c r="I104" s="228">
        <v>126.5</v>
      </c>
      <c r="J104" s="228">
        <v>125.07</v>
      </c>
      <c r="K104" s="228">
        <v>1.43</v>
      </c>
      <c r="L104" s="229">
        <v>1.14E-2</v>
      </c>
      <c r="M104" s="228">
        <v>126.39</v>
      </c>
      <c r="N104" s="228">
        <v>124.98</v>
      </c>
      <c r="O104" s="228">
        <v>1.41</v>
      </c>
      <c r="P104" s="229">
        <v>1.1299999999999999E-2</v>
      </c>
      <c r="Q104" s="228">
        <v>126.94</v>
      </c>
      <c r="R104" s="228">
        <v>125.54</v>
      </c>
      <c r="S104" s="228">
        <v>1.4</v>
      </c>
      <c r="T104" s="229">
        <v>1.12E-2</v>
      </c>
      <c r="U104" s="228">
        <v>127.48</v>
      </c>
      <c r="V104" s="228">
        <v>126.07</v>
      </c>
      <c r="W104" s="228">
        <v>1.41</v>
      </c>
      <c r="X104" s="229">
        <v>1.12E-2</v>
      </c>
      <c r="Y104" s="228">
        <v>-0.11</v>
      </c>
      <c r="Z104" s="228">
        <v>-0.09</v>
      </c>
      <c r="AA104" s="228">
        <v>-0.02</v>
      </c>
      <c r="AB104" s="229">
        <v>-8.9999999999999998E-4</v>
      </c>
      <c r="AC104" s="228">
        <v>-0.11</v>
      </c>
      <c r="AD104" s="228">
        <v>-0.09</v>
      </c>
      <c r="AE104" s="228">
        <v>-0.02</v>
      </c>
      <c r="AF104" s="229">
        <v>-8.9999999999999998E-4</v>
      </c>
      <c r="AG104" s="228">
        <v>0.44</v>
      </c>
      <c r="AH104" s="228">
        <v>0.47</v>
      </c>
      <c r="AI104" s="228">
        <v>-0.03</v>
      </c>
      <c r="AJ104" s="229">
        <v>3.5000000000000001E-3</v>
      </c>
      <c r="AK104" s="228">
        <v>0.98</v>
      </c>
      <c r="AL104" s="228">
        <v>1</v>
      </c>
      <c r="AM104" s="228">
        <v>-0.02</v>
      </c>
      <c r="AN104" s="229">
        <v>7.7000000000000002E-3</v>
      </c>
      <c r="AO104" s="228">
        <v>126.39</v>
      </c>
      <c r="AP104" s="228">
        <v>126.87</v>
      </c>
      <c r="AQ104" s="228">
        <v>0</v>
      </c>
      <c r="AR104" s="230">
        <v>8912250</v>
      </c>
      <c r="AS104" s="230">
        <v>5380500</v>
      </c>
      <c r="AT104" s="230">
        <v>3531750</v>
      </c>
      <c r="AU104" s="229">
        <v>0.65639999999999998</v>
      </c>
      <c r="AV104" s="230">
        <v>7896500</v>
      </c>
      <c r="AW104" s="230">
        <v>4751500</v>
      </c>
      <c r="AX104" s="230">
        <v>3145000</v>
      </c>
      <c r="AY104" s="229">
        <v>0.66190000000000004</v>
      </c>
      <c r="AZ104" s="230">
        <v>871250</v>
      </c>
      <c r="BA104" s="230">
        <v>467500</v>
      </c>
      <c r="BB104" s="230">
        <v>403750</v>
      </c>
      <c r="BC104" s="229">
        <v>0.86360000000000003</v>
      </c>
      <c r="BD104" s="230">
        <v>144500</v>
      </c>
      <c r="BE104" s="230">
        <v>161500</v>
      </c>
      <c r="BF104" s="230">
        <v>-17000</v>
      </c>
      <c r="BG104" s="229">
        <v>-0.1053</v>
      </c>
      <c r="BH104" s="230">
        <v>21029000</v>
      </c>
      <c r="BI104" s="230">
        <v>10110750</v>
      </c>
      <c r="BJ104" s="230">
        <v>10918250</v>
      </c>
      <c r="BK104" s="229">
        <v>1.0799000000000001</v>
      </c>
      <c r="BL104" s="230">
        <v>8147250</v>
      </c>
      <c r="BM104" s="230">
        <v>4135250</v>
      </c>
      <c r="BN104" s="230">
        <v>4012000</v>
      </c>
      <c r="BO104" s="229">
        <v>0.97019999999999995</v>
      </c>
      <c r="BP104" s="230">
        <v>38088500</v>
      </c>
      <c r="BQ104" s="230">
        <v>19626500</v>
      </c>
      <c r="BR104" s="230">
        <v>18462000</v>
      </c>
      <c r="BS104" s="229">
        <v>0.94069999999999998</v>
      </c>
      <c r="BT104" s="230">
        <v>8105794</v>
      </c>
      <c r="BU104" s="230">
        <v>6216119</v>
      </c>
      <c r="BV104" s="230">
        <v>1889675</v>
      </c>
      <c r="BW104" s="229">
        <v>0.30399999999999999</v>
      </c>
      <c r="BX104" s="230">
        <v>44497500</v>
      </c>
      <c r="BY104" s="230">
        <v>44820500</v>
      </c>
      <c r="BZ104" s="230">
        <v>-323000</v>
      </c>
      <c r="CA104" s="229">
        <v>-7.1999999999999998E-3</v>
      </c>
      <c r="CB104" s="230">
        <v>39516500</v>
      </c>
      <c r="CC104" s="230">
        <v>39729000</v>
      </c>
      <c r="CD104" s="230">
        <v>-212500</v>
      </c>
      <c r="CE104" s="229">
        <v>-5.3E-3</v>
      </c>
      <c r="CF104" s="230">
        <v>4526250</v>
      </c>
      <c r="CG104" s="230">
        <v>4585750</v>
      </c>
      <c r="CH104" s="230">
        <v>-59500</v>
      </c>
      <c r="CI104" s="229">
        <v>-1.2999999999999999E-2</v>
      </c>
      <c r="CJ104" s="230">
        <v>454750</v>
      </c>
      <c r="CK104" s="230">
        <v>505750</v>
      </c>
      <c r="CL104" s="230">
        <v>-51000</v>
      </c>
      <c r="CM104" s="229">
        <v>-0.1008</v>
      </c>
      <c r="CN104" s="230">
        <v>25959000</v>
      </c>
      <c r="CO104" s="230">
        <v>26384000</v>
      </c>
      <c r="CP104" s="230">
        <v>-425000</v>
      </c>
      <c r="CQ104" s="229">
        <v>-1.61E-2</v>
      </c>
      <c r="CR104" s="230">
        <v>15147000</v>
      </c>
      <c r="CS104" s="230">
        <v>13583000</v>
      </c>
      <c r="CT104" s="230">
        <v>1564000</v>
      </c>
      <c r="CU104" s="229">
        <v>0.11509999999999999</v>
      </c>
      <c r="CV104" s="230">
        <v>85603500</v>
      </c>
      <c r="CW104" s="230">
        <v>84787500</v>
      </c>
      <c r="CX104" s="230">
        <v>816000</v>
      </c>
      <c r="CY104" s="229">
        <v>9.5999999999999992E-3</v>
      </c>
      <c r="CZ104" s="228">
        <v>31.19</v>
      </c>
      <c r="DA104" s="228">
        <v>32.29</v>
      </c>
      <c r="DB104" s="228">
        <v>-1.1000000000000001</v>
      </c>
      <c r="DC104" s="228">
        <v>-1.1000000000000001</v>
      </c>
      <c r="DD104" s="228">
        <v>48.06</v>
      </c>
      <c r="DE104" s="228">
        <v>48.15</v>
      </c>
      <c r="DF104" s="228">
        <v>-16.87</v>
      </c>
      <c r="DG104" s="228">
        <v>-0.09</v>
      </c>
      <c r="DH104" s="228">
        <v>31.26</v>
      </c>
      <c r="DI104" s="228">
        <v>32.36</v>
      </c>
      <c r="DJ104" s="228">
        <v>-1.1000000000000001</v>
      </c>
      <c r="DK104" s="228">
        <v>-1.1000000000000001</v>
      </c>
      <c r="DL104" s="228">
        <v>31.01</v>
      </c>
      <c r="DM104" s="228">
        <v>32.130000000000003</v>
      </c>
      <c r="DN104" s="228">
        <v>-1.1200000000000001</v>
      </c>
      <c r="DO104" s="228">
        <v>-1.1200000000000001</v>
      </c>
      <c r="DP104" s="228">
        <v>0.57999999999999996</v>
      </c>
      <c r="DQ104" s="228">
        <v>0.51</v>
      </c>
      <c r="DR104" s="228">
        <v>7.0000000000000007E-2</v>
      </c>
      <c r="DS104" s="229">
        <v>0.13730000000000001</v>
      </c>
      <c r="DT104" s="228">
        <v>130</v>
      </c>
      <c r="DU104" s="228">
        <v>125</v>
      </c>
      <c r="DV104" s="228">
        <v>0.39</v>
      </c>
      <c r="DW104" s="228">
        <v>0.41</v>
      </c>
      <c r="DX104" s="228">
        <v>-0.02</v>
      </c>
      <c r="DY104" s="229">
        <v>-4.8800000000000003E-2</v>
      </c>
      <c r="DZ104" s="229">
        <v>0.1119</v>
      </c>
      <c r="EA104" s="230">
        <v>5091500</v>
      </c>
      <c r="EB104" s="229">
        <v>4.4000000000000003E-3</v>
      </c>
      <c r="EC104" s="229">
        <v>0.1119</v>
      </c>
      <c r="ED104" s="228">
        <v>0.48</v>
      </c>
      <c r="EE104" s="229">
        <v>3.8E-3</v>
      </c>
      <c r="EF104" s="230">
        <v>3675668</v>
      </c>
      <c r="EG104" s="230">
        <v>2363792</v>
      </c>
      <c r="EH104" s="229">
        <v>0.55500000000000005</v>
      </c>
      <c r="EI104" s="229">
        <v>0.45350000000000001</v>
      </c>
      <c r="EJ104" s="231">
        <v>27760.85</v>
      </c>
      <c r="EK104" s="231">
        <v>10181.41</v>
      </c>
      <c r="EL104" s="231">
        <v>11269.86</v>
      </c>
      <c r="EM104" s="231">
        <v>1848</v>
      </c>
      <c r="EN104" s="231">
        <v>49212.12</v>
      </c>
      <c r="EO104" s="231">
        <v>25168.91</v>
      </c>
      <c r="EP104" s="231">
        <v>24043.21</v>
      </c>
      <c r="EQ104" s="229">
        <v>0.95530000000000004</v>
      </c>
      <c r="ER104" s="231">
        <v>34400</v>
      </c>
      <c r="ES104" s="231">
        <v>18788</v>
      </c>
      <c r="ET104" s="231">
        <v>56270</v>
      </c>
      <c r="EU104" s="231">
        <v>226853356</v>
      </c>
      <c r="EV104" s="231">
        <v>109459</v>
      </c>
      <c r="EW104" s="231">
        <v>107814</v>
      </c>
      <c r="EX104" s="231">
        <v>1645</v>
      </c>
      <c r="EY104" s="229">
        <v>1.5299999999999999E-2</v>
      </c>
      <c r="EZ104" s="229">
        <v>0.37740000000000001</v>
      </c>
      <c r="FA104" s="227" t="s">
        <v>556</v>
      </c>
      <c r="FB104" s="161">
        <f t="shared" si="1"/>
        <v>4981000</v>
      </c>
    </row>
    <row r="105" spans="1:158" ht="17.25" hidden="1" thickBot="1" x14ac:dyDescent="0.3">
      <c r="A105" s="226">
        <v>45940</v>
      </c>
      <c r="B105" s="227" t="s">
        <v>168</v>
      </c>
      <c r="C105" s="227" t="s">
        <v>242</v>
      </c>
      <c r="D105" s="228">
        <v>1600</v>
      </c>
      <c r="E105" s="228">
        <v>405</v>
      </c>
      <c r="F105" s="228">
        <v>402.2</v>
      </c>
      <c r="G105" s="228">
        <v>2.8</v>
      </c>
      <c r="H105" s="229">
        <v>7.0000000000000001E-3</v>
      </c>
      <c r="I105" s="228">
        <v>402.8</v>
      </c>
      <c r="J105" s="228">
        <v>399.9</v>
      </c>
      <c r="K105" s="228">
        <v>2.9</v>
      </c>
      <c r="L105" s="229">
        <v>7.3000000000000001E-3</v>
      </c>
      <c r="M105" s="228">
        <v>405</v>
      </c>
      <c r="N105" s="228">
        <v>402.2</v>
      </c>
      <c r="O105" s="228">
        <v>2.8</v>
      </c>
      <c r="P105" s="229">
        <v>7.0000000000000001E-3</v>
      </c>
      <c r="Q105" s="228">
        <v>407.15</v>
      </c>
      <c r="R105" s="228">
        <v>404.25</v>
      </c>
      <c r="S105" s="228">
        <v>2.9</v>
      </c>
      <c r="T105" s="229">
        <v>7.1999999999999998E-3</v>
      </c>
      <c r="U105" s="228">
        <v>409.6</v>
      </c>
      <c r="V105" s="228">
        <v>406.55</v>
      </c>
      <c r="W105" s="228">
        <v>3.05</v>
      </c>
      <c r="X105" s="229">
        <v>7.4999999999999997E-3</v>
      </c>
      <c r="Y105" s="228">
        <v>2.2000000000000002</v>
      </c>
      <c r="Z105" s="228">
        <v>2.2999999999999998</v>
      </c>
      <c r="AA105" s="228">
        <v>-0.1</v>
      </c>
      <c r="AB105" s="229">
        <v>5.4999999999999997E-3</v>
      </c>
      <c r="AC105" s="228">
        <v>2.2000000000000002</v>
      </c>
      <c r="AD105" s="228">
        <v>2.2999999999999998</v>
      </c>
      <c r="AE105" s="228">
        <v>-0.1</v>
      </c>
      <c r="AF105" s="229">
        <v>5.4999999999999997E-3</v>
      </c>
      <c r="AG105" s="228">
        <v>4.3499999999999996</v>
      </c>
      <c r="AH105" s="228">
        <v>4.3499999999999996</v>
      </c>
      <c r="AI105" s="228">
        <v>0</v>
      </c>
      <c r="AJ105" s="229">
        <v>1.0800000000000001E-2</v>
      </c>
      <c r="AK105" s="228">
        <v>6.8</v>
      </c>
      <c r="AL105" s="228">
        <v>6.65</v>
      </c>
      <c r="AM105" s="228">
        <v>0.15</v>
      </c>
      <c r="AN105" s="229">
        <v>1.6899999999999998E-2</v>
      </c>
      <c r="AO105" s="228">
        <v>404.59</v>
      </c>
      <c r="AP105" s="228">
        <v>406.78</v>
      </c>
      <c r="AQ105" s="228">
        <v>0</v>
      </c>
      <c r="AR105" s="230">
        <v>20579200</v>
      </c>
      <c r="AS105" s="230">
        <v>13056000</v>
      </c>
      <c r="AT105" s="230">
        <v>7523200</v>
      </c>
      <c r="AU105" s="229">
        <v>0.57620000000000005</v>
      </c>
      <c r="AV105" s="230">
        <v>18801600</v>
      </c>
      <c r="AW105" s="230">
        <v>12072000</v>
      </c>
      <c r="AX105" s="230">
        <v>6729600</v>
      </c>
      <c r="AY105" s="229">
        <v>0.5575</v>
      </c>
      <c r="AZ105" s="230">
        <v>1206400</v>
      </c>
      <c r="BA105" s="230">
        <v>779200</v>
      </c>
      <c r="BB105" s="230">
        <v>427200</v>
      </c>
      <c r="BC105" s="229">
        <v>0.54830000000000001</v>
      </c>
      <c r="BD105" s="230">
        <v>571200</v>
      </c>
      <c r="BE105" s="230">
        <v>204800</v>
      </c>
      <c r="BF105" s="230">
        <v>366400</v>
      </c>
      <c r="BG105" s="229">
        <v>1.7890999999999999</v>
      </c>
      <c r="BH105" s="230">
        <v>51910400</v>
      </c>
      <c r="BI105" s="230">
        <v>30782400</v>
      </c>
      <c r="BJ105" s="230">
        <v>21128000</v>
      </c>
      <c r="BK105" s="229">
        <v>0.68640000000000001</v>
      </c>
      <c r="BL105" s="230">
        <v>29971200</v>
      </c>
      <c r="BM105" s="230">
        <v>17912000</v>
      </c>
      <c r="BN105" s="230">
        <v>12059200</v>
      </c>
      <c r="BO105" s="229">
        <v>0.67320000000000002</v>
      </c>
      <c r="BP105" s="230">
        <v>102460800</v>
      </c>
      <c r="BQ105" s="230">
        <v>61750400</v>
      </c>
      <c r="BR105" s="230">
        <v>40710400</v>
      </c>
      <c r="BS105" s="229">
        <v>0.6593</v>
      </c>
      <c r="BT105" s="230">
        <v>19173015</v>
      </c>
      <c r="BU105" s="230">
        <v>16722114</v>
      </c>
      <c r="BV105" s="230">
        <v>2450901</v>
      </c>
      <c r="BW105" s="229">
        <v>0.14660000000000001</v>
      </c>
      <c r="BX105" s="230">
        <v>129392000</v>
      </c>
      <c r="BY105" s="230">
        <v>124659200</v>
      </c>
      <c r="BZ105" s="230">
        <v>4732800</v>
      </c>
      <c r="CA105" s="229">
        <v>3.7999999999999999E-2</v>
      </c>
      <c r="CB105" s="230">
        <v>123148800</v>
      </c>
      <c r="CC105" s="230">
        <v>118936000</v>
      </c>
      <c r="CD105" s="230">
        <v>4212800</v>
      </c>
      <c r="CE105" s="229">
        <v>3.5400000000000001E-2</v>
      </c>
      <c r="CF105" s="230">
        <v>5540800</v>
      </c>
      <c r="CG105" s="230">
        <v>5256000</v>
      </c>
      <c r="CH105" s="230">
        <v>284800</v>
      </c>
      <c r="CI105" s="229">
        <v>5.4199999999999998E-2</v>
      </c>
      <c r="CJ105" s="230">
        <v>702400</v>
      </c>
      <c r="CK105" s="230">
        <v>467200</v>
      </c>
      <c r="CL105" s="230">
        <v>235200</v>
      </c>
      <c r="CM105" s="229">
        <v>0.50339999999999996</v>
      </c>
      <c r="CN105" s="230">
        <v>45310400</v>
      </c>
      <c r="CO105" s="230">
        <v>47369600</v>
      </c>
      <c r="CP105" s="230">
        <v>-2059200</v>
      </c>
      <c r="CQ105" s="229">
        <v>-4.3499999999999997E-2</v>
      </c>
      <c r="CR105" s="230">
        <v>30572800</v>
      </c>
      <c r="CS105" s="230">
        <v>31220800</v>
      </c>
      <c r="CT105" s="230">
        <v>-648000</v>
      </c>
      <c r="CU105" s="229">
        <v>-2.0799999999999999E-2</v>
      </c>
      <c r="CV105" s="230">
        <v>205275200</v>
      </c>
      <c r="CW105" s="230">
        <v>203249600</v>
      </c>
      <c r="CX105" s="230">
        <v>2025600</v>
      </c>
      <c r="CY105" s="229">
        <v>0.01</v>
      </c>
      <c r="CZ105" s="228">
        <v>14.16</v>
      </c>
      <c r="DA105" s="228">
        <v>15.46</v>
      </c>
      <c r="DB105" s="228">
        <v>-1.3</v>
      </c>
      <c r="DC105" s="228">
        <v>-1.3</v>
      </c>
      <c r="DD105" s="228">
        <v>19.690000000000001</v>
      </c>
      <c r="DE105" s="228">
        <v>19.71</v>
      </c>
      <c r="DF105" s="228">
        <v>-5.53</v>
      </c>
      <c r="DG105" s="228">
        <v>-0.02</v>
      </c>
      <c r="DH105" s="228">
        <v>13.99</v>
      </c>
      <c r="DI105" s="228">
        <v>15.51</v>
      </c>
      <c r="DJ105" s="228">
        <v>-1.52</v>
      </c>
      <c r="DK105" s="228">
        <v>-1.52</v>
      </c>
      <c r="DL105" s="228">
        <v>14.44</v>
      </c>
      <c r="DM105" s="228">
        <v>15.38</v>
      </c>
      <c r="DN105" s="228">
        <v>-0.94</v>
      </c>
      <c r="DO105" s="228">
        <v>-0.94</v>
      </c>
      <c r="DP105" s="228">
        <v>0.67</v>
      </c>
      <c r="DQ105" s="228">
        <v>0.66</v>
      </c>
      <c r="DR105" s="228">
        <v>0.01</v>
      </c>
      <c r="DS105" s="229">
        <v>1.52E-2</v>
      </c>
      <c r="DT105" s="228">
        <v>410</v>
      </c>
      <c r="DU105" s="228">
        <v>400</v>
      </c>
      <c r="DV105" s="228">
        <v>0.57999999999999996</v>
      </c>
      <c r="DW105" s="228">
        <v>0.57999999999999996</v>
      </c>
      <c r="DX105" s="228">
        <v>0</v>
      </c>
      <c r="DY105" s="229">
        <v>0</v>
      </c>
      <c r="DZ105" s="229">
        <v>4.8300000000000003E-2</v>
      </c>
      <c r="EA105" s="230">
        <v>5723200</v>
      </c>
      <c r="EB105" s="229">
        <v>5.3E-3</v>
      </c>
      <c r="EC105" s="229">
        <v>4.8300000000000003E-2</v>
      </c>
      <c r="ED105" s="228">
        <v>2.19</v>
      </c>
      <c r="EE105" s="229">
        <v>5.4000000000000003E-3</v>
      </c>
      <c r="EF105" s="230">
        <v>14388000</v>
      </c>
      <c r="EG105" s="230">
        <v>11545565</v>
      </c>
      <c r="EH105" s="229">
        <v>0.2462</v>
      </c>
      <c r="EI105" s="229">
        <v>0.75039999999999996</v>
      </c>
      <c r="EJ105" s="231">
        <v>214214.84</v>
      </c>
      <c r="EK105" s="231">
        <v>120794.21</v>
      </c>
      <c r="EL105" s="231">
        <v>83315.179999999993</v>
      </c>
      <c r="EM105" s="231">
        <v>8116</v>
      </c>
      <c r="EN105" s="231">
        <v>418324.23</v>
      </c>
      <c r="EO105" s="231">
        <v>251219.83</v>
      </c>
      <c r="EP105" s="231">
        <v>167104.4</v>
      </c>
      <c r="EQ105" s="229">
        <v>0.66520000000000001</v>
      </c>
      <c r="ER105" s="231">
        <v>188232</v>
      </c>
      <c r="ES105" s="231">
        <v>122524</v>
      </c>
      <c r="ET105" s="231">
        <v>524189</v>
      </c>
      <c r="EU105" s="231">
        <v>1251412841</v>
      </c>
      <c r="EV105" s="231">
        <v>834946</v>
      </c>
      <c r="EW105" s="231">
        <v>823003</v>
      </c>
      <c r="EX105" s="231">
        <v>11943</v>
      </c>
      <c r="EY105" s="229">
        <v>1.4500000000000001E-2</v>
      </c>
      <c r="EZ105" s="229">
        <v>0.16400000000000001</v>
      </c>
      <c r="FA105" s="227" t="s">
        <v>555</v>
      </c>
      <c r="FB105" s="161">
        <f t="shared" si="1"/>
        <v>6243200</v>
      </c>
    </row>
    <row r="106" spans="1:158" ht="17.25" hidden="1" thickBot="1" x14ac:dyDescent="0.3">
      <c r="A106" s="226">
        <v>45940</v>
      </c>
      <c r="B106" s="227" t="s">
        <v>227</v>
      </c>
      <c r="C106" s="227" t="s">
        <v>243</v>
      </c>
      <c r="D106" s="228">
        <v>625</v>
      </c>
      <c r="E106" s="231">
        <v>1020.2</v>
      </c>
      <c r="F106" s="231">
        <v>1042.5</v>
      </c>
      <c r="G106" s="228">
        <v>-22.3</v>
      </c>
      <c r="H106" s="229">
        <v>-2.1399999999999999E-2</v>
      </c>
      <c r="I106" s="231">
        <v>1015.2</v>
      </c>
      <c r="J106" s="231">
        <v>1040.3</v>
      </c>
      <c r="K106" s="228">
        <v>-25.1</v>
      </c>
      <c r="L106" s="229">
        <v>-2.41E-2</v>
      </c>
      <c r="M106" s="231">
        <v>1020.2</v>
      </c>
      <c r="N106" s="231">
        <v>1042.5</v>
      </c>
      <c r="O106" s="228">
        <v>-22.3</v>
      </c>
      <c r="P106" s="229">
        <v>-2.1399999999999999E-2</v>
      </c>
      <c r="Q106" s="231">
        <v>1025.9000000000001</v>
      </c>
      <c r="R106" s="231">
        <v>1048</v>
      </c>
      <c r="S106" s="228">
        <v>-22.1</v>
      </c>
      <c r="T106" s="229">
        <v>-2.1100000000000001E-2</v>
      </c>
      <c r="U106" s="231">
        <v>1031.5999999999999</v>
      </c>
      <c r="V106" s="231">
        <v>1049.3</v>
      </c>
      <c r="W106" s="228">
        <v>-17.7</v>
      </c>
      <c r="X106" s="229">
        <v>-1.6899999999999998E-2</v>
      </c>
      <c r="Y106" s="228">
        <v>5</v>
      </c>
      <c r="Z106" s="228">
        <v>2.2000000000000002</v>
      </c>
      <c r="AA106" s="228">
        <v>2.8</v>
      </c>
      <c r="AB106" s="229">
        <v>4.8999999999999998E-3</v>
      </c>
      <c r="AC106" s="228">
        <v>5</v>
      </c>
      <c r="AD106" s="228">
        <v>2.2000000000000002</v>
      </c>
      <c r="AE106" s="228">
        <v>2.8</v>
      </c>
      <c r="AF106" s="229">
        <v>4.8999999999999998E-3</v>
      </c>
      <c r="AG106" s="228">
        <v>10.7</v>
      </c>
      <c r="AH106" s="228">
        <v>7.7</v>
      </c>
      <c r="AI106" s="228">
        <v>3</v>
      </c>
      <c r="AJ106" s="229">
        <v>1.0500000000000001E-2</v>
      </c>
      <c r="AK106" s="228">
        <v>16.399999999999999</v>
      </c>
      <c r="AL106" s="228">
        <v>9</v>
      </c>
      <c r="AM106" s="228">
        <v>7.4</v>
      </c>
      <c r="AN106" s="229">
        <v>1.6199999999999999E-2</v>
      </c>
      <c r="AO106" s="231">
        <v>1024.22</v>
      </c>
      <c r="AP106" s="231">
        <v>1029.98</v>
      </c>
      <c r="AQ106" s="228">
        <v>0</v>
      </c>
      <c r="AR106" s="230">
        <v>3002500</v>
      </c>
      <c r="AS106" s="230">
        <v>3222500</v>
      </c>
      <c r="AT106" s="230">
        <v>-220000</v>
      </c>
      <c r="AU106" s="229">
        <v>-6.83E-2</v>
      </c>
      <c r="AV106" s="230">
        <v>2881250</v>
      </c>
      <c r="AW106" s="230">
        <v>3108750</v>
      </c>
      <c r="AX106" s="230">
        <v>-227500</v>
      </c>
      <c r="AY106" s="229">
        <v>-7.3200000000000001E-2</v>
      </c>
      <c r="AZ106" s="230">
        <v>106875</v>
      </c>
      <c r="BA106" s="230">
        <v>107500</v>
      </c>
      <c r="BB106" s="228">
        <v>-625</v>
      </c>
      <c r="BC106" s="229">
        <v>-5.7999999999999996E-3</v>
      </c>
      <c r="BD106" s="230">
        <v>14375</v>
      </c>
      <c r="BE106" s="230">
        <v>6250</v>
      </c>
      <c r="BF106" s="230">
        <v>8125</v>
      </c>
      <c r="BG106" s="229">
        <v>1.3</v>
      </c>
      <c r="BH106" s="230">
        <v>9174375</v>
      </c>
      <c r="BI106" s="230">
        <v>9214375</v>
      </c>
      <c r="BJ106" s="230">
        <v>-40000</v>
      </c>
      <c r="BK106" s="229">
        <v>-4.3E-3</v>
      </c>
      <c r="BL106" s="230">
        <v>3226250</v>
      </c>
      <c r="BM106" s="230">
        <v>3244375</v>
      </c>
      <c r="BN106" s="230">
        <v>-18125</v>
      </c>
      <c r="BO106" s="229">
        <v>-5.5999999999999999E-3</v>
      </c>
      <c r="BP106" s="230">
        <v>15403125</v>
      </c>
      <c r="BQ106" s="230">
        <v>15681250</v>
      </c>
      <c r="BR106" s="230">
        <v>-278125</v>
      </c>
      <c r="BS106" s="229">
        <v>-1.77E-2</v>
      </c>
      <c r="BT106" s="230">
        <v>2457549</v>
      </c>
      <c r="BU106" s="230">
        <v>2772965</v>
      </c>
      <c r="BV106" s="230">
        <v>-315416</v>
      </c>
      <c r="BW106" s="229">
        <v>-0.1137</v>
      </c>
      <c r="BX106" s="230">
        <v>14206250</v>
      </c>
      <c r="BY106" s="230">
        <v>14134375</v>
      </c>
      <c r="BZ106" s="230">
        <v>71875</v>
      </c>
      <c r="CA106" s="229">
        <v>5.1000000000000004E-3</v>
      </c>
      <c r="CB106" s="230">
        <v>14003750</v>
      </c>
      <c r="CC106" s="230">
        <v>13966250</v>
      </c>
      <c r="CD106" s="230">
        <v>37500</v>
      </c>
      <c r="CE106" s="229">
        <v>2.7000000000000001E-3</v>
      </c>
      <c r="CF106" s="230">
        <v>165000</v>
      </c>
      <c r="CG106" s="230">
        <v>136875</v>
      </c>
      <c r="CH106" s="230">
        <v>28125</v>
      </c>
      <c r="CI106" s="229">
        <v>0.20549999999999999</v>
      </c>
      <c r="CJ106" s="230">
        <v>37500</v>
      </c>
      <c r="CK106" s="230">
        <v>31250</v>
      </c>
      <c r="CL106" s="230">
        <v>6250</v>
      </c>
      <c r="CM106" s="229">
        <v>0.2</v>
      </c>
      <c r="CN106" s="230">
        <v>7643750</v>
      </c>
      <c r="CO106" s="230">
        <v>6308750</v>
      </c>
      <c r="CP106" s="230">
        <v>1335000</v>
      </c>
      <c r="CQ106" s="229">
        <v>0.21160000000000001</v>
      </c>
      <c r="CR106" s="230">
        <v>3978750</v>
      </c>
      <c r="CS106" s="230">
        <v>3751250</v>
      </c>
      <c r="CT106" s="230">
        <v>227500</v>
      </c>
      <c r="CU106" s="229">
        <v>6.0600000000000001E-2</v>
      </c>
      <c r="CV106" s="230">
        <v>25828750</v>
      </c>
      <c r="CW106" s="230">
        <v>24194375</v>
      </c>
      <c r="CX106" s="230">
        <v>1634375</v>
      </c>
      <c r="CY106" s="229">
        <v>6.7599999999999993E-2</v>
      </c>
      <c r="CZ106" s="228">
        <v>27.48</v>
      </c>
      <c r="DA106" s="228">
        <v>27.22</v>
      </c>
      <c r="DB106" s="228">
        <v>0.26</v>
      </c>
      <c r="DC106" s="228">
        <v>0.26</v>
      </c>
      <c r="DD106" s="228">
        <v>36.36</v>
      </c>
      <c r="DE106" s="228">
        <v>36.299999999999997</v>
      </c>
      <c r="DF106" s="228">
        <v>-8.8800000000000008</v>
      </c>
      <c r="DG106" s="228">
        <v>0.06</v>
      </c>
      <c r="DH106" s="228">
        <v>27.69</v>
      </c>
      <c r="DI106" s="228">
        <v>27.1</v>
      </c>
      <c r="DJ106" s="228">
        <v>0.59</v>
      </c>
      <c r="DK106" s="228">
        <v>0.59</v>
      </c>
      <c r="DL106" s="228">
        <v>26.88</v>
      </c>
      <c r="DM106" s="228">
        <v>27.55</v>
      </c>
      <c r="DN106" s="228">
        <v>-0.67</v>
      </c>
      <c r="DO106" s="228">
        <v>-0.67</v>
      </c>
      <c r="DP106" s="228">
        <v>0.52</v>
      </c>
      <c r="DQ106" s="228">
        <v>0.59</v>
      </c>
      <c r="DR106" s="228">
        <v>-7.0000000000000007E-2</v>
      </c>
      <c r="DS106" s="229">
        <v>-0.1186</v>
      </c>
      <c r="DT106" s="231">
        <v>1100</v>
      </c>
      <c r="DU106" s="231">
        <v>1000</v>
      </c>
      <c r="DV106" s="228">
        <v>0.35</v>
      </c>
      <c r="DW106" s="228">
        <v>0.35</v>
      </c>
      <c r="DX106" s="228">
        <v>0</v>
      </c>
      <c r="DY106" s="229">
        <v>0</v>
      </c>
      <c r="DZ106" s="229">
        <v>1.43E-2</v>
      </c>
      <c r="EA106" s="230">
        <v>168125</v>
      </c>
      <c r="EB106" s="229">
        <v>5.5999999999999999E-3</v>
      </c>
      <c r="EC106" s="229">
        <v>1.43E-2</v>
      </c>
      <c r="ED106" s="228">
        <v>5.76</v>
      </c>
      <c r="EE106" s="229">
        <v>5.5999999999999999E-3</v>
      </c>
      <c r="EF106" s="230">
        <v>1104222</v>
      </c>
      <c r="EG106" s="230">
        <v>1695688</v>
      </c>
      <c r="EH106" s="229">
        <v>-0.3488</v>
      </c>
      <c r="EI106" s="229">
        <v>0.44929999999999998</v>
      </c>
      <c r="EJ106" s="231">
        <v>98944.93</v>
      </c>
      <c r="EK106" s="231">
        <v>33014.239999999998</v>
      </c>
      <c r="EL106" s="231">
        <v>30759.77</v>
      </c>
      <c r="EM106" s="231">
        <v>5961</v>
      </c>
      <c r="EN106" s="231">
        <v>162718.94</v>
      </c>
      <c r="EO106" s="231">
        <v>166167.74</v>
      </c>
      <c r="EP106" s="231">
        <v>-3448.8</v>
      </c>
      <c r="EQ106" s="229">
        <v>-2.0799999999999999E-2</v>
      </c>
      <c r="ER106" s="231">
        <v>82762</v>
      </c>
      <c r="ES106" s="231">
        <v>40238</v>
      </c>
      <c r="ET106" s="231">
        <v>144946</v>
      </c>
      <c r="EU106" s="231">
        <v>54776702</v>
      </c>
      <c r="EV106" s="231">
        <v>267946</v>
      </c>
      <c r="EW106" s="231">
        <v>254022</v>
      </c>
      <c r="EX106" s="231">
        <v>13924</v>
      </c>
      <c r="EY106" s="229">
        <v>5.4800000000000001E-2</v>
      </c>
      <c r="EZ106" s="229">
        <v>0.47149999999999997</v>
      </c>
      <c r="FA106" s="227" t="s">
        <v>567</v>
      </c>
      <c r="FB106" s="161">
        <f t="shared" si="1"/>
        <v>202500</v>
      </c>
    </row>
    <row r="107" spans="1:158" ht="17.25" hidden="1" thickBot="1" x14ac:dyDescent="0.3">
      <c r="A107" s="226">
        <v>45940</v>
      </c>
      <c r="B107" s="227" t="s">
        <v>175</v>
      </c>
      <c r="C107" s="227" t="s">
        <v>571</v>
      </c>
      <c r="D107" s="228">
        <v>2350</v>
      </c>
      <c r="E107" s="228">
        <v>309.89999999999998</v>
      </c>
      <c r="F107" s="228">
        <v>308.95</v>
      </c>
      <c r="G107" s="228">
        <v>0.95</v>
      </c>
      <c r="H107" s="229">
        <v>3.0999999999999999E-3</v>
      </c>
      <c r="I107" s="228">
        <v>308.14999999999998</v>
      </c>
      <c r="J107" s="228">
        <v>307.35000000000002</v>
      </c>
      <c r="K107" s="228">
        <v>0.8</v>
      </c>
      <c r="L107" s="229">
        <v>2.5999999999999999E-3</v>
      </c>
      <c r="M107" s="228">
        <v>309.89999999999998</v>
      </c>
      <c r="N107" s="228">
        <v>308.95</v>
      </c>
      <c r="O107" s="228">
        <v>0.95</v>
      </c>
      <c r="P107" s="229">
        <v>3.0999999999999999E-3</v>
      </c>
      <c r="Q107" s="228">
        <v>311.60000000000002</v>
      </c>
      <c r="R107" s="228">
        <v>310.64999999999998</v>
      </c>
      <c r="S107" s="228">
        <v>0.95</v>
      </c>
      <c r="T107" s="229">
        <v>3.0999999999999999E-3</v>
      </c>
      <c r="U107" s="228">
        <v>313.60000000000002</v>
      </c>
      <c r="V107" s="228">
        <v>312.45</v>
      </c>
      <c r="W107" s="228">
        <v>1.1499999999999999</v>
      </c>
      <c r="X107" s="229">
        <v>3.7000000000000002E-3</v>
      </c>
      <c r="Y107" s="228">
        <v>1.75</v>
      </c>
      <c r="Z107" s="228">
        <v>1.6</v>
      </c>
      <c r="AA107" s="228">
        <v>0.15</v>
      </c>
      <c r="AB107" s="229">
        <v>5.7000000000000002E-3</v>
      </c>
      <c r="AC107" s="228">
        <v>1.75</v>
      </c>
      <c r="AD107" s="228">
        <v>1.6</v>
      </c>
      <c r="AE107" s="228">
        <v>0.15</v>
      </c>
      <c r="AF107" s="229">
        <v>5.7000000000000002E-3</v>
      </c>
      <c r="AG107" s="228">
        <v>3.45</v>
      </c>
      <c r="AH107" s="228">
        <v>3.3</v>
      </c>
      <c r="AI107" s="228">
        <v>0.15</v>
      </c>
      <c r="AJ107" s="229">
        <v>1.12E-2</v>
      </c>
      <c r="AK107" s="228">
        <v>5.45</v>
      </c>
      <c r="AL107" s="228">
        <v>5.0999999999999996</v>
      </c>
      <c r="AM107" s="228">
        <v>0.35</v>
      </c>
      <c r="AN107" s="229">
        <v>1.77E-2</v>
      </c>
      <c r="AO107" s="228">
        <v>310.81</v>
      </c>
      <c r="AP107" s="228">
        <v>312.37</v>
      </c>
      <c r="AQ107" s="228">
        <v>0</v>
      </c>
      <c r="AR107" s="230">
        <v>13829750</v>
      </c>
      <c r="AS107" s="230">
        <v>11757050</v>
      </c>
      <c r="AT107" s="230">
        <v>2072700</v>
      </c>
      <c r="AU107" s="229">
        <v>0.17630000000000001</v>
      </c>
      <c r="AV107" s="230">
        <v>11453900</v>
      </c>
      <c r="AW107" s="230">
        <v>10304750</v>
      </c>
      <c r="AX107" s="230">
        <v>1149150</v>
      </c>
      <c r="AY107" s="229">
        <v>0.1115</v>
      </c>
      <c r="AZ107" s="230">
        <v>1689650</v>
      </c>
      <c r="BA107" s="230">
        <v>1135050</v>
      </c>
      <c r="BB107" s="230">
        <v>554600</v>
      </c>
      <c r="BC107" s="229">
        <v>0.48859999999999998</v>
      </c>
      <c r="BD107" s="230">
        <v>686200</v>
      </c>
      <c r="BE107" s="230">
        <v>317250</v>
      </c>
      <c r="BF107" s="230">
        <v>368950</v>
      </c>
      <c r="BG107" s="229">
        <v>1.163</v>
      </c>
      <c r="BH107" s="230">
        <v>34761200</v>
      </c>
      <c r="BI107" s="230">
        <v>40417650</v>
      </c>
      <c r="BJ107" s="230">
        <v>-5656450</v>
      </c>
      <c r="BK107" s="229">
        <v>-0.1399</v>
      </c>
      <c r="BL107" s="230">
        <v>17810650</v>
      </c>
      <c r="BM107" s="230">
        <v>20633000</v>
      </c>
      <c r="BN107" s="230">
        <v>-2822350</v>
      </c>
      <c r="BO107" s="229">
        <v>-0.1368</v>
      </c>
      <c r="BP107" s="230">
        <v>66401600</v>
      </c>
      <c r="BQ107" s="230">
        <v>72807700</v>
      </c>
      <c r="BR107" s="230">
        <v>-6406100</v>
      </c>
      <c r="BS107" s="229">
        <v>-8.7999999999999995E-2</v>
      </c>
      <c r="BT107" s="230">
        <v>7900937</v>
      </c>
      <c r="BU107" s="230">
        <v>7298082</v>
      </c>
      <c r="BV107" s="230">
        <v>602855</v>
      </c>
      <c r="BW107" s="229">
        <v>8.2600000000000007E-2</v>
      </c>
      <c r="BX107" s="230">
        <v>135493950</v>
      </c>
      <c r="BY107" s="230">
        <v>134770150</v>
      </c>
      <c r="BZ107" s="230">
        <v>723800</v>
      </c>
      <c r="CA107" s="229">
        <v>5.4000000000000003E-3</v>
      </c>
      <c r="CB107" s="230">
        <v>126505200</v>
      </c>
      <c r="CC107" s="230">
        <v>126155050</v>
      </c>
      <c r="CD107" s="230">
        <v>350150</v>
      </c>
      <c r="CE107" s="229">
        <v>2.8E-3</v>
      </c>
      <c r="CF107" s="230">
        <v>7858400</v>
      </c>
      <c r="CG107" s="230">
        <v>7661000</v>
      </c>
      <c r="CH107" s="230">
        <v>197400</v>
      </c>
      <c r="CI107" s="229">
        <v>2.58E-2</v>
      </c>
      <c r="CJ107" s="230">
        <v>1130350</v>
      </c>
      <c r="CK107" s="230">
        <v>954100</v>
      </c>
      <c r="CL107" s="230">
        <v>176250</v>
      </c>
      <c r="CM107" s="229">
        <v>0.1847</v>
      </c>
      <c r="CN107" s="230">
        <v>54555250</v>
      </c>
      <c r="CO107" s="230">
        <v>53462500</v>
      </c>
      <c r="CP107" s="230">
        <v>1092750</v>
      </c>
      <c r="CQ107" s="229">
        <v>2.0400000000000001E-2</v>
      </c>
      <c r="CR107" s="230">
        <v>38753850</v>
      </c>
      <c r="CS107" s="230">
        <v>37564750</v>
      </c>
      <c r="CT107" s="230">
        <v>1189100</v>
      </c>
      <c r="CU107" s="229">
        <v>3.1699999999999999E-2</v>
      </c>
      <c r="CV107" s="230">
        <v>228803050</v>
      </c>
      <c r="CW107" s="230">
        <v>225797400</v>
      </c>
      <c r="CX107" s="230">
        <v>3005650</v>
      </c>
      <c r="CY107" s="229">
        <v>1.3299999999999999E-2</v>
      </c>
      <c r="CZ107" s="228">
        <v>26.48</v>
      </c>
      <c r="DA107" s="228">
        <v>27.31</v>
      </c>
      <c r="DB107" s="228">
        <v>-0.83</v>
      </c>
      <c r="DC107" s="228">
        <v>-0.83</v>
      </c>
      <c r="DD107" s="228">
        <v>36.380000000000003</v>
      </c>
      <c r="DE107" s="228">
        <v>36.47</v>
      </c>
      <c r="DF107" s="228">
        <v>-9.9</v>
      </c>
      <c r="DG107" s="228">
        <v>-0.09</v>
      </c>
      <c r="DH107" s="228">
        <v>26.58</v>
      </c>
      <c r="DI107" s="228">
        <v>27.33</v>
      </c>
      <c r="DJ107" s="228">
        <v>-0.75</v>
      </c>
      <c r="DK107" s="228">
        <v>-0.75</v>
      </c>
      <c r="DL107" s="228">
        <v>26.28</v>
      </c>
      <c r="DM107" s="228">
        <v>27.25</v>
      </c>
      <c r="DN107" s="228">
        <v>-0.97</v>
      </c>
      <c r="DO107" s="228">
        <v>-0.97</v>
      </c>
      <c r="DP107" s="228">
        <v>0.71</v>
      </c>
      <c r="DQ107" s="228">
        <v>0.7</v>
      </c>
      <c r="DR107" s="228">
        <v>0.01</v>
      </c>
      <c r="DS107" s="229">
        <v>1.43E-2</v>
      </c>
      <c r="DT107" s="228">
        <v>320</v>
      </c>
      <c r="DU107" s="228">
        <v>300</v>
      </c>
      <c r="DV107" s="228">
        <v>0.51</v>
      </c>
      <c r="DW107" s="228">
        <v>0.51</v>
      </c>
      <c r="DX107" s="228">
        <v>0</v>
      </c>
      <c r="DY107" s="229">
        <v>0</v>
      </c>
      <c r="DZ107" s="229">
        <v>6.6299999999999998E-2</v>
      </c>
      <c r="EA107" s="230">
        <v>8615100</v>
      </c>
      <c r="EB107" s="229">
        <v>5.4999999999999997E-3</v>
      </c>
      <c r="EC107" s="229">
        <v>6.6299999999999998E-2</v>
      </c>
      <c r="ED107" s="228">
        <v>1.56</v>
      </c>
      <c r="EE107" s="229">
        <v>5.0000000000000001E-3</v>
      </c>
      <c r="EF107" s="230">
        <v>3915163</v>
      </c>
      <c r="EG107" s="230">
        <v>3364671</v>
      </c>
      <c r="EH107" s="229">
        <v>0.1636</v>
      </c>
      <c r="EI107" s="229">
        <v>0.4955</v>
      </c>
      <c r="EJ107" s="231">
        <v>112608.46</v>
      </c>
      <c r="EK107" s="231">
        <v>54863.02</v>
      </c>
      <c r="EL107" s="231">
        <v>43035.8</v>
      </c>
      <c r="EM107" s="231">
        <v>7727</v>
      </c>
      <c r="EN107" s="231">
        <v>210507.28</v>
      </c>
      <c r="EO107" s="231">
        <v>230684.2</v>
      </c>
      <c r="EP107" s="231">
        <v>-20176.919999999998</v>
      </c>
      <c r="EQ107" s="229">
        <v>-8.7499999999999994E-2</v>
      </c>
      <c r="ER107" s="231">
        <v>176479</v>
      </c>
      <c r="ES107" s="231">
        <v>118792</v>
      </c>
      <c r="ET107" s="231">
        <v>420071</v>
      </c>
      <c r="EU107" s="231">
        <v>446457456</v>
      </c>
      <c r="EV107" s="231">
        <v>715343</v>
      </c>
      <c r="EW107" s="231">
        <v>704671</v>
      </c>
      <c r="EX107" s="231">
        <v>10672</v>
      </c>
      <c r="EY107" s="229">
        <v>1.5100000000000001E-2</v>
      </c>
      <c r="EZ107" s="229">
        <v>0.51249999999999996</v>
      </c>
      <c r="FA107" s="227" t="s">
        <v>555</v>
      </c>
      <c r="FB107" s="161">
        <f t="shared" si="1"/>
        <v>8988750</v>
      </c>
    </row>
    <row r="108" spans="1:158" ht="17.25" hidden="1" thickBot="1" x14ac:dyDescent="0.3">
      <c r="A108" s="226">
        <v>45940</v>
      </c>
      <c r="B108" s="227" t="s">
        <v>161</v>
      </c>
      <c r="C108" s="227" t="s">
        <v>581</v>
      </c>
      <c r="D108" s="228">
        <v>1000</v>
      </c>
      <c r="E108" s="228">
        <v>548.75</v>
      </c>
      <c r="F108" s="228">
        <v>545.20000000000005</v>
      </c>
      <c r="G108" s="228">
        <v>3.55</v>
      </c>
      <c r="H108" s="229">
        <v>6.4999999999999997E-3</v>
      </c>
      <c r="I108" s="228">
        <v>546</v>
      </c>
      <c r="J108" s="228">
        <v>542.79999999999995</v>
      </c>
      <c r="K108" s="228">
        <v>3.2</v>
      </c>
      <c r="L108" s="229">
        <v>5.8999999999999999E-3</v>
      </c>
      <c r="M108" s="228">
        <v>548.75</v>
      </c>
      <c r="N108" s="228">
        <v>545.20000000000005</v>
      </c>
      <c r="O108" s="228">
        <v>3.55</v>
      </c>
      <c r="P108" s="229">
        <v>6.4999999999999997E-3</v>
      </c>
      <c r="Q108" s="228">
        <v>551.9</v>
      </c>
      <c r="R108" s="228">
        <v>548.25</v>
      </c>
      <c r="S108" s="228">
        <v>3.65</v>
      </c>
      <c r="T108" s="229">
        <v>6.7000000000000002E-3</v>
      </c>
      <c r="U108" s="228">
        <v>555.4</v>
      </c>
      <c r="V108" s="228">
        <v>551.65</v>
      </c>
      <c r="W108" s="228">
        <v>3.75</v>
      </c>
      <c r="X108" s="229">
        <v>6.7999999999999996E-3</v>
      </c>
      <c r="Y108" s="228">
        <v>2.75</v>
      </c>
      <c r="Z108" s="228">
        <v>2.4</v>
      </c>
      <c r="AA108" s="228">
        <v>0.35</v>
      </c>
      <c r="AB108" s="229">
        <v>5.0000000000000001E-3</v>
      </c>
      <c r="AC108" s="228">
        <v>2.75</v>
      </c>
      <c r="AD108" s="228">
        <v>2.4</v>
      </c>
      <c r="AE108" s="228">
        <v>0.35</v>
      </c>
      <c r="AF108" s="229">
        <v>5.0000000000000001E-3</v>
      </c>
      <c r="AG108" s="228">
        <v>5.9</v>
      </c>
      <c r="AH108" s="228">
        <v>5.45</v>
      </c>
      <c r="AI108" s="228">
        <v>0.45</v>
      </c>
      <c r="AJ108" s="229">
        <v>1.0800000000000001E-2</v>
      </c>
      <c r="AK108" s="228">
        <v>9.4</v>
      </c>
      <c r="AL108" s="228">
        <v>8.85</v>
      </c>
      <c r="AM108" s="228">
        <v>0.55000000000000004</v>
      </c>
      <c r="AN108" s="229">
        <v>1.72E-2</v>
      </c>
      <c r="AO108" s="228">
        <v>547.51</v>
      </c>
      <c r="AP108" s="228">
        <v>550.5</v>
      </c>
      <c r="AQ108" s="228">
        <v>0</v>
      </c>
      <c r="AR108" s="230">
        <v>1979000</v>
      </c>
      <c r="AS108" s="230">
        <v>3359000</v>
      </c>
      <c r="AT108" s="230">
        <v>-1380000</v>
      </c>
      <c r="AU108" s="229">
        <v>-0.4108</v>
      </c>
      <c r="AV108" s="230">
        <v>1851000</v>
      </c>
      <c r="AW108" s="230">
        <v>3174000</v>
      </c>
      <c r="AX108" s="230">
        <v>-1323000</v>
      </c>
      <c r="AY108" s="229">
        <v>-0.4168</v>
      </c>
      <c r="AZ108" s="230">
        <v>116000</v>
      </c>
      <c r="BA108" s="230">
        <v>171000</v>
      </c>
      <c r="BB108" s="230">
        <v>-55000</v>
      </c>
      <c r="BC108" s="229">
        <v>-0.3216</v>
      </c>
      <c r="BD108" s="230">
        <v>12000</v>
      </c>
      <c r="BE108" s="230">
        <v>14000</v>
      </c>
      <c r="BF108" s="230">
        <v>-2000</v>
      </c>
      <c r="BG108" s="229">
        <v>-0.1429</v>
      </c>
      <c r="BH108" s="230">
        <v>6111000</v>
      </c>
      <c r="BI108" s="230">
        <v>10332000</v>
      </c>
      <c r="BJ108" s="230">
        <v>-4221000</v>
      </c>
      <c r="BK108" s="229">
        <v>-0.40849999999999997</v>
      </c>
      <c r="BL108" s="230">
        <v>1536000</v>
      </c>
      <c r="BM108" s="230">
        <v>3097000</v>
      </c>
      <c r="BN108" s="230">
        <v>-1561000</v>
      </c>
      <c r="BO108" s="229">
        <v>-0.504</v>
      </c>
      <c r="BP108" s="230">
        <v>9626000</v>
      </c>
      <c r="BQ108" s="230">
        <v>16788000</v>
      </c>
      <c r="BR108" s="230">
        <v>-7162000</v>
      </c>
      <c r="BS108" s="229">
        <v>-0.42659999999999998</v>
      </c>
      <c r="BT108" s="230">
        <v>1735748</v>
      </c>
      <c r="BU108" s="230">
        <v>1527875</v>
      </c>
      <c r="BV108" s="230">
        <v>207873</v>
      </c>
      <c r="BW108" s="229">
        <v>0.1361</v>
      </c>
      <c r="BX108" s="230">
        <v>38363000</v>
      </c>
      <c r="BY108" s="230">
        <v>38521000</v>
      </c>
      <c r="BZ108" s="230">
        <v>-158000</v>
      </c>
      <c r="CA108" s="229">
        <v>-4.1000000000000003E-3</v>
      </c>
      <c r="CB108" s="230">
        <v>37942000</v>
      </c>
      <c r="CC108" s="230">
        <v>38103000</v>
      </c>
      <c r="CD108" s="230">
        <v>-161000</v>
      </c>
      <c r="CE108" s="229">
        <v>-4.1999999999999997E-3</v>
      </c>
      <c r="CF108" s="230">
        <v>390000</v>
      </c>
      <c r="CG108" s="230">
        <v>392000</v>
      </c>
      <c r="CH108" s="230">
        <v>-2000</v>
      </c>
      <c r="CI108" s="229">
        <v>-5.1000000000000004E-3</v>
      </c>
      <c r="CJ108" s="230">
        <v>31000</v>
      </c>
      <c r="CK108" s="230">
        <v>26000</v>
      </c>
      <c r="CL108" s="230">
        <v>5000</v>
      </c>
      <c r="CM108" s="229">
        <v>0.1923</v>
      </c>
      <c r="CN108" s="230">
        <v>7826000</v>
      </c>
      <c r="CO108" s="230">
        <v>8053000</v>
      </c>
      <c r="CP108" s="230">
        <v>-227000</v>
      </c>
      <c r="CQ108" s="229">
        <v>-2.8199999999999999E-2</v>
      </c>
      <c r="CR108" s="230">
        <v>3872000</v>
      </c>
      <c r="CS108" s="230">
        <v>4052000</v>
      </c>
      <c r="CT108" s="230">
        <v>-180000</v>
      </c>
      <c r="CU108" s="229">
        <v>-4.4400000000000002E-2</v>
      </c>
      <c r="CV108" s="230">
        <v>50061000</v>
      </c>
      <c r="CW108" s="230">
        <v>50626000</v>
      </c>
      <c r="CX108" s="230">
        <v>-565000</v>
      </c>
      <c r="CY108" s="229">
        <v>-1.12E-2</v>
      </c>
      <c r="CZ108" s="228">
        <v>28.38</v>
      </c>
      <c r="DA108" s="228">
        <v>29.58</v>
      </c>
      <c r="DB108" s="228">
        <v>-1.2</v>
      </c>
      <c r="DC108" s="228">
        <v>-1.2</v>
      </c>
      <c r="DD108" s="228">
        <v>45.69</v>
      </c>
      <c r="DE108" s="228">
        <v>45.79</v>
      </c>
      <c r="DF108" s="228">
        <v>-17.309999999999999</v>
      </c>
      <c r="DG108" s="228">
        <v>-0.1</v>
      </c>
      <c r="DH108" s="228">
        <v>28.42</v>
      </c>
      <c r="DI108" s="228">
        <v>29.69</v>
      </c>
      <c r="DJ108" s="228">
        <v>-1.27</v>
      </c>
      <c r="DK108" s="228">
        <v>-1.27</v>
      </c>
      <c r="DL108" s="228">
        <v>28.22</v>
      </c>
      <c r="DM108" s="228">
        <v>29.21</v>
      </c>
      <c r="DN108" s="228">
        <v>-0.99</v>
      </c>
      <c r="DO108" s="228">
        <v>-0.99</v>
      </c>
      <c r="DP108" s="228">
        <v>0.49</v>
      </c>
      <c r="DQ108" s="228">
        <v>0.5</v>
      </c>
      <c r="DR108" s="228">
        <v>-0.01</v>
      </c>
      <c r="DS108" s="229">
        <v>-0.02</v>
      </c>
      <c r="DT108" s="228">
        <v>550</v>
      </c>
      <c r="DU108" s="228">
        <v>530</v>
      </c>
      <c r="DV108" s="228">
        <v>0.25</v>
      </c>
      <c r="DW108" s="228">
        <v>0.3</v>
      </c>
      <c r="DX108" s="228">
        <v>-0.05</v>
      </c>
      <c r="DY108" s="229">
        <v>-0.16669999999999999</v>
      </c>
      <c r="DZ108" s="229">
        <v>1.0999999999999999E-2</v>
      </c>
      <c r="EA108" s="230">
        <v>418000</v>
      </c>
      <c r="EB108" s="229">
        <v>5.7000000000000002E-3</v>
      </c>
      <c r="EC108" s="229">
        <v>1.0999999999999999E-2</v>
      </c>
      <c r="ED108" s="228">
        <v>2.99</v>
      </c>
      <c r="EE108" s="229">
        <v>5.4999999999999997E-3</v>
      </c>
      <c r="EF108" s="230">
        <v>992553</v>
      </c>
      <c r="EG108" s="230">
        <v>710321</v>
      </c>
      <c r="EH108" s="229">
        <v>0.39729999999999999</v>
      </c>
      <c r="EI108" s="229">
        <v>0.57179999999999997</v>
      </c>
      <c r="EJ108" s="231">
        <v>34834.79</v>
      </c>
      <c r="EK108" s="231">
        <v>8343.9599999999991</v>
      </c>
      <c r="EL108" s="231">
        <v>10839.55</v>
      </c>
      <c r="EM108" s="231">
        <v>3729</v>
      </c>
      <c r="EN108" s="231">
        <v>54018.3</v>
      </c>
      <c r="EO108" s="231">
        <v>93428.68</v>
      </c>
      <c r="EP108" s="231">
        <v>-39410.379999999997</v>
      </c>
      <c r="EQ108" s="229">
        <v>-0.42180000000000001</v>
      </c>
      <c r="ER108" s="231">
        <v>43927</v>
      </c>
      <c r="ES108" s="231">
        <v>20492</v>
      </c>
      <c r="ET108" s="231">
        <v>210531</v>
      </c>
      <c r="EU108" s="231">
        <v>80203755</v>
      </c>
      <c r="EV108" s="231">
        <v>274951</v>
      </c>
      <c r="EW108" s="231">
        <v>276657</v>
      </c>
      <c r="EX108" s="231">
        <v>-1706</v>
      </c>
      <c r="EY108" s="229">
        <v>-6.1999999999999998E-3</v>
      </c>
      <c r="EZ108" s="229">
        <v>0.62419999999999998</v>
      </c>
      <c r="FA108" s="227" t="s">
        <v>556</v>
      </c>
      <c r="FB108" s="161">
        <f t="shared" si="1"/>
        <v>421000</v>
      </c>
    </row>
    <row r="109" spans="1:158" ht="17.25" hidden="1" thickBot="1" x14ac:dyDescent="0.3">
      <c r="A109" s="226">
        <v>45940</v>
      </c>
      <c r="B109" s="227" t="s">
        <v>227</v>
      </c>
      <c r="C109" s="227" t="s">
        <v>244</v>
      </c>
      <c r="D109" s="228">
        <v>675</v>
      </c>
      <c r="E109" s="231">
        <v>1171.4000000000001</v>
      </c>
      <c r="F109" s="231">
        <v>1179.5999999999999</v>
      </c>
      <c r="G109" s="228">
        <v>-8.1999999999999993</v>
      </c>
      <c r="H109" s="229">
        <v>-7.0000000000000001E-3</v>
      </c>
      <c r="I109" s="231">
        <v>1167.8</v>
      </c>
      <c r="J109" s="231">
        <v>1175.2</v>
      </c>
      <c r="K109" s="228">
        <v>-7.4</v>
      </c>
      <c r="L109" s="229">
        <v>-6.3E-3</v>
      </c>
      <c r="M109" s="231">
        <v>1171.4000000000001</v>
      </c>
      <c r="N109" s="231">
        <v>1179.5999999999999</v>
      </c>
      <c r="O109" s="228">
        <v>-8.1999999999999993</v>
      </c>
      <c r="P109" s="229">
        <v>-7.0000000000000001E-3</v>
      </c>
      <c r="Q109" s="231">
        <v>1178.5999999999999</v>
      </c>
      <c r="R109" s="231">
        <v>1185.3</v>
      </c>
      <c r="S109" s="228">
        <v>-6.7</v>
      </c>
      <c r="T109" s="229">
        <v>-5.7000000000000002E-3</v>
      </c>
      <c r="U109" s="231">
        <v>1183.9000000000001</v>
      </c>
      <c r="V109" s="231">
        <v>1192</v>
      </c>
      <c r="W109" s="228">
        <v>-8.1</v>
      </c>
      <c r="X109" s="229">
        <v>-6.7999999999999996E-3</v>
      </c>
      <c r="Y109" s="228">
        <v>3.6</v>
      </c>
      <c r="Z109" s="228">
        <v>4.4000000000000004</v>
      </c>
      <c r="AA109" s="228">
        <v>-0.8</v>
      </c>
      <c r="AB109" s="229">
        <v>3.0999999999999999E-3</v>
      </c>
      <c r="AC109" s="228">
        <v>3.6</v>
      </c>
      <c r="AD109" s="228">
        <v>4.4000000000000004</v>
      </c>
      <c r="AE109" s="228">
        <v>-0.8</v>
      </c>
      <c r="AF109" s="229">
        <v>3.0999999999999999E-3</v>
      </c>
      <c r="AG109" s="228">
        <v>10.8</v>
      </c>
      <c r="AH109" s="228">
        <v>10.1</v>
      </c>
      <c r="AI109" s="228">
        <v>0.7</v>
      </c>
      <c r="AJ109" s="229">
        <v>9.1999999999999998E-3</v>
      </c>
      <c r="AK109" s="228">
        <v>16.100000000000001</v>
      </c>
      <c r="AL109" s="228">
        <v>16.8</v>
      </c>
      <c r="AM109" s="228">
        <v>-0.7</v>
      </c>
      <c r="AN109" s="229">
        <v>1.38E-2</v>
      </c>
      <c r="AO109" s="231">
        <v>1167.1199999999999</v>
      </c>
      <c r="AP109" s="231">
        <v>1173.3800000000001</v>
      </c>
      <c r="AQ109" s="228">
        <v>0</v>
      </c>
      <c r="AR109" s="230">
        <v>3174525</v>
      </c>
      <c r="AS109" s="230">
        <v>3984525</v>
      </c>
      <c r="AT109" s="230">
        <v>-810000</v>
      </c>
      <c r="AU109" s="229">
        <v>-0.20330000000000001</v>
      </c>
      <c r="AV109" s="230">
        <v>2912625</v>
      </c>
      <c r="AW109" s="230">
        <v>3784050</v>
      </c>
      <c r="AX109" s="230">
        <v>-871425</v>
      </c>
      <c r="AY109" s="229">
        <v>-0.2303</v>
      </c>
      <c r="AZ109" s="230">
        <v>224100</v>
      </c>
      <c r="BA109" s="230">
        <v>180225</v>
      </c>
      <c r="BB109" s="230">
        <v>43875</v>
      </c>
      <c r="BC109" s="229">
        <v>0.24340000000000001</v>
      </c>
      <c r="BD109" s="230">
        <v>37800</v>
      </c>
      <c r="BE109" s="230">
        <v>20250</v>
      </c>
      <c r="BF109" s="230">
        <v>17550</v>
      </c>
      <c r="BG109" s="229">
        <v>0.86670000000000003</v>
      </c>
      <c r="BH109" s="230">
        <v>7113150</v>
      </c>
      <c r="BI109" s="230">
        <v>15197625</v>
      </c>
      <c r="BJ109" s="230">
        <v>-8084475</v>
      </c>
      <c r="BK109" s="229">
        <v>-0.53200000000000003</v>
      </c>
      <c r="BL109" s="230">
        <v>4428000</v>
      </c>
      <c r="BM109" s="230">
        <v>6486750</v>
      </c>
      <c r="BN109" s="230">
        <v>-2058750</v>
      </c>
      <c r="BO109" s="229">
        <v>-0.31740000000000002</v>
      </c>
      <c r="BP109" s="230">
        <v>14715675</v>
      </c>
      <c r="BQ109" s="230">
        <v>25668900</v>
      </c>
      <c r="BR109" s="230">
        <v>-10953225</v>
      </c>
      <c r="BS109" s="229">
        <v>-0.42670000000000002</v>
      </c>
      <c r="BT109" s="230">
        <v>1528060</v>
      </c>
      <c r="BU109" s="230">
        <v>2087598</v>
      </c>
      <c r="BV109" s="230">
        <v>-559538</v>
      </c>
      <c r="BW109" s="229">
        <v>-0.26800000000000002</v>
      </c>
      <c r="BX109" s="230">
        <v>44973900</v>
      </c>
      <c r="BY109" s="230">
        <v>44972550</v>
      </c>
      <c r="BZ109" s="230">
        <v>1350</v>
      </c>
      <c r="CA109" s="229">
        <v>0</v>
      </c>
      <c r="CB109" s="230">
        <v>44608050</v>
      </c>
      <c r="CC109" s="230">
        <v>44678925</v>
      </c>
      <c r="CD109" s="230">
        <v>-70875</v>
      </c>
      <c r="CE109" s="229">
        <v>-1.6000000000000001E-3</v>
      </c>
      <c r="CF109" s="230">
        <v>312525</v>
      </c>
      <c r="CG109" s="230">
        <v>264600</v>
      </c>
      <c r="CH109" s="230">
        <v>47925</v>
      </c>
      <c r="CI109" s="229">
        <v>0.18110000000000001</v>
      </c>
      <c r="CJ109" s="230">
        <v>53325</v>
      </c>
      <c r="CK109" s="230">
        <v>29025</v>
      </c>
      <c r="CL109" s="230">
        <v>24300</v>
      </c>
      <c r="CM109" s="229">
        <v>0.83720000000000006</v>
      </c>
      <c r="CN109" s="230">
        <v>6008850</v>
      </c>
      <c r="CO109" s="230">
        <v>5942700</v>
      </c>
      <c r="CP109" s="230">
        <v>66150</v>
      </c>
      <c r="CQ109" s="229">
        <v>1.11E-2</v>
      </c>
      <c r="CR109" s="230">
        <v>3915675</v>
      </c>
      <c r="CS109" s="230">
        <v>4199850</v>
      </c>
      <c r="CT109" s="230">
        <v>-284175</v>
      </c>
      <c r="CU109" s="229">
        <v>-6.7699999999999996E-2</v>
      </c>
      <c r="CV109" s="230">
        <v>54898425</v>
      </c>
      <c r="CW109" s="230">
        <v>55115100</v>
      </c>
      <c r="CX109" s="230">
        <v>-216675</v>
      </c>
      <c r="CY109" s="229">
        <v>-3.8999999999999998E-3</v>
      </c>
      <c r="CZ109" s="228">
        <v>24.05</v>
      </c>
      <c r="DA109" s="228">
        <v>24.88</v>
      </c>
      <c r="DB109" s="228">
        <v>-0.83</v>
      </c>
      <c r="DC109" s="228">
        <v>-0.83</v>
      </c>
      <c r="DD109" s="228">
        <v>29.67</v>
      </c>
      <c r="DE109" s="228">
        <v>29.73</v>
      </c>
      <c r="DF109" s="228">
        <v>-5.62</v>
      </c>
      <c r="DG109" s="228">
        <v>-0.06</v>
      </c>
      <c r="DH109" s="228">
        <v>23.83</v>
      </c>
      <c r="DI109" s="228">
        <v>24.71</v>
      </c>
      <c r="DJ109" s="228">
        <v>-0.88</v>
      </c>
      <c r="DK109" s="228">
        <v>-0.88</v>
      </c>
      <c r="DL109" s="228">
        <v>24.41</v>
      </c>
      <c r="DM109" s="228">
        <v>25.3</v>
      </c>
      <c r="DN109" s="228">
        <v>-0.89</v>
      </c>
      <c r="DO109" s="228">
        <v>-0.89</v>
      </c>
      <c r="DP109" s="228">
        <v>0.65</v>
      </c>
      <c r="DQ109" s="228">
        <v>0.71</v>
      </c>
      <c r="DR109" s="228">
        <v>-0.06</v>
      </c>
      <c r="DS109" s="229">
        <v>-8.4500000000000006E-2</v>
      </c>
      <c r="DT109" s="231">
        <v>1300</v>
      </c>
      <c r="DU109" s="231">
        <v>1100</v>
      </c>
      <c r="DV109" s="228">
        <v>0.62</v>
      </c>
      <c r="DW109" s="228">
        <v>0.43</v>
      </c>
      <c r="DX109" s="228">
        <v>0.19</v>
      </c>
      <c r="DY109" s="229">
        <v>0.44190000000000002</v>
      </c>
      <c r="DZ109" s="229">
        <v>8.0999999999999996E-3</v>
      </c>
      <c r="EA109" s="230">
        <v>293625</v>
      </c>
      <c r="EB109" s="229">
        <v>6.1000000000000004E-3</v>
      </c>
      <c r="EC109" s="229">
        <v>8.0999999999999996E-3</v>
      </c>
      <c r="ED109" s="228">
        <v>6.26</v>
      </c>
      <c r="EE109" s="229">
        <v>5.4000000000000003E-3</v>
      </c>
      <c r="EF109" s="230">
        <v>845151</v>
      </c>
      <c r="EG109" s="230">
        <v>1028813</v>
      </c>
      <c r="EH109" s="229">
        <v>-0.17849999999999999</v>
      </c>
      <c r="EI109" s="229">
        <v>0.55310000000000004</v>
      </c>
      <c r="EJ109" s="231">
        <v>86006.68</v>
      </c>
      <c r="EK109" s="231">
        <v>51505.29</v>
      </c>
      <c r="EL109" s="231">
        <v>37070.120000000003</v>
      </c>
      <c r="EM109" s="231">
        <v>4525</v>
      </c>
      <c r="EN109" s="231">
        <v>174582.09</v>
      </c>
      <c r="EO109" s="231">
        <v>305991.55</v>
      </c>
      <c r="EP109" s="231">
        <v>-131409.46</v>
      </c>
      <c r="EQ109" s="229">
        <v>-0.42949999999999999</v>
      </c>
      <c r="ER109" s="231">
        <v>72687</v>
      </c>
      <c r="ES109" s="231">
        <v>42884</v>
      </c>
      <c r="ET109" s="231">
        <v>526853</v>
      </c>
      <c r="EU109" s="231">
        <v>133166619</v>
      </c>
      <c r="EV109" s="231">
        <v>642424</v>
      </c>
      <c r="EW109" s="231">
        <v>648619</v>
      </c>
      <c r="EX109" s="231">
        <v>-6195</v>
      </c>
      <c r="EY109" s="229">
        <v>-9.5999999999999992E-3</v>
      </c>
      <c r="EZ109" s="229">
        <v>0.4123</v>
      </c>
      <c r="FA109" s="227" t="s">
        <v>237</v>
      </c>
      <c r="FB109" s="161">
        <f t="shared" si="1"/>
        <v>365850</v>
      </c>
    </row>
    <row r="110" spans="1:158" ht="17.25" hidden="1" thickBot="1" x14ac:dyDescent="0.3">
      <c r="A110" s="226">
        <v>45940</v>
      </c>
      <c r="B110" s="227" t="s">
        <v>168</v>
      </c>
      <c r="C110" s="227" t="s">
        <v>245</v>
      </c>
      <c r="D110" s="228">
        <v>1250</v>
      </c>
      <c r="E110" s="228">
        <v>605.70000000000005</v>
      </c>
      <c r="F110" s="228">
        <v>602.6</v>
      </c>
      <c r="G110" s="228">
        <v>3.1</v>
      </c>
      <c r="H110" s="229">
        <v>5.1000000000000004E-3</v>
      </c>
      <c r="I110" s="228">
        <v>602.29999999999995</v>
      </c>
      <c r="J110" s="228">
        <v>599.15</v>
      </c>
      <c r="K110" s="228">
        <v>3.15</v>
      </c>
      <c r="L110" s="229">
        <v>5.3E-3</v>
      </c>
      <c r="M110" s="228">
        <v>605.70000000000005</v>
      </c>
      <c r="N110" s="228">
        <v>602.6</v>
      </c>
      <c r="O110" s="228">
        <v>3.1</v>
      </c>
      <c r="P110" s="229">
        <v>5.1000000000000004E-3</v>
      </c>
      <c r="Q110" s="228">
        <v>609.29999999999995</v>
      </c>
      <c r="R110" s="228">
        <v>605.65</v>
      </c>
      <c r="S110" s="228">
        <v>3.65</v>
      </c>
      <c r="T110" s="229">
        <v>6.0000000000000001E-3</v>
      </c>
      <c r="U110" s="228">
        <v>612.95000000000005</v>
      </c>
      <c r="V110" s="228">
        <v>609.35</v>
      </c>
      <c r="W110" s="228">
        <v>3.6</v>
      </c>
      <c r="X110" s="229">
        <v>5.8999999999999999E-3</v>
      </c>
      <c r="Y110" s="228">
        <v>3.4</v>
      </c>
      <c r="Z110" s="228">
        <v>3.45</v>
      </c>
      <c r="AA110" s="228">
        <v>-0.05</v>
      </c>
      <c r="AB110" s="229">
        <v>5.5999999999999999E-3</v>
      </c>
      <c r="AC110" s="228">
        <v>3.4</v>
      </c>
      <c r="AD110" s="228">
        <v>3.45</v>
      </c>
      <c r="AE110" s="228">
        <v>-0.05</v>
      </c>
      <c r="AF110" s="229">
        <v>5.5999999999999999E-3</v>
      </c>
      <c r="AG110" s="228">
        <v>7</v>
      </c>
      <c r="AH110" s="228">
        <v>6.5</v>
      </c>
      <c r="AI110" s="228">
        <v>0.5</v>
      </c>
      <c r="AJ110" s="229">
        <v>1.1599999999999999E-2</v>
      </c>
      <c r="AK110" s="228">
        <v>10.65</v>
      </c>
      <c r="AL110" s="228">
        <v>10.199999999999999</v>
      </c>
      <c r="AM110" s="228">
        <v>0.45</v>
      </c>
      <c r="AN110" s="229">
        <v>1.77E-2</v>
      </c>
      <c r="AO110" s="228">
        <v>603.54999999999995</v>
      </c>
      <c r="AP110" s="228">
        <v>606.72</v>
      </c>
      <c r="AQ110" s="228">
        <v>0</v>
      </c>
      <c r="AR110" s="230">
        <v>2175000</v>
      </c>
      <c r="AS110" s="230">
        <v>2996250</v>
      </c>
      <c r="AT110" s="230">
        <v>-821250</v>
      </c>
      <c r="AU110" s="229">
        <v>-0.27410000000000001</v>
      </c>
      <c r="AV110" s="230">
        <v>1968750</v>
      </c>
      <c r="AW110" s="230">
        <v>2775000</v>
      </c>
      <c r="AX110" s="230">
        <v>-806250</v>
      </c>
      <c r="AY110" s="229">
        <v>-0.29049999999999998</v>
      </c>
      <c r="AZ110" s="230">
        <v>152500</v>
      </c>
      <c r="BA110" s="230">
        <v>186250</v>
      </c>
      <c r="BB110" s="230">
        <v>-33750</v>
      </c>
      <c r="BC110" s="229">
        <v>-0.1812</v>
      </c>
      <c r="BD110" s="230">
        <v>53750</v>
      </c>
      <c r="BE110" s="230">
        <v>35000</v>
      </c>
      <c r="BF110" s="230">
        <v>18750</v>
      </c>
      <c r="BG110" s="229">
        <v>0.53569999999999995</v>
      </c>
      <c r="BH110" s="230">
        <v>6438750</v>
      </c>
      <c r="BI110" s="230">
        <v>7432500</v>
      </c>
      <c r="BJ110" s="230">
        <v>-993750</v>
      </c>
      <c r="BK110" s="229">
        <v>-0.13370000000000001</v>
      </c>
      <c r="BL110" s="230">
        <v>1720000</v>
      </c>
      <c r="BM110" s="230">
        <v>2295000</v>
      </c>
      <c r="BN110" s="230">
        <v>-575000</v>
      </c>
      <c r="BO110" s="229">
        <v>-0.2505</v>
      </c>
      <c r="BP110" s="230">
        <v>10333750</v>
      </c>
      <c r="BQ110" s="230">
        <v>12723750</v>
      </c>
      <c r="BR110" s="230">
        <v>-2390000</v>
      </c>
      <c r="BS110" s="229">
        <v>-0.18779999999999999</v>
      </c>
      <c r="BT110" s="230">
        <v>1382245</v>
      </c>
      <c r="BU110" s="230">
        <v>1778063</v>
      </c>
      <c r="BV110" s="230">
        <v>-395818</v>
      </c>
      <c r="BW110" s="229">
        <v>-0.22259999999999999</v>
      </c>
      <c r="BX110" s="230">
        <v>21828750</v>
      </c>
      <c r="BY110" s="230">
        <v>21735000</v>
      </c>
      <c r="BZ110" s="230">
        <v>93750</v>
      </c>
      <c r="CA110" s="229">
        <v>4.3E-3</v>
      </c>
      <c r="CB110" s="230">
        <v>21172500</v>
      </c>
      <c r="CC110" s="230">
        <v>21163750</v>
      </c>
      <c r="CD110" s="230">
        <v>8750</v>
      </c>
      <c r="CE110" s="229">
        <v>4.0000000000000002E-4</v>
      </c>
      <c r="CF110" s="230">
        <v>551250</v>
      </c>
      <c r="CG110" s="230">
        <v>495000</v>
      </c>
      <c r="CH110" s="230">
        <v>56250</v>
      </c>
      <c r="CI110" s="229">
        <v>0.11360000000000001</v>
      </c>
      <c r="CJ110" s="230">
        <v>105000</v>
      </c>
      <c r="CK110" s="230">
        <v>76250</v>
      </c>
      <c r="CL110" s="230">
        <v>28750</v>
      </c>
      <c r="CM110" s="229">
        <v>0.377</v>
      </c>
      <c r="CN110" s="230">
        <v>8342500</v>
      </c>
      <c r="CO110" s="230">
        <v>7697500</v>
      </c>
      <c r="CP110" s="230">
        <v>645000</v>
      </c>
      <c r="CQ110" s="229">
        <v>8.3799999999999999E-2</v>
      </c>
      <c r="CR110" s="230">
        <v>4572500</v>
      </c>
      <c r="CS110" s="230">
        <v>4318750</v>
      </c>
      <c r="CT110" s="230">
        <v>253750</v>
      </c>
      <c r="CU110" s="229">
        <v>5.8799999999999998E-2</v>
      </c>
      <c r="CV110" s="230">
        <v>34743750</v>
      </c>
      <c r="CW110" s="230">
        <v>33751250</v>
      </c>
      <c r="CX110" s="230">
        <v>992500</v>
      </c>
      <c r="CY110" s="229">
        <v>2.9399999999999999E-2</v>
      </c>
      <c r="CZ110" s="228">
        <v>26.32</v>
      </c>
      <c r="DA110" s="228">
        <v>27.45</v>
      </c>
      <c r="DB110" s="228">
        <v>-1.1299999999999999</v>
      </c>
      <c r="DC110" s="228">
        <v>-1.1299999999999999</v>
      </c>
      <c r="DD110" s="228">
        <v>34.1</v>
      </c>
      <c r="DE110" s="228">
        <v>34.18</v>
      </c>
      <c r="DF110" s="228">
        <v>-7.78</v>
      </c>
      <c r="DG110" s="228">
        <v>-0.08</v>
      </c>
      <c r="DH110" s="228">
        <v>26.39</v>
      </c>
      <c r="DI110" s="228">
        <v>27.67</v>
      </c>
      <c r="DJ110" s="228">
        <v>-1.28</v>
      </c>
      <c r="DK110" s="228">
        <v>-1.28</v>
      </c>
      <c r="DL110" s="228">
        <v>26.08</v>
      </c>
      <c r="DM110" s="228">
        <v>26.75</v>
      </c>
      <c r="DN110" s="228">
        <v>-0.67</v>
      </c>
      <c r="DO110" s="228">
        <v>-0.67</v>
      </c>
      <c r="DP110" s="228">
        <v>0.55000000000000004</v>
      </c>
      <c r="DQ110" s="228">
        <v>0.56000000000000005</v>
      </c>
      <c r="DR110" s="228">
        <v>-0.01</v>
      </c>
      <c r="DS110" s="229">
        <v>-1.7899999999999999E-2</v>
      </c>
      <c r="DT110" s="228">
        <v>650</v>
      </c>
      <c r="DU110" s="228">
        <v>620</v>
      </c>
      <c r="DV110" s="228">
        <v>0.27</v>
      </c>
      <c r="DW110" s="228">
        <v>0.31</v>
      </c>
      <c r="DX110" s="228">
        <v>-0.04</v>
      </c>
      <c r="DY110" s="229">
        <v>-0.129</v>
      </c>
      <c r="DZ110" s="229">
        <v>3.0099999999999998E-2</v>
      </c>
      <c r="EA110" s="230">
        <v>571250</v>
      </c>
      <c r="EB110" s="229">
        <v>5.8999999999999999E-3</v>
      </c>
      <c r="EC110" s="229">
        <v>3.0099999999999998E-2</v>
      </c>
      <c r="ED110" s="228">
        <v>3.17</v>
      </c>
      <c r="EE110" s="229">
        <v>5.3E-3</v>
      </c>
      <c r="EF110" s="230">
        <v>909313</v>
      </c>
      <c r="EG110" s="230">
        <v>1150542</v>
      </c>
      <c r="EH110" s="229">
        <v>-0.2097</v>
      </c>
      <c r="EI110" s="229">
        <v>0.65790000000000004</v>
      </c>
      <c r="EJ110" s="231">
        <v>40796.120000000003</v>
      </c>
      <c r="EK110" s="231">
        <v>10182.18</v>
      </c>
      <c r="EL110" s="231">
        <v>13135.58</v>
      </c>
      <c r="EM110" s="231">
        <v>2721</v>
      </c>
      <c r="EN110" s="231">
        <v>64113.88</v>
      </c>
      <c r="EO110" s="231">
        <v>79000.94</v>
      </c>
      <c r="EP110" s="231">
        <v>-14887.06</v>
      </c>
      <c r="EQ110" s="229">
        <v>-0.18840000000000001</v>
      </c>
      <c r="ER110" s="231">
        <v>53728</v>
      </c>
      <c r="ES110" s="231">
        <v>27403</v>
      </c>
      <c r="ET110" s="231">
        <v>132244</v>
      </c>
      <c r="EU110" s="231">
        <v>48884739</v>
      </c>
      <c r="EV110" s="231">
        <v>213375</v>
      </c>
      <c r="EW110" s="231">
        <v>206572</v>
      </c>
      <c r="EX110" s="231">
        <v>6803</v>
      </c>
      <c r="EY110" s="229">
        <v>3.2899999999999999E-2</v>
      </c>
      <c r="EZ110" s="229">
        <v>0.7107</v>
      </c>
      <c r="FA110" s="227" t="s">
        <v>555</v>
      </c>
      <c r="FB110" s="161">
        <f t="shared" si="1"/>
        <v>656250</v>
      </c>
    </row>
    <row r="111" spans="1:158" ht="17.25" hidden="1" thickBot="1" x14ac:dyDescent="0.3">
      <c r="A111" s="226">
        <v>45940</v>
      </c>
      <c r="B111" s="227" t="s">
        <v>168</v>
      </c>
      <c r="C111" s="227" t="s">
        <v>583</v>
      </c>
      <c r="D111" s="228">
        <v>1175</v>
      </c>
      <c r="E111" s="228">
        <v>487.65</v>
      </c>
      <c r="F111" s="228">
        <v>484.95</v>
      </c>
      <c r="G111" s="228">
        <v>2.7</v>
      </c>
      <c r="H111" s="229">
        <v>5.5999999999999999E-3</v>
      </c>
      <c r="I111" s="228">
        <v>484.85</v>
      </c>
      <c r="J111" s="228">
        <v>482.95</v>
      </c>
      <c r="K111" s="228">
        <v>1.9</v>
      </c>
      <c r="L111" s="229">
        <v>3.8999999999999998E-3</v>
      </c>
      <c r="M111" s="228">
        <v>487.65</v>
      </c>
      <c r="N111" s="228">
        <v>484.95</v>
      </c>
      <c r="O111" s="228">
        <v>2.7</v>
      </c>
      <c r="P111" s="229">
        <v>5.5999999999999999E-3</v>
      </c>
      <c r="Q111" s="228">
        <v>490.2</v>
      </c>
      <c r="R111" s="228">
        <v>487.95</v>
      </c>
      <c r="S111" s="228">
        <v>2.25</v>
      </c>
      <c r="T111" s="229">
        <v>4.5999999999999999E-3</v>
      </c>
      <c r="U111" s="228">
        <v>493.05</v>
      </c>
      <c r="V111" s="228">
        <v>490.15</v>
      </c>
      <c r="W111" s="228">
        <v>2.9</v>
      </c>
      <c r="X111" s="229">
        <v>5.8999999999999999E-3</v>
      </c>
      <c r="Y111" s="228">
        <v>2.8</v>
      </c>
      <c r="Z111" s="228">
        <v>2</v>
      </c>
      <c r="AA111" s="228">
        <v>0.8</v>
      </c>
      <c r="AB111" s="229">
        <v>5.7999999999999996E-3</v>
      </c>
      <c r="AC111" s="228">
        <v>2.8</v>
      </c>
      <c r="AD111" s="228">
        <v>2</v>
      </c>
      <c r="AE111" s="228">
        <v>0.8</v>
      </c>
      <c r="AF111" s="229">
        <v>5.7999999999999996E-3</v>
      </c>
      <c r="AG111" s="228">
        <v>5.35</v>
      </c>
      <c r="AH111" s="228">
        <v>5</v>
      </c>
      <c r="AI111" s="228">
        <v>0.35</v>
      </c>
      <c r="AJ111" s="229">
        <v>1.0999999999999999E-2</v>
      </c>
      <c r="AK111" s="228">
        <v>8.1999999999999993</v>
      </c>
      <c r="AL111" s="228">
        <v>7.2</v>
      </c>
      <c r="AM111" s="228">
        <v>1</v>
      </c>
      <c r="AN111" s="229">
        <v>1.6899999999999998E-2</v>
      </c>
      <c r="AO111" s="228">
        <v>488.34</v>
      </c>
      <c r="AP111" s="228">
        <v>490.88</v>
      </c>
      <c r="AQ111" s="228">
        <v>0</v>
      </c>
      <c r="AR111" s="230">
        <v>2125575</v>
      </c>
      <c r="AS111" s="230">
        <v>2367625</v>
      </c>
      <c r="AT111" s="230">
        <v>-242050</v>
      </c>
      <c r="AU111" s="229">
        <v>-0.1022</v>
      </c>
      <c r="AV111" s="230">
        <v>1989275</v>
      </c>
      <c r="AW111" s="230">
        <v>2224275</v>
      </c>
      <c r="AX111" s="230">
        <v>-235000</v>
      </c>
      <c r="AY111" s="229">
        <v>-0.1057</v>
      </c>
      <c r="AZ111" s="230">
        <v>126900</v>
      </c>
      <c r="BA111" s="230">
        <v>126900</v>
      </c>
      <c r="BB111" s="228">
        <v>0</v>
      </c>
      <c r="BC111" s="229">
        <v>0</v>
      </c>
      <c r="BD111" s="230">
        <v>9400</v>
      </c>
      <c r="BE111" s="230">
        <v>16450</v>
      </c>
      <c r="BF111" s="230">
        <v>-7050</v>
      </c>
      <c r="BG111" s="229">
        <v>-0.42859999999999998</v>
      </c>
      <c r="BH111" s="230">
        <v>7503550</v>
      </c>
      <c r="BI111" s="230">
        <v>8519925</v>
      </c>
      <c r="BJ111" s="230">
        <v>-1016375</v>
      </c>
      <c r="BK111" s="229">
        <v>-0.1193</v>
      </c>
      <c r="BL111" s="230">
        <v>2891675</v>
      </c>
      <c r="BM111" s="230">
        <v>2971575</v>
      </c>
      <c r="BN111" s="230">
        <v>-79900</v>
      </c>
      <c r="BO111" s="229">
        <v>-2.69E-2</v>
      </c>
      <c r="BP111" s="230">
        <v>12520800</v>
      </c>
      <c r="BQ111" s="230">
        <v>13859125</v>
      </c>
      <c r="BR111" s="230">
        <v>-1338325</v>
      </c>
      <c r="BS111" s="229">
        <v>-9.6600000000000005E-2</v>
      </c>
      <c r="BT111" s="230">
        <v>1725891</v>
      </c>
      <c r="BU111" s="230">
        <v>2341181</v>
      </c>
      <c r="BV111" s="230">
        <v>-615290</v>
      </c>
      <c r="BW111" s="229">
        <v>-0.26279999999999998</v>
      </c>
      <c r="BX111" s="230">
        <v>30989450</v>
      </c>
      <c r="BY111" s="230">
        <v>31101075</v>
      </c>
      <c r="BZ111" s="230">
        <v>-111625</v>
      </c>
      <c r="CA111" s="229">
        <v>-3.5999999999999999E-3</v>
      </c>
      <c r="CB111" s="230">
        <v>29867325</v>
      </c>
      <c r="CC111" s="230">
        <v>29967200</v>
      </c>
      <c r="CD111" s="230">
        <v>-99875</v>
      </c>
      <c r="CE111" s="229">
        <v>-3.3E-3</v>
      </c>
      <c r="CF111" s="230">
        <v>1017550</v>
      </c>
      <c r="CG111" s="230">
        <v>1030475</v>
      </c>
      <c r="CH111" s="230">
        <v>-12925</v>
      </c>
      <c r="CI111" s="229">
        <v>-1.2500000000000001E-2</v>
      </c>
      <c r="CJ111" s="230">
        <v>104575</v>
      </c>
      <c r="CK111" s="230">
        <v>103400</v>
      </c>
      <c r="CL111" s="230">
        <v>1175</v>
      </c>
      <c r="CM111" s="229">
        <v>1.14E-2</v>
      </c>
      <c r="CN111" s="230">
        <v>14722750</v>
      </c>
      <c r="CO111" s="230">
        <v>14406675</v>
      </c>
      <c r="CP111" s="230">
        <v>316075</v>
      </c>
      <c r="CQ111" s="229">
        <v>2.1899999999999999E-2</v>
      </c>
      <c r="CR111" s="230">
        <v>7872500</v>
      </c>
      <c r="CS111" s="230">
        <v>7731500</v>
      </c>
      <c r="CT111" s="230">
        <v>141000</v>
      </c>
      <c r="CU111" s="229">
        <v>1.8200000000000001E-2</v>
      </c>
      <c r="CV111" s="230">
        <v>53584700</v>
      </c>
      <c r="CW111" s="230">
        <v>53239250</v>
      </c>
      <c r="CX111" s="230">
        <v>345450</v>
      </c>
      <c r="CY111" s="229">
        <v>6.4999999999999997E-3</v>
      </c>
      <c r="CZ111" s="228">
        <v>34.18</v>
      </c>
      <c r="DA111" s="228">
        <v>36.119999999999997</v>
      </c>
      <c r="DB111" s="228">
        <v>-1.94</v>
      </c>
      <c r="DC111" s="228">
        <v>-1.94</v>
      </c>
      <c r="DD111" s="228">
        <v>52.08</v>
      </c>
      <c r="DE111" s="228">
        <v>52.21</v>
      </c>
      <c r="DF111" s="228">
        <v>-17.899999999999999</v>
      </c>
      <c r="DG111" s="228">
        <v>-0.13</v>
      </c>
      <c r="DH111" s="228">
        <v>34.61</v>
      </c>
      <c r="DI111" s="228">
        <v>36.56</v>
      </c>
      <c r="DJ111" s="228">
        <v>-1.95</v>
      </c>
      <c r="DK111" s="228">
        <v>-1.95</v>
      </c>
      <c r="DL111" s="228">
        <v>33.07</v>
      </c>
      <c r="DM111" s="228">
        <v>34.86</v>
      </c>
      <c r="DN111" s="228">
        <v>-1.79</v>
      </c>
      <c r="DO111" s="228">
        <v>-1.79</v>
      </c>
      <c r="DP111" s="228">
        <v>0.53</v>
      </c>
      <c r="DQ111" s="228">
        <v>0.54</v>
      </c>
      <c r="DR111" s="228">
        <v>-0.01</v>
      </c>
      <c r="DS111" s="229">
        <v>-1.8499999999999999E-2</v>
      </c>
      <c r="DT111" s="228">
        <v>500</v>
      </c>
      <c r="DU111" s="228">
        <v>480</v>
      </c>
      <c r="DV111" s="228">
        <v>0.39</v>
      </c>
      <c r="DW111" s="228">
        <v>0.35</v>
      </c>
      <c r="DX111" s="228">
        <v>0.04</v>
      </c>
      <c r="DY111" s="229">
        <v>0.1143</v>
      </c>
      <c r="DZ111" s="229">
        <v>3.6200000000000003E-2</v>
      </c>
      <c r="EA111" s="230">
        <v>1133875</v>
      </c>
      <c r="EB111" s="229">
        <v>5.1999999999999998E-3</v>
      </c>
      <c r="EC111" s="229">
        <v>3.6200000000000003E-2</v>
      </c>
      <c r="ED111" s="228">
        <v>2.54</v>
      </c>
      <c r="EE111" s="229">
        <v>5.1999999999999998E-3</v>
      </c>
      <c r="EF111" s="230">
        <v>663508</v>
      </c>
      <c r="EG111" s="230">
        <v>725935</v>
      </c>
      <c r="EH111" s="229">
        <v>-8.5999999999999993E-2</v>
      </c>
      <c r="EI111" s="229">
        <v>0.38440000000000002</v>
      </c>
      <c r="EJ111" s="231">
        <v>38685.86</v>
      </c>
      <c r="EK111" s="231">
        <v>13964.49</v>
      </c>
      <c r="EL111" s="231">
        <v>10383.879999999999</v>
      </c>
      <c r="EM111" s="231">
        <v>5055</v>
      </c>
      <c r="EN111" s="231">
        <v>63034.23</v>
      </c>
      <c r="EO111" s="231">
        <v>70139.47</v>
      </c>
      <c r="EP111" s="231">
        <v>-7105.24</v>
      </c>
      <c r="EQ111" s="229">
        <v>-0.1013</v>
      </c>
      <c r="ER111" s="231">
        <v>75964</v>
      </c>
      <c r="ES111" s="231">
        <v>36695</v>
      </c>
      <c r="ET111" s="231">
        <v>151152</v>
      </c>
      <c r="EU111" s="231">
        <v>57552009</v>
      </c>
      <c r="EV111" s="231">
        <v>263810</v>
      </c>
      <c r="EW111" s="231">
        <v>261094</v>
      </c>
      <c r="EX111" s="231">
        <v>2716</v>
      </c>
      <c r="EY111" s="229">
        <v>1.04E-2</v>
      </c>
      <c r="EZ111" s="229">
        <v>0.93110000000000004</v>
      </c>
      <c r="FA111" s="227" t="s">
        <v>556</v>
      </c>
      <c r="FB111" s="161">
        <f t="shared" si="1"/>
        <v>1122125</v>
      </c>
    </row>
    <row r="112" spans="1:158" ht="17.25" hidden="1" thickBot="1" x14ac:dyDescent="0.3">
      <c r="A112" s="226">
        <v>45940</v>
      </c>
      <c r="B112" s="227" t="s">
        <v>184</v>
      </c>
      <c r="C112" s="227" t="s">
        <v>678</v>
      </c>
      <c r="D112" s="228">
        <v>100</v>
      </c>
      <c r="E112" s="231">
        <v>7140.5</v>
      </c>
      <c r="F112" s="231">
        <v>7143.5</v>
      </c>
      <c r="G112" s="228">
        <v>-3</v>
      </c>
      <c r="H112" s="229">
        <v>-4.0000000000000002E-4</v>
      </c>
      <c r="I112" s="231">
        <v>7102</v>
      </c>
      <c r="J112" s="231">
        <v>7102.5</v>
      </c>
      <c r="K112" s="228">
        <v>-0.5</v>
      </c>
      <c r="L112" s="229">
        <v>-1E-4</v>
      </c>
      <c r="M112" s="231">
        <v>7140.5</v>
      </c>
      <c r="N112" s="231">
        <v>7143.5</v>
      </c>
      <c r="O112" s="228">
        <v>-3</v>
      </c>
      <c r="P112" s="229">
        <v>-4.0000000000000002E-4</v>
      </c>
      <c r="Q112" s="231">
        <v>7165.5</v>
      </c>
      <c r="R112" s="231">
        <v>7174.5</v>
      </c>
      <c r="S112" s="228">
        <v>-9</v>
      </c>
      <c r="T112" s="229">
        <v>-1.2999999999999999E-3</v>
      </c>
      <c r="U112" s="231">
        <v>7231</v>
      </c>
      <c r="V112" s="231">
        <v>7210</v>
      </c>
      <c r="W112" s="228">
        <v>21</v>
      </c>
      <c r="X112" s="229">
        <v>2.8999999999999998E-3</v>
      </c>
      <c r="Y112" s="228">
        <v>38.5</v>
      </c>
      <c r="Z112" s="228">
        <v>41</v>
      </c>
      <c r="AA112" s="228">
        <v>-2.5</v>
      </c>
      <c r="AB112" s="229">
        <v>5.4000000000000003E-3</v>
      </c>
      <c r="AC112" s="228">
        <v>38.5</v>
      </c>
      <c r="AD112" s="228">
        <v>41</v>
      </c>
      <c r="AE112" s="228">
        <v>-2.5</v>
      </c>
      <c r="AF112" s="229">
        <v>5.4000000000000003E-3</v>
      </c>
      <c r="AG112" s="228">
        <v>63.5</v>
      </c>
      <c r="AH112" s="228">
        <v>72</v>
      </c>
      <c r="AI112" s="228">
        <v>-8.5</v>
      </c>
      <c r="AJ112" s="229">
        <v>8.8999999999999999E-3</v>
      </c>
      <c r="AK112" s="228">
        <v>129</v>
      </c>
      <c r="AL112" s="228">
        <v>107.5</v>
      </c>
      <c r="AM112" s="228">
        <v>21.5</v>
      </c>
      <c r="AN112" s="229">
        <v>1.8200000000000001E-2</v>
      </c>
      <c r="AO112" s="231">
        <v>7148.15</v>
      </c>
      <c r="AP112" s="231">
        <v>7176.22</v>
      </c>
      <c r="AQ112" s="228">
        <v>0</v>
      </c>
      <c r="AR112" s="230">
        <v>394200</v>
      </c>
      <c r="AS112" s="230">
        <v>682300</v>
      </c>
      <c r="AT112" s="230">
        <v>-288100</v>
      </c>
      <c r="AU112" s="229">
        <v>-0.42220000000000002</v>
      </c>
      <c r="AV112" s="230">
        <v>376100</v>
      </c>
      <c r="AW112" s="230">
        <v>649900</v>
      </c>
      <c r="AX112" s="230">
        <v>-273800</v>
      </c>
      <c r="AY112" s="229">
        <v>-0.42130000000000001</v>
      </c>
      <c r="AZ112" s="230">
        <v>17200</v>
      </c>
      <c r="BA112" s="230">
        <v>30100</v>
      </c>
      <c r="BB112" s="230">
        <v>-12900</v>
      </c>
      <c r="BC112" s="229">
        <v>-0.42859999999999998</v>
      </c>
      <c r="BD112" s="228">
        <v>900</v>
      </c>
      <c r="BE112" s="230">
        <v>2300</v>
      </c>
      <c r="BF112" s="230">
        <v>-1400</v>
      </c>
      <c r="BG112" s="229">
        <v>-0.60870000000000002</v>
      </c>
      <c r="BH112" s="230">
        <v>1894800</v>
      </c>
      <c r="BI112" s="230">
        <v>3668700</v>
      </c>
      <c r="BJ112" s="230">
        <v>-1773900</v>
      </c>
      <c r="BK112" s="229">
        <v>-0.48349999999999999</v>
      </c>
      <c r="BL112" s="230">
        <v>632800</v>
      </c>
      <c r="BM112" s="230">
        <v>1665500</v>
      </c>
      <c r="BN112" s="230">
        <v>-1032700</v>
      </c>
      <c r="BO112" s="229">
        <v>-0.62009999999999998</v>
      </c>
      <c r="BP112" s="230">
        <v>2921800</v>
      </c>
      <c r="BQ112" s="230">
        <v>6016500</v>
      </c>
      <c r="BR112" s="230">
        <v>-3094700</v>
      </c>
      <c r="BS112" s="229">
        <v>-0.51439999999999997</v>
      </c>
      <c r="BT112" s="230">
        <v>359695</v>
      </c>
      <c r="BU112" s="230">
        <v>732162</v>
      </c>
      <c r="BV112" s="230">
        <v>-372467</v>
      </c>
      <c r="BW112" s="229">
        <v>-0.50870000000000004</v>
      </c>
      <c r="BX112" s="230">
        <v>1369700</v>
      </c>
      <c r="BY112" s="230">
        <v>1353100</v>
      </c>
      <c r="BZ112" s="230">
        <v>16600</v>
      </c>
      <c r="CA112" s="229">
        <v>1.23E-2</v>
      </c>
      <c r="CB112" s="230">
        <v>1303800</v>
      </c>
      <c r="CC112" s="230">
        <v>1291800</v>
      </c>
      <c r="CD112" s="230">
        <v>12000</v>
      </c>
      <c r="CE112" s="229">
        <v>9.2999999999999992E-3</v>
      </c>
      <c r="CF112" s="230">
        <v>56600</v>
      </c>
      <c r="CG112" s="230">
        <v>52300</v>
      </c>
      <c r="CH112" s="230">
        <v>4300</v>
      </c>
      <c r="CI112" s="229">
        <v>8.2199999999999995E-2</v>
      </c>
      <c r="CJ112" s="230">
        <v>9300</v>
      </c>
      <c r="CK112" s="230">
        <v>9000</v>
      </c>
      <c r="CL112" s="228">
        <v>300</v>
      </c>
      <c r="CM112" s="229">
        <v>3.3300000000000003E-2</v>
      </c>
      <c r="CN112" s="230">
        <v>1583100</v>
      </c>
      <c r="CO112" s="230">
        <v>1548600</v>
      </c>
      <c r="CP112" s="230">
        <v>34500</v>
      </c>
      <c r="CQ112" s="229">
        <v>2.23E-2</v>
      </c>
      <c r="CR112" s="230">
        <v>778800</v>
      </c>
      <c r="CS112" s="230">
        <v>743200</v>
      </c>
      <c r="CT112" s="230">
        <v>35600</v>
      </c>
      <c r="CU112" s="229">
        <v>4.7899999999999998E-2</v>
      </c>
      <c r="CV112" s="230">
        <v>3731600</v>
      </c>
      <c r="CW112" s="230">
        <v>3644900</v>
      </c>
      <c r="CX112" s="230">
        <v>86700</v>
      </c>
      <c r="CY112" s="229">
        <v>2.3800000000000002E-2</v>
      </c>
      <c r="CZ112" s="228">
        <v>39.630000000000003</v>
      </c>
      <c r="DA112" s="228">
        <v>39.78</v>
      </c>
      <c r="DB112" s="228">
        <v>-0.15</v>
      </c>
      <c r="DC112" s="228">
        <v>-0.15</v>
      </c>
      <c r="DD112" s="228">
        <v>56.03</v>
      </c>
      <c r="DE112" s="228">
        <v>56.17</v>
      </c>
      <c r="DF112" s="228">
        <v>-16.399999999999999</v>
      </c>
      <c r="DG112" s="228">
        <v>-0.14000000000000001</v>
      </c>
      <c r="DH112" s="228">
        <v>39.04</v>
      </c>
      <c r="DI112" s="228">
        <v>39.11</v>
      </c>
      <c r="DJ112" s="228">
        <v>-7.0000000000000007E-2</v>
      </c>
      <c r="DK112" s="228">
        <v>-7.0000000000000007E-2</v>
      </c>
      <c r="DL112" s="228">
        <v>41.41</v>
      </c>
      <c r="DM112" s="228">
        <v>41.26</v>
      </c>
      <c r="DN112" s="228">
        <v>0.15</v>
      </c>
      <c r="DO112" s="228">
        <v>0.15</v>
      </c>
      <c r="DP112" s="228">
        <v>0.49</v>
      </c>
      <c r="DQ112" s="228">
        <v>0.48</v>
      </c>
      <c r="DR112" s="228">
        <v>0.01</v>
      </c>
      <c r="DS112" s="229">
        <v>2.0799999999999999E-2</v>
      </c>
      <c r="DT112" s="231">
        <v>7500</v>
      </c>
      <c r="DU112" s="231">
        <v>7000</v>
      </c>
      <c r="DV112" s="228">
        <v>0.33</v>
      </c>
      <c r="DW112" s="228">
        <v>0.45</v>
      </c>
      <c r="DX112" s="228">
        <v>-0.12</v>
      </c>
      <c r="DY112" s="229">
        <v>-0.26669999999999999</v>
      </c>
      <c r="DZ112" s="229">
        <v>4.8099999999999997E-2</v>
      </c>
      <c r="EA112" s="230">
        <v>61300</v>
      </c>
      <c r="EB112" s="229">
        <v>3.5000000000000001E-3</v>
      </c>
      <c r="EC112" s="229">
        <v>4.8099999999999997E-2</v>
      </c>
      <c r="ED112" s="228">
        <v>28.07</v>
      </c>
      <c r="EE112" s="229">
        <v>3.8999999999999998E-3</v>
      </c>
      <c r="EF112" s="230">
        <v>150202</v>
      </c>
      <c r="EG112" s="230">
        <v>305795</v>
      </c>
      <c r="EH112" s="229">
        <v>-0.50880000000000003</v>
      </c>
      <c r="EI112" s="229">
        <v>0.41760000000000003</v>
      </c>
      <c r="EJ112" s="231">
        <v>145547.67000000001</v>
      </c>
      <c r="EK112" s="231">
        <v>43667.69</v>
      </c>
      <c r="EL112" s="231">
        <v>28183.599999999999</v>
      </c>
      <c r="EM112" s="231">
        <v>5815</v>
      </c>
      <c r="EN112" s="231">
        <v>217398.96</v>
      </c>
      <c r="EO112" s="231">
        <v>447826.36</v>
      </c>
      <c r="EP112" s="231">
        <v>-230427.4</v>
      </c>
      <c r="EQ112" s="229">
        <v>-0.51449999999999996</v>
      </c>
      <c r="ER112" s="231">
        <v>119754</v>
      </c>
      <c r="ES112" s="231">
        <v>53735</v>
      </c>
      <c r="ET112" s="231">
        <v>97826</v>
      </c>
      <c r="EU112" s="231">
        <v>4667784</v>
      </c>
      <c r="EV112" s="231">
        <v>271315</v>
      </c>
      <c r="EW112" s="231">
        <v>265284</v>
      </c>
      <c r="EX112" s="231">
        <v>6031</v>
      </c>
      <c r="EY112" s="229">
        <v>2.2700000000000001E-2</v>
      </c>
      <c r="EZ112" s="229">
        <v>0.7994</v>
      </c>
      <c r="FA112" s="227" t="s">
        <v>567</v>
      </c>
      <c r="FB112" s="161">
        <f t="shared" si="1"/>
        <v>65900</v>
      </c>
    </row>
    <row r="113" spans="1:158" ht="17.25" hidden="1" thickBot="1" x14ac:dyDescent="0.3">
      <c r="A113" s="226">
        <v>45940</v>
      </c>
      <c r="B113" s="227" t="s">
        <v>161</v>
      </c>
      <c r="C113" s="227" t="s">
        <v>611</v>
      </c>
      <c r="D113" s="228">
        <v>175</v>
      </c>
      <c r="E113" s="231">
        <v>4294.6000000000004</v>
      </c>
      <c r="F113" s="231">
        <v>4262.3999999999996</v>
      </c>
      <c r="G113" s="228">
        <v>32.200000000000003</v>
      </c>
      <c r="H113" s="229">
        <v>7.6E-3</v>
      </c>
      <c r="I113" s="231">
        <v>4278.2</v>
      </c>
      <c r="J113" s="231">
        <v>4250.8</v>
      </c>
      <c r="K113" s="228">
        <v>27.4</v>
      </c>
      <c r="L113" s="229">
        <v>6.4000000000000003E-3</v>
      </c>
      <c r="M113" s="231">
        <v>4294.6000000000004</v>
      </c>
      <c r="N113" s="231">
        <v>4262.3999999999996</v>
      </c>
      <c r="O113" s="228">
        <v>32.200000000000003</v>
      </c>
      <c r="P113" s="229">
        <v>7.6E-3</v>
      </c>
      <c r="Q113" s="231">
        <v>4318.1000000000004</v>
      </c>
      <c r="R113" s="231">
        <v>4285.3999999999996</v>
      </c>
      <c r="S113" s="228">
        <v>32.700000000000003</v>
      </c>
      <c r="T113" s="229">
        <v>7.6E-3</v>
      </c>
      <c r="U113" s="231">
        <v>4354.7</v>
      </c>
      <c r="V113" s="231">
        <v>4308.8999999999996</v>
      </c>
      <c r="W113" s="228">
        <v>45.8</v>
      </c>
      <c r="X113" s="229">
        <v>1.06E-2</v>
      </c>
      <c r="Y113" s="228">
        <v>16.399999999999999</v>
      </c>
      <c r="Z113" s="228">
        <v>11.6</v>
      </c>
      <c r="AA113" s="228">
        <v>4.8</v>
      </c>
      <c r="AB113" s="229">
        <v>3.8E-3</v>
      </c>
      <c r="AC113" s="228">
        <v>16.399999999999999</v>
      </c>
      <c r="AD113" s="228">
        <v>11.6</v>
      </c>
      <c r="AE113" s="228">
        <v>4.8</v>
      </c>
      <c r="AF113" s="229">
        <v>3.8E-3</v>
      </c>
      <c r="AG113" s="228">
        <v>39.9</v>
      </c>
      <c r="AH113" s="228">
        <v>34.6</v>
      </c>
      <c r="AI113" s="228">
        <v>5.3</v>
      </c>
      <c r="AJ113" s="229">
        <v>9.2999999999999992E-3</v>
      </c>
      <c r="AK113" s="228">
        <v>76.5</v>
      </c>
      <c r="AL113" s="228">
        <v>58.1</v>
      </c>
      <c r="AM113" s="228">
        <v>18.399999999999999</v>
      </c>
      <c r="AN113" s="229">
        <v>1.7899999999999999E-2</v>
      </c>
      <c r="AO113" s="231">
        <v>4301.17</v>
      </c>
      <c r="AP113" s="231">
        <v>4316.96</v>
      </c>
      <c r="AQ113" s="228">
        <v>0</v>
      </c>
      <c r="AR113" s="230">
        <v>341250</v>
      </c>
      <c r="AS113" s="230">
        <v>231525</v>
      </c>
      <c r="AT113" s="230">
        <v>109725</v>
      </c>
      <c r="AU113" s="229">
        <v>0.47389999999999999</v>
      </c>
      <c r="AV113" s="230">
        <v>332850</v>
      </c>
      <c r="AW113" s="230">
        <v>224175</v>
      </c>
      <c r="AX113" s="230">
        <v>108675</v>
      </c>
      <c r="AY113" s="229">
        <v>0.48480000000000001</v>
      </c>
      <c r="AZ113" s="230">
        <v>8225</v>
      </c>
      <c r="BA113" s="230">
        <v>7350</v>
      </c>
      <c r="BB113" s="228">
        <v>875</v>
      </c>
      <c r="BC113" s="229">
        <v>0.11899999999999999</v>
      </c>
      <c r="BD113" s="228">
        <v>175</v>
      </c>
      <c r="BE113" s="228">
        <v>0</v>
      </c>
      <c r="BF113" s="228">
        <v>175</v>
      </c>
      <c r="BG113" s="229">
        <v>0</v>
      </c>
      <c r="BH113" s="230">
        <v>709275</v>
      </c>
      <c r="BI113" s="230">
        <v>903000</v>
      </c>
      <c r="BJ113" s="230">
        <v>-193725</v>
      </c>
      <c r="BK113" s="229">
        <v>-0.2145</v>
      </c>
      <c r="BL113" s="230">
        <v>485800</v>
      </c>
      <c r="BM113" s="230">
        <v>432250</v>
      </c>
      <c r="BN113" s="230">
        <v>53550</v>
      </c>
      <c r="BO113" s="229">
        <v>0.1239</v>
      </c>
      <c r="BP113" s="230">
        <v>1536325</v>
      </c>
      <c r="BQ113" s="230">
        <v>1566775</v>
      </c>
      <c r="BR113" s="230">
        <v>-30450</v>
      </c>
      <c r="BS113" s="229">
        <v>-1.9400000000000001E-2</v>
      </c>
      <c r="BT113" s="230">
        <v>129009</v>
      </c>
      <c r="BU113" s="230">
        <v>172060</v>
      </c>
      <c r="BV113" s="230">
        <v>-43051</v>
      </c>
      <c r="BW113" s="229">
        <v>-0.25019999999999998</v>
      </c>
      <c r="BX113" s="230">
        <v>1430450</v>
      </c>
      <c r="BY113" s="230">
        <v>1437275</v>
      </c>
      <c r="BZ113" s="230">
        <v>-6825</v>
      </c>
      <c r="CA113" s="229">
        <v>-4.7000000000000002E-3</v>
      </c>
      <c r="CB113" s="230">
        <v>1415050</v>
      </c>
      <c r="CC113" s="230">
        <v>1420825</v>
      </c>
      <c r="CD113" s="230">
        <v>-5775</v>
      </c>
      <c r="CE113" s="229">
        <v>-4.1000000000000003E-3</v>
      </c>
      <c r="CF113" s="230">
        <v>14000</v>
      </c>
      <c r="CG113" s="230">
        <v>15225</v>
      </c>
      <c r="CH113" s="230">
        <v>-1225</v>
      </c>
      <c r="CI113" s="229">
        <v>-8.0500000000000002E-2</v>
      </c>
      <c r="CJ113" s="230">
        <v>1400</v>
      </c>
      <c r="CK113" s="230">
        <v>1225</v>
      </c>
      <c r="CL113" s="228">
        <v>175</v>
      </c>
      <c r="CM113" s="229">
        <v>0.1429</v>
      </c>
      <c r="CN113" s="230">
        <v>377650</v>
      </c>
      <c r="CO113" s="230">
        <v>396025</v>
      </c>
      <c r="CP113" s="230">
        <v>-18375</v>
      </c>
      <c r="CQ113" s="229">
        <v>-4.6399999999999997E-2</v>
      </c>
      <c r="CR113" s="230">
        <v>307125</v>
      </c>
      <c r="CS113" s="230">
        <v>298550</v>
      </c>
      <c r="CT113" s="230">
        <v>8575</v>
      </c>
      <c r="CU113" s="229">
        <v>2.87E-2</v>
      </c>
      <c r="CV113" s="230">
        <v>2115225</v>
      </c>
      <c r="CW113" s="230">
        <v>2131850</v>
      </c>
      <c r="CX113" s="230">
        <v>-16625</v>
      </c>
      <c r="CY113" s="229">
        <v>-7.7999999999999996E-3</v>
      </c>
      <c r="CZ113" s="228">
        <v>33.880000000000003</v>
      </c>
      <c r="DA113" s="228">
        <v>34.79</v>
      </c>
      <c r="DB113" s="228">
        <v>-0.91</v>
      </c>
      <c r="DC113" s="228">
        <v>-0.91</v>
      </c>
      <c r="DD113" s="228">
        <v>48.58</v>
      </c>
      <c r="DE113" s="228">
        <v>48.69</v>
      </c>
      <c r="DF113" s="228">
        <v>-14.7</v>
      </c>
      <c r="DG113" s="228">
        <v>-0.11</v>
      </c>
      <c r="DH113" s="228">
        <v>33.630000000000003</v>
      </c>
      <c r="DI113" s="228">
        <v>35.03</v>
      </c>
      <c r="DJ113" s="228">
        <v>-1.4</v>
      </c>
      <c r="DK113" s="228">
        <v>-1.4</v>
      </c>
      <c r="DL113" s="228">
        <v>34.24</v>
      </c>
      <c r="DM113" s="228">
        <v>34.29</v>
      </c>
      <c r="DN113" s="228">
        <v>-0.05</v>
      </c>
      <c r="DO113" s="228">
        <v>-0.05</v>
      </c>
      <c r="DP113" s="228">
        <v>0.81</v>
      </c>
      <c r="DQ113" s="228">
        <v>0.75</v>
      </c>
      <c r="DR113" s="228">
        <v>0.06</v>
      </c>
      <c r="DS113" s="229">
        <v>0.08</v>
      </c>
      <c r="DT113" s="231">
        <v>4300</v>
      </c>
      <c r="DU113" s="231">
        <v>4300</v>
      </c>
      <c r="DV113" s="228">
        <v>0.68</v>
      </c>
      <c r="DW113" s="228">
        <v>0.48</v>
      </c>
      <c r="DX113" s="228">
        <v>0.2</v>
      </c>
      <c r="DY113" s="229">
        <v>0.41670000000000001</v>
      </c>
      <c r="DZ113" s="229">
        <v>1.0800000000000001E-2</v>
      </c>
      <c r="EA113" s="230">
        <v>16450</v>
      </c>
      <c r="EB113" s="229">
        <v>5.4999999999999997E-3</v>
      </c>
      <c r="EC113" s="229">
        <v>1.0800000000000001E-2</v>
      </c>
      <c r="ED113" s="228">
        <v>15.79</v>
      </c>
      <c r="EE113" s="229">
        <v>3.7000000000000002E-3</v>
      </c>
      <c r="EF113" s="230">
        <v>54482</v>
      </c>
      <c r="EG113" s="230">
        <v>77790</v>
      </c>
      <c r="EH113" s="229">
        <v>-0.29959999999999998</v>
      </c>
      <c r="EI113" s="229">
        <v>0.42230000000000001</v>
      </c>
      <c r="EJ113" s="231">
        <v>31645.67</v>
      </c>
      <c r="EK113" s="231">
        <v>20844.77</v>
      </c>
      <c r="EL113" s="231">
        <v>14679.14</v>
      </c>
      <c r="EM113" s="231">
        <v>1866</v>
      </c>
      <c r="EN113" s="231">
        <v>67169.58</v>
      </c>
      <c r="EO113" s="231">
        <v>68422.8</v>
      </c>
      <c r="EP113" s="231">
        <v>-1253.22</v>
      </c>
      <c r="EQ113" s="229">
        <v>-1.83E-2</v>
      </c>
      <c r="ER113" s="231">
        <v>16259</v>
      </c>
      <c r="ES113" s="231">
        <v>12679</v>
      </c>
      <c r="ET113" s="231">
        <v>61436</v>
      </c>
      <c r="EU113" s="231">
        <v>9313740</v>
      </c>
      <c r="EV113" s="231">
        <v>90374</v>
      </c>
      <c r="EW113" s="231">
        <v>90447</v>
      </c>
      <c r="EX113" s="228">
        <v>-73</v>
      </c>
      <c r="EY113" s="229">
        <v>-8.0000000000000004E-4</v>
      </c>
      <c r="EZ113" s="229">
        <v>0.2271</v>
      </c>
      <c r="FA113" s="227" t="s">
        <v>556</v>
      </c>
      <c r="FB113" s="161">
        <f t="shared" si="1"/>
        <v>15400</v>
      </c>
    </row>
    <row r="114" spans="1:158" ht="17.25" hidden="1" thickBot="1" x14ac:dyDescent="0.3">
      <c r="A114" s="226">
        <v>45940</v>
      </c>
      <c r="B114" s="227" t="s">
        <v>175</v>
      </c>
      <c r="C114" s="227" t="s">
        <v>685</v>
      </c>
      <c r="D114" s="228">
        <v>450</v>
      </c>
      <c r="E114" s="231">
        <v>1078.8</v>
      </c>
      <c r="F114" s="231">
        <v>1052.4000000000001</v>
      </c>
      <c r="G114" s="228">
        <v>26.4</v>
      </c>
      <c r="H114" s="229">
        <v>2.5100000000000001E-2</v>
      </c>
      <c r="I114" s="231">
        <v>1072.5</v>
      </c>
      <c r="J114" s="231">
        <v>1050.8</v>
      </c>
      <c r="K114" s="228">
        <v>21.7</v>
      </c>
      <c r="L114" s="229">
        <v>2.07E-2</v>
      </c>
      <c r="M114" s="231">
        <v>1078.8</v>
      </c>
      <c r="N114" s="231">
        <v>1052.4000000000001</v>
      </c>
      <c r="O114" s="228">
        <v>26.4</v>
      </c>
      <c r="P114" s="229">
        <v>2.5100000000000001E-2</v>
      </c>
      <c r="Q114" s="231">
        <v>1077.7</v>
      </c>
      <c r="R114" s="231">
        <v>1050.5999999999999</v>
      </c>
      <c r="S114" s="228">
        <v>27.1</v>
      </c>
      <c r="T114" s="229">
        <v>2.58E-2</v>
      </c>
      <c r="U114" s="231">
        <v>1068.5999999999999</v>
      </c>
      <c r="V114" s="231">
        <v>1052</v>
      </c>
      <c r="W114" s="228">
        <v>16.600000000000001</v>
      </c>
      <c r="X114" s="229">
        <v>1.5800000000000002E-2</v>
      </c>
      <c r="Y114" s="228">
        <v>6.3</v>
      </c>
      <c r="Z114" s="228">
        <v>1.6</v>
      </c>
      <c r="AA114" s="228">
        <v>4.7</v>
      </c>
      <c r="AB114" s="229">
        <v>5.8999999999999999E-3</v>
      </c>
      <c r="AC114" s="228">
        <v>6.3</v>
      </c>
      <c r="AD114" s="228">
        <v>1.6</v>
      </c>
      <c r="AE114" s="228">
        <v>4.7</v>
      </c>
      <c r="AF114" s="229">
        <v>5.8999999999999999E-3</v>
      </c>
      <c r="AG114" s="228">
        <v>5.2</v>
      </c>
      <c r="AH114" s="228">
        <v>-0.2</v>
      </c>
      <c r="AI114" s="228">
        <v>5.4</v>
      </c>
      <c r="AJ114" s="229">
        <v>4.7999999999999996E-3</v>
      </c>
      <c r="AK114" s="228">
        <v>-3.9</v>
      </c>
      <c r="AL114" s="228">
        <v>1.2</v>
      </c>
      <c r="AM114" s="228">
        <v>-5.0999999999999996</v>
      </c>
      <c r="AN114" s="229">
        <v>-3.5999999999999999E-3</v>
      </c>
      <c r="AO114" s="231">
        <v>1072.49</v>
      </c>
      <c r="AP114" s="231">
        <v>1070.01</v>
      </c>
      <c r="AQ114" s="228">
        <v>0</v>
      </c>
      <c r="AR114" s="230">
        <v>1313550</v>
      </c>
      <c r="AS114" s="230">
        <v>678600</v>
      </c>
      <c r="AT114" s="230">
        <v>634950</v>
      </c>
      <c r="AU114" s="229">
        <v>0.93569999999999998</v>
      </c>
      <c r="AV114" s="230">
        <v>1220850</v>
      </c>
      <c r="AW114" s="230">
        <v>657450</v>
      </c>
      <c r="AX114" s="230">
        <v>563400</v>
      </c>
      <c r="AY114" s="229">
        <v>0.8569</v>
      </c>
      <c r="AZ114" s="230">
        <v>86400</v>
      </c>
      <c r="BA114" s="230">
        <v>20250</v>
      </c>
      <c r="BB114" s="230">
        <v>66150</v>
      </c>
      <c r="BC114" s="229">
        <v>3.2667000000000002</v>
      </c>
      <c r="BD114" s="230">
        <v>6300</v>
      </c>
      <c r="BE114" s="228">
        <v>900</v>
      </c>
      <c r="BF114" s="230">
        <v>5400</v>
      </c>
      <c r="BG114" s="229">
        <v>6</v>
      </c>
      <c r="BH114" s="230">
        <v>2358450</v>
      </c>
      <c r="BI114" s="230">
        <v>768600</v>
      </c>
      <c r="BJ114" s="230">
        <v>1589850</v>
      </c>
      <c r="BK114" s="229">
        <v>2.0684999999999998</v>
      </c>
      <c r="BL114" s="230">
        <v>1082700</v>
      </c>
      <c r="BM114" s="230">
        <v>276300</v>
      </c>
      <c r="BN114" s="230">
        <v>806400</v>
      </c>
      <c r="BO114" s="229">
        <v>2.9186000000000001</v>
      </c>
      <c r="BP114" s="230">
        <v>4754700</v>
      </c>
      <c r="BQ114" s="230">
        <v>1723500</v>
      </c>
      <c r="BR114" s="230">
        <v>3031200</v>
      </c>
      <c r="BS114" s="229">
        <v>1.7586999999999999</v>
      </c>
      <c r="BT114" s="230">
        <v>1056309</v>
      </c>
      <c r="BU114" s="230">
        <v>606590</v>
      </c>
      <c r="BV114" s="230">
        <v>449719</v>
      </c>
      <c r="BW114" s="229">
        <v>0.74139999999999995</v>
      </c>
      <c r="BX114" s="230">
        <v>2547450</v>
      </c>
      <c r="BY114" s="230">
        <v>2658150</v>
      </c>
      <c r="BZ114" s="230">
        <v>-110700</v>
      </c>
      <c r="CA114" s="229">
        <v>-4.1599999999999998E-2</v>
      </c>
      <c r="CB114" s="230">
        <v>2409750</v>
      </c>
      <c r="CC114" s="230">
        <v>2526750</v>
      </c>
      <c r="CD114" s="230">
        <v>-117000</v>
      </c>
      <c r="CE114" s="229">
        <v>-4.6300000000000001E-2</v>
      </c>
      <c r="CF114" s="230">
        <v>121950</v>
      </c>
      <c r="CG114" s="230">
        <v>115200</v>
      </c>
      <c r="CH114" s="230">
        <v>6750</v>
      </c>
      <c r="CI114" s="229">
        <v>5.8599999999999999E-2</v>
      </c>
      <c r="CJ114" s="230">
        <v>15750</v>
      </c>
      <c r="CK114" s="230">
        <v>16200</v>
      </c>
      <c r="CL114" s="228">
        <v>-450</v>
      </c>
      <c r="CM114" s="229">
        <v>-2.7799999999999998E-2</v>
      </c>
      <c r="CN114" s="230">
        <v>1042650</v>
      </c>
      <c r="CO114" s="230">
        <v>1189800</v>
      </c>
      <c r="CP114" s="230">
        <v>-147150</v>
      </c>
      <c r="CQ114" s="229">
        <v>-0.1237</v>
      </c>
      <c r="CR114" s="230">
        <v>778500</v>
      </c>
      <c r="CS114" s="230">
        <v>629550</v>
      </c>
      <c r="CT114" s="230">
        <v>148950</v>
      </c>
      <c r="CU114" s="229">
        <v>0.2366</v>
      </c>
      <c r="CV114" s="230">
        <v>4368600</v>
      </c>
      <c r="CW114" s="230">
        <v>4477500</v>
      </c>
      <c r="CX114" s="230">
        <v>-108900</v>
      </c>
      <c r="CY114" s="229">
        <v>-2.4299999999999999E-2</v>
      </c>
      <c r="CZ114" s="228">
        <v>35.409999999999997</v>
      </c>
      <c r="DA114" s="228">
        <v>36.97</v>
      </c>
      <c r="DB114" s="228">
        <v>-1.56</v>
      </c>
      <c r="DC114" s="228">
        <v>-1.56</v>
      </c>
      <c r="DD114" s="228">
        <v>55.83</v>
      </c>
      <c r="DE114" s="228">
        <v>55.9</v>
      </c>
      <c r="DF114" s="228">
        <v>-20.420000000000002</v>
      </c>
      <c r="DG114" s="228">
        <v>-7.0000000000000007E-2</v>
      </c>
      <c r="DH114" s="228">
        <v>34.950000000000003</v>
      </c>
      <c r="DI114" s="228">
        <v>36.79</v>
      </c>
      <c r="DJ114" s="228">
        <v>-1.84</v>
      </c>
      <c r="DK114" s="228">
        <v>-1.84</v>
      </c>
      <c r="DL114" s="228">
        <v>36.409999999999997</v>
      </c>
      <c r="DM114" s="228">
        <v>37.49</v>
      </c>
      <c r="DN114" s="228">
        <v>-1.08</v>
      </c>
      <c r="DO114" s="228">
        <v>-1.08</v>
      </c>
      <c r="DP114" s="228">
        <v>0.75</v>
      </c>
      <c r="DQ114" s="228">
        <v>0.53</v>
      </c>
      <c r="DR114" s="228">
        <v>0.22</v>
      </c>
      <c r="DS114" s="229">
        <v>0.41510000000000002</v>
      </c>
      <c r="DT114" s="231">
        <v>1100</v>
      </c>
      <c r="DU114" s="231">
        <v>1100</v>
      </c>
      <c r="DV114" s="228">
        <v>0.46</v>
      </c>
      <c r="DW114" s="228">
        <v>0.36</v>
      </c>
      <c r="DX114" s="228">
        <v>0.1</v>
      </c>
      <c r="DY114" s="229">
        <v>0.27779999999999999</v>
      </c>
      <c r="DZ114" s="229">
        <v>5.4100000000000002E-2</v>
      </c>
      <c r="EA114" s="230">
        <v>131400</v>
      </c>
      <c r="EB114" s="229">
        <v>-1E-3</v>
      </c>
      <c r="EC114" s="229">
        <v>5.4100000000000002E-2</v>
      </c>
      <c r="ED114" s="228">
        <v>-2.48</v>
      </c>
      <c r="EE114" s="229">
        <v>-2.3E-3</v>
      </c>
      <c r="EF114" s="230">
        <v>362737</v>
      </c>
      <c r="EG114" s="230">
        <v>238422</v>
      </c>
      <c r="EH114" s="229">
        <v>0.52139999999999997</v>
      </c>
      <c r="EI114" s="229">
        <v>0.34339999999999998</v>
      </c>
      <c r="EJ114" s="231">
        <v>26270.05</v>
      </c>
      <c r="EK114" s="231">
        <v>11375.27</v>
      </c>
      <c r="EL114" s="231">
        <v>14084.95</v>
      </c>
      <c r="EM114" s="231">
        <v>1419</v>
      </c>
      <c r="EN114" s="231">
        <v>51730.27</v>
      </c>
      <c r="EO114" s="231">
        <v>18448.330000000002</v>
      </c>
      <c r="EP114" s="231">
        <v>33281.94</v>
      </c>
      <c r="EQ114" s="229">
        <v>1.8041</v>
      </c>
      <c r="ER114" s="231">
        <v>11679</v>
      </c>
      <c r="ES114" s="231">
        <v>8068</v>
      </c>
      <c r="ET114" s="231">
        <v>27479</v>
      </c>
      <c r="EU114" s="231">
        <v>19911179</v>
      </c>
      <c r="EV114" s="231">
        <v>47226</v>
      </c>
      <c r="EW114" s="231">
        <v>47778</v>
      </c>
      <c r="EX114" s="228">
        <v>-552</v>
      </c>
      <c r="EY114" s="229">
        <v>-1.1599999999999999E-2</v>
      </c>
      <c r="EZ114" s="229">
        <v>0.21940000000000001</v>
      </c>
      <c r="FA114" s="227" t="s">
        <v>556</v>
      </c>
      <c r="FB114" s="161">
        <f t="shared" si="1"/>
        <v>137700</v>
      </c>
    </row>
    <row r="115" spans="1:158" ht="17.25" hidden="1" thickBot="1" x14ac:dyDescent="0.3">
      <c r="A115" s="226">
        <v>45940</v>
      </c>
      <c r="B115" s="227" t="s">
        <v>172</v>
      </c>
      <c r="C115" s="227" t="s">
        <v>246</v>
      </c>
      <c r="D115" s="228">
        <v>400</v>
      </c>
      <c r="E115" s="231">
        <v>2156</v>
      </c>
      <c r="F115" s="231">
        <v>2151.5</v>
      </c>
      <c r="G115" s="228">
        <v>4.5</v>
      </c>
      <c r="H115" s="229">
        <v>2.0999999999999999E-3</v>
      </c>
      <c r="I115" s="231">
        <v>2150.1</v>
      </c>
      <c r="J115" s="231">
        <v>2144.6</v>
      </c>
      <c r="K115" s="228">
        <v>5.5</v>
      </c>
      <c r="L115" s="229">
        <v>2.5999999999999999E-3</v>
      </c>
      <c r="M115" s="231">
        <v>2156</v>
      </c>
      <c r="N115" s="231">
        <v>2151.5</v>
      </c>
      <c r="O115" s="228">
        <v>4.5</v>
      </c>
      <c r="P115" s="229">
        <v>2.0999999999999999E-3</v>
      </c>
      <c r="Q115" s="231">
        <v>2167.8000000000002</v>
      </c>
      <c r="R115" s="231">
        <v>2162.4</v>
      </c>
      <c r="S115" s="228">
        <v>5.4</v>
      </c>
      <c r="T115" s="229">
        <v>2.5000000000000001E-3</v>
      </c>
      <c r="U115" s="231">
        <v>2180.9</v>
      </c>
      <c r="V115" s="231">
        <v>2176</v>
      </c>
      <c r="W115" s="228">
        <v>4.9000000000000004</v>
      </c>
      <c r="X115" s="229">
        <v>2.3E-3</v>
      </c>
      <c r="Y115" s="228">
        <v>5.9</v>
      </c>
      <c r="Z115" s="228">
        <v>6.9</v>
      </c>
      <c r="AA115" s="228">
        <v>-1</v>
      </c>
      <c r="AB115" s="229">
        <v>2.7000000000000001E-3</v>
      </c>
      <c r="AC115" s="228">
        <v>5.9</v>
      </c>
      <c r="AD115" s="228">
        <v>6.9</v>
      </c>
      <c r="AE115" s="228">
        <v>-1</v>
      </c>
      <c r="AF115" s="229">
        <v>2.7000000000000001E-3</v>
      </c>
      <c r="AG115" s="228">
        <v>17.7</v>
      </c>
      <c r="AH115" s="228">
        <v>17.8</v>
      </c>
      <c r="AI115" s="228">
        <v>-0.1</v>
      </c>
      <c r="AJ115" s="229">
        <v>8.2000000000000007E-3</v>
      </c>
      <c r="AK115" s="228">
        <v>30.8</v>
      </c>
      <c r="AL115" s="228">
        <v>31.4</v>
      </c>
      <c r="AM115" s="228">
        <v>-0.6</v>
      </c>
      <c r="AN115" s="229">
        <v>1.43E-2</v>
      </c>
      <c r="AO115" s="231">
        <v>2154.61</v>
      </c>
      <c r="AP115" s="231">
        <v>2165.0700000000002</v>
      </c>
      <c r="AQ115" s="228">
        <v>0</v>
      </c>
      <c r="AR115" s="230">
        <v>3098800</v>
      </c>
      <c r="AS115" s="230">
        <v>4294800</v>
      </c>
      <c r="AT115" s="230">
        <v>-1196000</v>
      </c>
      <c r="AU115" s="229">
        <v>-0.27850000000000003</v>
      </c>
      <c r="AV115" s="230">
        <v>2827200</v>
      </c>
      <c r="AW115" s="230">
        <v>4074400</v>
      </c>
      <c r="AX115" s="230">
        <v>-1247200</v>
      </c>
      <c r="AY115" s="229">
        <v>-0.30609999999999998</v>
      </c>
      <c r="AZ115" s="230">
        <v>220400</v>
      </c>
      <c r="BA115" s="230">
        <v>193200</v>
      </c>
      <c r="BB115" s="230">
        <v>27200</v>
      </c>
      <c r="BC115" s="229">
        <v>0.14080000000000001</v>
      </c>
      <c r="BD115" s="230">
        <v>51200</v>
      </c>
      <c r="BE115" s="230">
        <v>27200</v>
      </c>
      <c r="BF115" s="230">
        <v>24000</v>
      </c>
      <c r="BG115" s="229">
        <v>0.88239999999999996</v>
      </c>
      <c r="BH115" s="230">
        <v>9226400</v>
      </c>
      <c r="BI115" s="230">
        <v>14372000</v>
      </c>
      <c r="BJ115" s="230">
        <v>-5145600</v>
      </c>
      <c r="BK115" s="229">
        <v>-0.35799999999999998</v>
      </c>
      <c r="BL115" s="230">
        <v>5793200</v>
      </c>
      <c r="BM115" s="230">
        <v>8122400</v>
      </c>
      <c r="BN115" s="230">
        <v>-2329200</v>
      </c>
      <c r="BO115" s="229">
        <v>-0.2868</v>
      </c>
      <c r="BP115" s="230">
        <v>18118400</v>
      </c>
      <c r="BQ115" s="230">
        <v>26789200</v>
      </c>
      <c r="BR115" s="230">
        <v>-8670800</v>
      </c>
      <c r="BS115" s="229">
        <v>-0.32369999999999999</v>
      </c>
      <c r="BT115" s="230">
        <v>1984031</v>
      </c>
      <c r="BU115" s="230">
        <v>3402469</v>
      </c>
      <c r="BV115" s="230">
        <v>-1418438</v>
      </c>
      <c r="BW115" s="229">
        <v>-0.41689999999999999</v>
      </c>
      <c r="BX115" s="230">
        <v>33767200</v>
      </c>
      <c r="BY115" s="230">
        <v>34062400</v>
      </c>
      <c r="BZ115" s="230">
        <v>-295200</v>
      </c>
      <c r="CA115" s="229">
        <v>-8.6999999999999994E-3</v>
      </c>
      <c r="CB115" s="230">
        <v>32368800</v>
      </c>
      <c r="CC115" s="230">
        <v>32744800</v>
      </c>
      <c r="CD115" s="230">
        <v>-376000</v>
      </c>
      <c r="CE115" s="229">
        <v>-1.15E-2</v>
      </c>
      <c r="CF115" s="230">
        <v>662000</v>
      </c>
      <c r="CG115" s="230">
        <v>617200</v>
      </c>
      <c r="CH115" s="230">
        <v>44800</v>
      </c>
      <c r="CI115" s="229">
        <v>7.2599999999999998E-2</v>
      </c>
      <c r="CJ115" s="230">
        <v>736400</v>
      </c>
      <c r="CK115" s="230">
        <v>700400</v>
      </c>
      <c r="CL115" s="230">
        <v>36000</v>
      </c>
      <c r="CM115" s="229">
        <v>5.1400000000000001E-2</v>
      </c>
      <c r="CN115" s="230">
        <v>8418800</v>
      </c>
      <c r="CO115" s="230">
        <v>8336800</v>
      </c>
      <c r="CP115" s="230">
        <v>82000</v>
      </c>
      <c r="CQ115" s="229">
        <v>9.7999999999999997E-3</v>
      </c>
      <c r="CR115" s="230">
        <v>8953600</v>
      </c>
      <c r="CS115" s="230">
        <v>8792000</v>
      </c>
      <c r="CT115" s="230">
        <v>161600</v>
      </c>
      <c r="CU115" s="229">
        <v>1.84E-2</v>
      </c>
      <c r="CV115" s="230">
        <v>51139600</v>
      </c>
      <c r="CW115" s="230">
        <v>51191200</v>
      </c>
      <c r="CX115" s="230">
        <v>-51600</v>
      </c>
      <c r="CY115" s="229">
        <v>-1E-3</v>
      </c>
      <c r="CZ115" s="228">
        <v>20.350000000000001</v>
      </c>
      <c r="DA115" s="228">
        <v>20.46</v>
      </c>
      <c r="DB115" s="228">
        <v>-0.11</v>
      </c>
      <c r="DC115" s="228">
        <v>-0.11</v>
      </c>
      <c r="DD115" s="228">
        <v>27.67</v>
      </c>
      <c r="DE115" s="228">
        <v>27.74</v>
      </c>
      <c r="DF115" s="228">
        <v>-7.32</v>
      </c>
      <c r="DG115" s="228">
        <v>-7.0000000000000007E-2</v>
      </c>
      <c r="DH115" s="228">
        <v>19.760000000000002</v>
      </c>
      <c r="DI115" s="228">
        <v>19.97</v>
      </c>
      <c r="DJ115" s="228">
        <v>-0.21</v>
      </c>
      <c r="DK115" s="228">
        <v>-0.21</v>
      </c>
      <c r="DL115" s="228">
        <v>21.3</v>
      </c>
      <c r="DM115" s="228">
        <v>21.34</v>
      </c>
      <c r="DN115" s="228">
        <v>-0.04</v>
      </c>
      <c r="DO115" s="228">
        <v>-0.04</v>
      </c>
      <c r="DP115" s="228">
        <v>1.06</v>
      </c>
      <c r="DQ115" s="228">
        <v>1.05</v>
      </c>
      <c r="DR115" s="228">
        <v>0.01</v>
      </c>
      <c r="DS115" s="229">
        <v>9.4999999999999998E-3</v>
      </c>
      <c r="DT115" s="231">
        <v>2100</v>
      </c>
      <c r="DU115" s="231">
        <v>2100</v>
      </c>
      <c r="DV115" s="228">
        <v>0.63</v>
      </c>
      <c r="DW115" s="228">
        <v>0.56999999999999995</v>
      </c>
      <c r="DX115" s="228">
        <v>0.06</v>
      </c>
      <c r="DY115" s="229">
        <v>0.1053</v>
      </c>
      <c r="DZ115" s="229">
        <v>4.1399999999999999E-2</v>
      </c>
      <c r="EA115" s="230">
        <v>1317600</v>
      </c>
      <c r="EB115" s="229">
        <v>5.4999999999999997E-3</v>
      </c>
      <c r="EC115" s="229">
        <v>4.1399999999999999E-2</v>
      </c>
      <c r="ED115" s="228">
        <v>10.46</v>
      </c>
      <c r="EE115" s="229">
        <v>4.8999999999999998E-3</v>
      </c>
      <c r="EF115" s="230">
        <v>1377605</v>
      </c>
      <c r="EG115" s="230">
        <v>1925418</v>
      </c>
      <c r="EH115" s="229">
        <v>-0.28449999999999998</v>
      </c>
      <c r="EI115" s="229">
        <v>0.69430000000000003</v>
      </c>
      <c r="EJ115" s="231">
        <v>204631.36</v>
      </c>
      <c r="EK115" s="231">
        <v>122898</v>
      </c>
      <c r="EL115" s="231">
        <v>66802.06</v>
      </c>
      <c r="EM115" s="231">
        <v>15365</v>
      </c>
      <c r="EN115" s="231">
        <v>394331.42</v>
      </c>
      <c r="EO115" s="231">
        <v>581068.97</v>
      </c>
      <c r="EP115" s="231">
        <v>-186737.55</v>
      </c>
      <c r="EQ115" s="229">
        <v>-0.32140000000000002</v>
      </c>
      <c r="ER115" s="231">
        <v>181960</v>
      </c>
      <c r="ES115" s="231">
        <v>183465</v>
      </c>
      <c r="ET115" s="231">
        <v>728282</v>
      </c>
      <c r="EU115" s="231">
        <v>215751979</v>
      </c>
      <c r="EV115" s="231">
        <v>1093708</v>
      </c>
      <c r="EW115" s="231">
        <v>1093177</v>
      </c>
      <c r="EX115" s="228">
        <v>531</v>
      </c>
      <c r="EY115" s="229">
        <v>5.0000000000000001E-4</v>
      </c>
      <c r="EZ115" s="229">
        <v>0.23699999999999999</v>
      </c>
      <c r="FA115" s="227" t="s">
        <v>556</v>
      </c>
      <c r="FB115" s="161">
        <f t="shared" si="1"/>
        <v>1398400</v>
      </c>
    </row>
    <row r="116" spans="1:158" ht="17.25" hidden="1" thickBot="1" x14ac:dyDescent="0.3">
      <c r="A116" s="226">
        <v>45940</v>
      </c>
      <c r="B116" s="227" t="s">
        <v>221</v>
      </c>
      <c r="C116" s="227" t="s">
        <v>578</v>
      </c>
      <c r="D116" s="228">
        <v>400</v>
      </c>
      <c r="E116" s="231">
        <v>1154.7</v>
      </c>
      <c r="F116" s="231">
        <v>1158.5999999999999</v>
      </c>
      <c r="G116" s="228">
        <v>-3.9</v>
      </c>
      <c r="H116" s="229">
        <v>-3.3999999999999998E-3</v>
      </c>
      <c r="I116" s="231">
        <v>1154.0999999999999</v>
      </c>
      <c r="J116" s="231">
        <v>1162.4000000000001</v>
      </c>
      <c r="K116" s="228">
        <v>-8.3000000000000007</v>
      </c>
      <c r="L116" s="229">
        <v>-7.1000000000000004E-3</v>
      </c>
      <c r="M116" s="231">
        <v>1154.7</v>
      </c>
      <c r="N116" s="231">
        <v>1158.5999999999999</v>
      </c>
      <c r="O116" s="228">
        <v>-3.9</v>
      </c>
      <c r="P116" s="229">
        <v>-3.3999999999999998E-3</v>
      </c>
      <c r="Q116" s="231">
        <v>1150.8</v>
      </c>
      <c r="R116" s="231">
        <v>1153.8</v>
      </c>
      <c r="S116" s="228">
        <v>-3</v>
      </c>
      <c r="T116" s="229">
        <v>-2.5999999999999999E-3</v>
      </c>
      <c r="U116" s="231">
        <v>1148</v>
      </c>
      <c r="V116" s="231">
        <v>1151.5</v>
      </c>
      <c r="W116" s="228">
        <v>-3.5</v>
      </c>
      <c r="X116" s="229">
        <v>-3.0000000000000001E-3</v>
      </c>
      <c r="Y116" s="228">
        <v>0.6</v>
      </c>
      <c r="Z116" s="228">
        <v>-3.8</v>
      </c>
      <c r="AA116" s="228">
        <v>4.4000000000000004</v>
      </c>
      <c r="AB116" s="229">
        <v>5.0000000000000001E-4</v>
      </c>
      <c r="AC116" s="228">
        <v>0.6</v>
      </c>
      <c r="AD116" s="228">
        <v>-3.8</v>
      </c>
      <c r="AE116" s="228">
        <v>4.4000000000000004</v>
      </c>
      <c r="AF116" s="229">
        <v>5.0000000000000001E-4</v>
      </c>
      <c r="AG116" s="228">
        <v>-3.3</v>
      </c>
      <c r="AH116" s="228">
        <v>-8.6</v>
      </c>
      <c r="AI116" s="228">
        <v>5.3</v>
      </c>
      <c r="AJ116" s="229">
        <v>-2.8999999999999998E-3</v>
      </c>
      <c r="AK116" s="228">
        <v>-6.1</v>
      </c>
      <c r="AL116" s="228">
        <v>-10.9</v>
      </c>
      <c r="AM116" s="228">
        <v>4.8</v>
      </c>
      <c r="AN116" s="229">
        <v>-5.3E-3</v>
      </c>
      <c r="AO116" s="231">
        <v>1162.6199999999999</v>
      </c>
      <c r="AP116" s="231">
        <v>1155.57</v>
      </c>
      <c r="AQ116" s="228">
        <v>0</v>
      </c>
      <c r="AR116" s="230">
        <v>864800</v>
      </c>
      <c r="AS116" s="230">
        <v>682400</v>
      </c>
      <c r="AT116" s="230">
        <v>182400</v>
      </c>
      <c r="AU116" s="229">
        <v>0.26729999999999998</v>
      </c>
      <c r="AV116" s="230">
        <v>782400</v>
      </c>
      <c r="AW116" s="230">
        <v>633200</v>
      </c>
      <c r="AX116" s="230">
        <v>149200</v>
      </c>
      <c r="AY116" s="229">
        <v>0.2356</v>
      </c>
      <c r="AZ116" s="230">
        <v>68400</v>
      </c>
      <c r="BA116" s="230">
        <v>45200</v>
      </c>
      <c r="BB116" s="230">
        <v>23200</v>
      </c>
      <c r="BC116" s="229">
        <v>0.51329999999999998</v>
      </c>
      <c r="BD116" s="230">
        <v>14000</v>
      </c>
      <c r="BE116" s="230">
        <v>4000</v>
      </c>
      <c r="BF116" s="230">
        <v>10000</v>
      </c>
      <c r="BG116" s="229">
        <v>2.5</v>
      </c>
      <c r="BH116" s="230">
        <v>2687200</v>
      </c>
      <c r="BI116" s="230">
        <v>1796800</v>
      </c>
      <c r="BJ116" s="230">
        <v>890400</v>
      </c>
      <c r="BK116" s="229">
        <v>0.4955</v>
      </c>
      <c r="BL116" s="230">
        <v>1710800</v>
      </c>
      <c r="BM116" s="230">
        <v>588800</v>
      </c>
      <c r="BN116" s="230">
        <v>1122000</v>
      </c>
      <c r="BO116" s="229">
        <v>1.9056</v>
      </c>
      <c r="BP116" s="230">
        <v>5262800</v>
      </c>
      <c r="BQ116" s="230">
        <v>3068000</v>
      </c>
      <c r="BR116" s="230">
        <v>2194800</v>
      </c>
      <c r="BS116" s="229">
        <v>0.71540000000000004</v>
      </c>
      <c r="BT116" s="230">
        <v>757056</v>
      </c>
      <c r="BU116" s="230">
        <v>608769</v>
      </c>
      <c r="BV116" s="230">
        <v>148287</v>
      </c>
      <c r="BW116" s="229">
        <v>0.24360000000000001</v>
      </c>
      <c r="BX116" s="230">
        <v>4805200</v>
      </c>
      <c r="BY116" s="230">
        <v>4870400</v>
      </c>
      <c r="BZ116" s="230">
        <v>-65200</v>
      </c>
      <c r="CA116" s="229">
        <v>-1.34E-2</v>
      </c>
      <c r="CB116" s="230">
        <v>4470400</v>
      </c>
      <c r="CC116" s="230">
        <v>4568800</v>
      </c>
      <c r="CD116" s="230">
        <v>-98400</v>
      </c>
      <c r="CE116" s="229">
        <v>-2.1499999999999998E-2</v>
      </c>
      <c r="CF116" s="230">
        <v>290800</v>
      </c>
      <c r="CG116" s="230">
        <v>263600</v>
      </c>
      <c r="CH116" s="230">
        <v>27200</v>
      </c>
      <c r="CI116" s="229">
        <v>0.1032</v>
      </c>
      <c r="CJ116" s="230">
        <v>44000</v>
      </c>
      <c r="CK116" s="230">
        <v>38000</v>
      </c>
      <c r="CL116" s="230">
        <v>6000</v>
      </c>
      <c r="CM116" s="229">
        <v>0.15790000000000001</v>
      </c>
      <c r="CN116" s="230">
        <v>3413200</v>
      </c>
      <c r="CO116" s="230">
        <v>3265600</v>
      </c>
      <c r="CP116" s="230">
        <v>147600</v>
      </c>
      <c r="CQ116" s="229">
        <v>4.5199999999999997E-2</v>
      </c>
      <c r="CR116" s="230">
        <v>2240800</v>
      </c>
      <c r="CS116" s="230">
        <v>2097600</v>
      </c>
      <c r="CT116" s="230">
        <v>143200</v>
      </c>
      <c r="CU116" s="229">
        <v>6.83E-2</v>
      </c>
      <c r="CV116" s="230">
        <v>10459200</v>
      </c>
      <c r="CW116" s="230">
        <v>10233600</v>
      </c>
      <c r="CX116" s="230">
        <v>225600</v>
      </c>
      <c r="CY116" s="229">
        <v>2.1999999999999999E-2</v>
      </c>
      <c r="CZ116" s="228">
        <v>31.07</v>
      </c>
      <c r="DA116" s="228">
        <v>31.04</v>
      </c>
      <c r="DB116" s="228">
        <v>0.03</v>
      </c>
      <c r="DC116" s="228">
        <v>0.03</v>
      </c>
      <c r="DD116" s="228">
        <v>45.32</v>
      </c>
      <c r="DE116" s="228">
        <v>45.42</v>
      </c>
      <c r="DF116" s="228">
        <v>-14.25</v>
      </c>
      <c r="DG116" s="228">
        <v>-0.1</v>
      </c>
      <c r="DH116" s="228">
        <v>31.31</v>
      </c>
      <c r="DI116" s="228">
        <v>30.83</v>
      </c>
      <c r="DJ116" s="228">
        <v>0.48</v>
      </c>
      <c r="DK116" s="228">
        <v>0.48</v>
      </c>
      <c r="DL116" s="228">
        <v>30.69</v>
      </c>
      <c r="DM116" s="228">
        <v>31.66</v>
      </c>
      <c r="DN116" s="228">
        <v>-0.97</v>
      </c>
      <c r="DO116" s="228">
        <v>-0.97</v>
      </c>
      <c r="DP116" s="228">
        <v>0.66</v>
      </c>
      <c r="DQ116" s="228">
        <v>0.64</v>
      </c>
      <c r="DR116" s="228">
        <v>0.02</v>
      </c>
      <c r="DS116" s="229">
        <v>3.1300000000000001E-2</v>
      </c>
      <c r="DT116" s="231">
        <v>1200</v>
      </c>
      <c r="DU116" s="231">
        <v>1060</v>
      </c>
      <c r="DV116" s="228">
        <v>0.64</v>
      </c>
      <c r="DW116" s="228">
        <v>0.33</v>
      </c>
      <c r="DX116" s="228">
        <v>0.31</v>
      </c>
      <c r="DY116" s="229">
        <v>0.93940000000000001</v>
      </c>
      <c r="DZ116" s="229">
        <v>6.9699999999999998E-2</v>
      </c>
      <c r="EA116" s="230">
        <v>301600</v>
      </c>
      <c r="EB116" s="229">
        <v>-3.3999999999999998E-3</v>
      </c>
      <c r="EC116" s="229">
        <v>6.9699999999999998E-2</v>
      </c>
      <c r="ED116" s="228">
        <v>-7.05</v>
      </c>
      <c r="EE116" s="229">
        <v>-6.1000000000000004E-3</v>
      </c>
      <c r="EF116" s="230">
        <v>454194</v>
      </c>
      <c r="EG116" s="230">
        <v>214303</v>
      </c>
      <c r="EH116" s="229">
        <v>1.1194</v>
      </c>
      <c r="EI116" s="229">
        <v>0.59989999999999999</v>
      </c>
      <c r="EJ116" s="231">
        <v>33091.69</v>
      </c>
      <c r="EK116" s="231">
        <v>18989.91</v>
      </c>
      <c r="EL116" s="231">
        <v>10048.31</v>
      </c>
      <c r="EM116" s="231">
        <v>2481</v>
      </c>
      <c r="EN116" s="231">
        <v>62129.91</v>
      </c>
      <c r="EO116" s="231">
        <v>36466.080000000002</v>
      </c>
      <c r="EP116" s="231">
        <v>25663.83</v>
      </c>
      <c r="EQ116" s="229">
        <v>0.70379999999999998</v>
      </c>
      <c r="ER116" s="231">
        <v>42275</v>
      </c>
      <c r="ES116" s="231">
        <v>24912</v>
      </c>
      <c r="ET116" s="231">
        <v>55471</v>
      </c>
      <c r="EU116" s="231">
        <v>24568295</v>
      </c>
      <c r="EV116" s="231">
        <v>122658</v>
      </c>
      <c r="EW116" s="231">
        <v>120188</v>
      </c>
      <c r="EX116" s="231">
        <v>2470</v>
      </c>
      <c r="EY116" s="229">
        <v>2.06E-2</v>
      </c>
      <c r="EZ116" s="229">
        <v>0.42570000000000002</v>
      </c>
      <c r="FA116" s="227" t="s">
        <v>568</v>
      </c>
      <c r="FB116" s="161">
        <f t="shared" si="1"/>
        <v>334800</v>
      </c>
    </row>
    <row r="117" spans="1:158" ht="17.25" hidden="1" thickBot="1" x14ac:dyDescent="0.3">
      <c r="A117" s="226">
        <v>45940</v>
      </c>
      <c r="B117" s="227" t="s">
        <v>170</v>
      </c>
      <c r="C117" s="227" t="s">
        <v>535</v>
      </c>
      <c r="D117" s="228">
        <v>1700</v>
      </c>
      <c r="E117" s="228">
        <v>880.8</v>
      </c>
      <c r="F117" s="228">
        <v>869.45</v>
      </c>
      <c r="G117" s="228">
        <v>11.35</v>
      </c>
      <c r="H117" s="229">
        <v>1.3100000000000001E-2</v>
      </c>
      <c r="I117" s="228">
        <v>876.75</v>
      </c>
      <c r="J117" s="228">
        <v>865.1</v>
      </c>
      <c r="K117" s="228">
        <v>11.65</v>
      </c>
      <c r="L117" s="229">
        <v>1.35E-2</v>
      </c>
      <c r="M117" s="228">
        <v>880.8</v>
      </c>
      <c r="N117" s="228">
        <v>869.45</v>
      </c>
      <c r="O117" s="228">
        <v>11.35</v>
      </c>
      <c r="P117" s="229">
        <v>1.3100000000000001E-2</v>
      </c>
      <c r="Q117" s="228">
        <v>884.25</v>
      </c>
      <c r="R117" s="228">
        <v>872.35</v>
      </c>
      <c r="S117" s="228">
        <v>11.9</v>
      </c>
      <c r="T117" s="229">
        <v>1.3599999999999999E-2</v>
      </c>
      <c r="U117" s="228">
        <v>889.5</v>
      </c>
      <c r="V117" s="228">
        <v>877.6</v>
      </c>
      <c r="W117" s="228">
        <v>11.9</v>
      </c>
      <c r="X117" s="229">
        <v>1.3599999999999999E-2</v>
      </c>
      <c r="Y117" s="228">
        <v>4.05</v>
      </c>
      <c r="Z117" s="228">
        <v>4.3499999999999996</v>
      </c>
      <c r="AA117" s="228">
        <v>-0.3</v>
      </c>
      <c r="AB117" s="229">
        <v>4.5999999999999999E-3</v>
      </c>
      <c r="AC117" s="228">
        <v>4.05</v>
      </c>
      <c r="AD117" s="228">
        <v>4.3499999999999996</v>
      </c>
      <c r="AE117" s="228">
        <v>-0.3</v>
      </c>
      <c r="AF117" s="229">
        <v>4.5999999999999999E-3</v>
      </c>
      <c r="AG117" s="228">
        <v>7.5</v>
      </c>
      <c r="AH117" s="228">
        <v>7.25</v>
      </c>
      <c r="AI117" s="228">
        <v>0.25</v>
      </c>
      <c r="AJ117" s="229">
        <v>8.6E-3</v>
      </c>
      <c r="AK117" s="228">
        <v>12.75</v>
      </c>
      <c r="AL117" s="228">
        <v>12.5</v>
      </c>
      <c r="AM117" s="228">
        <v>0.25</v>
      </c>
      <c r="AN117" s="229">
        <v>1.4500000000000001E-2</v>
      </c>
      <c r="AO117" s="228">
        <v>876.67</v>
      </c>
      <c r="AP117" s="228">
        <v>877.91</v>
      </c>
      <c r="AQ117" s="228">
        <v>0</v>
      </c>
      <c r="AR117" s="230">
        <v>16575000</v>
      </c>
      <c r="AS117" s="230">
        <v>8755000</v>
      </c>
      <c r="AT117" s="230">
        <v>7820000</v>
      </c>
      <c r="AU117" s="229">
        <v>0.89319999999999999</v>
      </c>
      <c r="AV117" s="230">
        <v>15046700</v>
      </c>
      <c r="AW117" s="230">
        <v>8173600</v>
      </c>
      <c r="AX117" s="230">
        <v>6873100</v>
      </c>
      <c r="AY117" s="229">
        <v>0.84089999999999998</v>
      </c>
      <c r="AZ117" s="230">
        <v>1473900</v>
      </c>
      <c r="BA117" s="230">
        <v>562700</v>
      </c>
      <c r="BB117" s="230">
        <v>911200</v>
      </c>
      <c r="BC117" s="229">
        <v>1.6193</v>
      </c>
      <c r="BD117" s="230">
        <v>54400</v>
      </c>
      <c r="BE117" s="230">
        <v>18700</v>
      </c>
      <c r="BF117" s="230">
        <v>35700</v>
      </c>
      <c r="BG117" s="229">
        <v>1.9091</v>
      </c>
      <c r="BH117" s="230">
        <v>37918500</v>
      </c>
      <c r="BI117" s="230">
        <v>19204900</v>
      </c>
      <c r="BJ117" s="230">
        <v>18713600</v>
      </c>
      <c r="BK117" s="229">
        <v>0.97440000000000004</v>
      </c>
      <c r="BL117" s="230">
        <v>14715200</v>
      </c>
      <c r="BM117" s="230">
        <v>7094100</v>
      </c>
      <c r="BN117" s="230">
        <v>7621100</v>
      </c>
      <c r="BO117" s="229">
        <v>1.0743</v>
      </c>
      <c r="BP117" s="230">
        <v>69208700</v>
      </c>
      <c r="BQ117" s="230">
        <v>35054000</v>
      </c>
      <c r="BR117" s="230">
        <v>34154700</v>
      </c>
      <c r="BS117" s="229">
        <v>0.97430000000000005</v>
      </c>
      <c r="BT117" s="230">
        <v>4135189</v>
      </c>
      <c r="BU117" s="230">
        <v>2850601</v>
      </c>
      <c r="BV117" s="230">
        <v>1284588</v>
      </c>
      <c r="BW117" s="229">
        <v>0.4506</v>
      </c>
      <c r="BX117" s="230">
        <v>21799100</v>
      </c>
      <c r="BY117" s="230">
        <v>21056200</v>
      </c>
      <c r="BZ117" s="230">
        <v>742900</v>
      </c>
      <c r="CA117" s="229">
        <v>3.5299999999999998E-2</v>
      </c>
      <c r="CB117" s="230">
        <v>20666900</v>
      </c>
      <c r="CC117" s="230">
        <v>20311600</v>
      </c>
      <c r="CD117" s="230">
        <v>355300</v>
      </c>
      <c r="CE117" s="229">
        <v>1.7500000000000002E-2</v>
      </c>
      <c r="CF117" s="230">
        <v>1084600</v>
      </c>
      <c r="CG117" s="230">
        <v>708900</v>
      </c>
      <c r="CH117" s="230">
        <v>375700</v>
      </c>
      <c r="CI117" s="229">
        <v>0.53</v>
      </c>
      <c r="CJ117" s="230">
        <v>47600</v>
      </c>
      <c r="CK117" s="230">
        <v>35700</v>
      </c>
      <c r="CL117" s="230">
        <v>11900</v>
      </c>
      <c r="CM117" s="229">
        <v>0.33329999999999999</v>
      </c>
      <c r="CN117" s="230">
        <v>13302500</v>
      </c>
      <c r="CO117" s="230">
        <v>11959500</v>
      </c>
      <c r="CP117" s="230">
        <v>1343000</v>
      </c>
      <c r="CQ117" s="229">
        <v>0.1123</v>
      </c>
      <c r="CR117" s="230">
        <v>7451100</v>
      </c>
      <c r="CS117" s="230">
        <v>6543300</v>
      </c>
      <c r="CT117" s="230">
        <v>907800</v>
      </c>
      <c r="CU117" s="229">
        <v>0.13869999999999999</v>
      </c>
      <c r="CV117" s="230">
        <v>42552700</v>
      </c>
      <c r="CW117" s="230">
        <v>39559000</v>
      </c>
      <c r="CX117" s="230">
        <v>2993700</v>
      </c>
      <c r="CY117" s="229">
        <v>7.5700000000000003E-2</v>
      </c>
      <c r="CZ117" s="228">
        <v>36.75</v>
      </c>
      <c r="DA117" s="228">
        <v>35.479999999999997</v>
      </c>
      <c r="DB117" s="228">
        <v>1.27</v>
      </c>
      <c r="DC117" s="228">
        <v>1.27</v>
      </c>
      <c r="DD117" s="228">
        <v>41.21</v>
      </c>
      <c r="DE117" s="228">
        <v>41.28</v>
      </c>
      <c r="DF117" s="228">
        <v>-4.46</v>
      </c>
      <c r="DG117" s="228">
        <v>-7.0000000000000007E-2</v>
      </c>
      <c r="DH117" s="228">
        <v>36.869999999999997</v>
      </c>
      <c r="DI117" s="228">
        <v>35.520000000000003</v>
      </c>
      <c r="DJ117" s="228">
        <v>1.35</v>
      </c>
      <c r="DK117" s="228">
        <v>1.35</v>
      </c>
      <c r="DL117" s="228">
        <v>36.44</v>
      </c>
      <c r="DM117" s="228">
        <v>35.380000000000003</v>
      </c>
      <c r="DN117" s="228">
        <v>1.06</v>
      </c>
      <c r="DO117" s="228">
        <v>1.06</v>
      </c>
      <c r="DP117" s="228">
        <v>0.56000000000000005</v>
      </c>
      <c r="DQ117" s="228">
        <v>0.55000000000000004</v>
      </c>
      <c r="DR117" s="228">
        <v>0.01</v>
      </c>
      <c r="DS117" s="229">
        <v>1.8200000000000001E-2</v>
      </c>
      <c r="DT117" s="228">
        <v>900</v>
      </c>
      <c r="DU117" s="228">
        <v>850</v>
      </c>
      <c r="DV117" s="228">
        <v>0.39</v>
      </c>
      <c r="DW117" s="228">
        <v>0.37</v>
      </c>
      <c r="DX117" s="228">
        <v>0.02</v>
      </c>
      <c r="DY117" s="229">
        <v>5.4100000000000002E-2</v>
      </c>
      <c r="DZ117" s="229">
        <v>5.1900000000000002E-2</v>
      </c>
      <c r="EA117" s="230">
        <v>744600</v>
      </c>
      <c r="EB117" s="229">
        <v>3.8999999999999998E-3</v>
      </c>
      <c r="EC117" s="229">
        <v>5.1900000000000002E-2</v>
      </c>
      <c r="ED117" s="228">
        <v>1.24</v>
      </c>
      <c r="EE117" s="229">
        <v>1.4E-3</v>
      </c>
      <c r="EF117" s="230">
        <v>1364302</v>
      </c>
      <c r="EG117" s="230">
        <v>1350955</v>
      </c>
      <c r="EH117" s="229">
        <v>9.9000000000000008E-3</v>
      </c>
      <c r="EI117" s="229">
        <v>0.32990000000000003</v>
      </c>
      <c r="EJ117" s="231">
        <v>354160.57</v>
      </c>
      <c r="EK117" s="231">
        <v>127592.55</v>
      </c>
      <c r="EL117" s="231">
        <v>145333.64000000001</v>
      </c>
      <c r="EM117" s="231">
        <v>2668</v>
      </c>
      <c r="EN117" s="231">
        <v>627086.76</v>
      </c>
      <c r="EO117" s="231">
        <v>313070.57</v>
      </c>
      <c r="EP117" s="231">
        <v>314016.19</v>
      </c>
      <c r="EQ117" s="229">
        <v>1.0029999999999999</v>
      </c>
      <c r="ER117" s="231">
        <v>123096</v>
      </c>
      <c r="ES117" s="231">
        <v>62557</v>
      </c>
      <c r="ET117" s="231">
        <v>192048</v>
      </c>
      <c r="EU117" s="231">
        <v>58629477</v>
      </c>
      <c r="EV117" s="231">
        <v>377701</v>
      </c>
      <c r="EW117" s="231">
        <v>348114</v>
      </c>
      <c r="EX117" s="231">
        <v>29587</v>
      </c>
      <c r="EY117" s="229">
        <v>8.5000000000000006E-2</v>
      </c>
      <c r="EZ117" s="229">
        <v>0.7258</v>
      </c>
      <c r="FA117" s="227" t="s">
        <v>555</v>
      </c>
      <c r="FB117" s="161">
        <f t="shared" si="1"/>
        <v>1132200</v>
      </c>
    </row>
    <row r="118" spans="1:158" ht="17.25" hidden="1" thickBot="1" x14ac:dyDescent="0.3">
      <c r="A118" s="226">
        <v>45940</v>
      </c>
      <c r="B118" s="227" t="s">
        <v>175</v>
      </c>
      <c r="C118" s="227" t="s">
        <v>248</v>
      </c>
      <c r="D118" s="228">
        <v>1000</v>
      </c>
      <c r="E118" s="228">
        <v>570.35</v>
      </c>
      <c r="F118" s="228">
        <v>563.95000000000005</v>
      </c>
      <c r="G118" s="228">
        <v>6.4</v>
      </c>
      <c r="H118" s="229">
        <v>1.1299999999999999E-2</v>
      </c>
      <c r="I118" s="228">
        <v>568.45000000000005</v>
      </c>
      <c r="J118" s="228">
        <v>560.5</v>
      </c>
      <c r="K118" s="228">
        <v>7.95</v>
      </c>
      <c r="L118" s="229">
        <v>1.4200000000000001E-2</v>
      </c>
      <c r="M118" s="228">
        <v>570.35</v>
      </c>
      <c r="N118" s="228">
        <v>563.95000000000005</v>
      </c>
      <c r="O118" s="228">
        <v>6.4</v>
      </c>
      <c r="P118" s="229">
        <v>1.1299999999999999E-2</v>
      </c>
      <c r="Q118" s="228">
        <v>573.45000000000005</v>
      </c>
      <c r="R118" s="228">
        <v>566.70000000000005</v>
      </c>
      <c r="S118" s="228">
        <v>6.75</v>
      </c>
      <c r="T118" s="229">
        <v>1.1900000000000001E-2</v>
      </c>
      <c r="U118" s="228">
        <v>577.1</v>
      </c>
      <c r="V118" s="228">
        <v>570.15</v>
      </c>
      <c r="W118" s="228">
        <v>6.95</v>
      </c>
      <c r="X118" s="229">
        <v>1.2200000000000001E-2</v>
      </c>
      <c r="Y118" s="228">
        <v>1.9</v>
      </c>
      <c r="Z118" s="228">
        <v>3.45</v>
      </c>
      <c r="AA118" s="228">
        <v>-1.55</v>
      </c>
      <c r="AB118" s="229">
        <v>3.3E-3</v>
      </c>
      <c r="AC118" s="228">
        <v>1.9</v>
      </c>
      <c r="AD118" s="228">
        <v>3.45</v>
      </c>
      <c r="AE118" s="228">
        <v>-1.55</v>
      </c>
      <c r="AF118" s="229">
        <v>3.3E-3</v>
      </c>
      <c r="AG118" s="228">
        <v>5</v>
      </c>
      <c r="AH118" s="228">
        <v>6.2</v>
      </c>
      <c r="AI118" s="228">
        <v>-1.2</v>
      </c>
      <c r="AJ118" s="229">
        <v>8.8000000000000005E-3</v>
      </c>
      <c r="AK118" s="228">
        <v>8.65</v>
      </c>
      <c r="AL118" s="228">
        <v>9.65</v>
      </c>
      <c r="AM118" s="228">
        <v>-1</v>
      </c>
      <c r="AN118" s="229">
        <v>1.52E-2</v>
      </c>
      <c r="AO118" s="228">
        <v>570.46</v>
      </c>
      <c r="AP118" s="228">
        <v>572.65</v>
      </c>
      <c r="AQ118" s="228">
        <v>0</v>
      </c>
      <c r="AR118" s="230">
        <v>3601000</v>
      </c>
      <c r="AS118" s="230">
        <v>3039000</v>
      </c>
      <c r="AT118" s="230">
        <v>562000</v>
      </c>
      <c r="AU118" s="229">
        <v>0.18490000000000001</v>
      </c>
      <c r="AV118" s="230">
        <v>3257000</v>
      </c>
      <c r="AW118" s="230">
        <v>2736000</v>
      </c>
      <c r="AX118" s="230">
        <v>521000</v>
      </c>
      <c r="AY118" s="229">
        <v>0.19040000000000001</v>
      </c>
      <c r="AZ118" s="230">
        <v>318000</v>
      </c>
      <c r="BA118" s="230">
        <v>294000</v>
      </c>
      <c r="BB118" s="230">
        <v>24000</v>
      </c>
      <c r="BC118" s="229">
        <v>8.1600000000000006E-2</v>
      </c>
      <c r="BD118" s="230">
        <v>26000</v>
      </c>
      <c r="BE118" s="230">
        <v>9000</v>
      </c>
      <c r="BF118" s="230">
        <v>17000</v>
      </c>
      <c r="BG118" s="229">
        <v>1.8889</v>
      </c>
      <c r="BH118" s="230">
        <v>5422000</v>
      </c>
      <c r="BI118" s="230">
        <v>3677000</v>
      </c>
      <c r="BJ118" s="230">
        <v>1745000</v>
      </c>
      <c r="BK118" s="229">
        <v>0.47460000000000002</v>
      </c>
      <c r="BL118" s="230">
        <v>2010000</v>
      </c>
      <c r="BM118" s="230">
        <v>1252000</v>
      </c>
      <c r="BN118" s="230">
        <v>758000</v>
      </c>
      <c r="BO118" s="229">
        <v>0.60540000000000005</v>
      </c>
      <c r="BP118" s="230">
        <v>11033000</v>
      </c>
      <c r="BQ118" s="230">
        <v>7968000</v>
      </c>
      <c r="BR118" s="230">
        <v>3065000</v>
      </c>
      <c r="BS118" s="229">
        <v>0.38469999999999999</v>
      </c>
      <c r="BT118" s="230">
        <v>1035760</v>
      </c>
      <c r="BU118" s="230">
        <v>2338555</v>
      </c>
      <c r="BV118" s="230">
        <v>-1302795</v>
      </c>
      <c r="BW118" s="229">
        <v>-0.55710000000000004</v>
      </c>
      <c r="BX118" s="230">
        <v>32325000</v>
      </c>
      <c r="BY118" s="230">
        <v>32342000</v>
      </c>
      <c r="BZ118" s="230">
        <v>-17000</v>
      </c>
      <c r="CA118" s="229">
        <v>-5.0000000000000001E-4</v>
      </c>
      <c r="CB118" s="230">
        <v>31081000</v>
      </c>
      <c r="CC118" s="230">
        <v>31156000</v>
      </c>
      <c r="CD118" s="230">
        <v>-75000</v>
      </c>
      <c r="CE118" s="229">
        <v>-2.3999999999999998E-3</v>
      </c>
      <c r="CF118" s="230">
        <v>1185000</v>
      </c>
      <c r="CG118" s="230">
        <v>1121000</v>
      </c>
      <c r="CH118" s="230">
        <v>64000</v>
      </c>
      <c r="CI118" s="229">
        <v>5.7099999999999998E-2</v>
      </c>
      <c r="CJ118" s="230">
        <v>59000</v>
      </c>
      <c r="CK118" s="230">
        <v>65000</v>
      </c>
      <c r="CL118" s="230">
        <v>-6000</v>
      </c>
      <c r="CM118" s="229">
        <v>-9.2299999999999993E-2</v>
      </c>
      <c r="CN118" s="230">
        <v>9090000</v>
      </c>
      <c r="CO118" s="230">
        <v>8993000</v>
      </c>
      <c r="CP118" s="230">
        <v>97000</v>
      </c>
      <c r="CQ118" s="229">
        <v>1.0800000000000001E-2</v>
      </c>
      <c r="CR118" s="230">
        <v>6623000</v>
      </c>
      <c r="CS118" s="230">
        <v>6586000</v>
      </c>
      <c r="CT118" s="230">
        <v>37000</v>
      </c>
      <c r="CU118" s="229">
        <v>5.5999999999999999E-3</v>
      </c>
      <c r="CV118" s="230">
        <v>48038000</v>
      </c>
      <c r="CW118" s="230">
        <v>47921000</v>
      </c>
      <c r="CX118" s="230">
        <v>117000</v>
      </c>
      <c r="CY118" s="229">
        <v>2.3999999999999998E-3</v>
      </c>
      <c r="CZ118" s="228">
        <v>21.9</v>
      </c>
      <c r="DA118" s="228">
        <v>23.26</v>
      </c>
      <c r="DB118" s="228">
        <v>-1.36</v>
      </c>
      <c r="DC118" s="228">
        <v>-1.36</v>
      </c>
      <c r="DD118" s="228">
        <v>34.869999999999997</v>
      </c>
      <c r="DE118" s="228">
        <v>34.92</v>
      </c>
      <c r="DF118" s="228">
        <v>-12.97</v>
      </c>
      <c r="DG118" s="228">
        <v>-0.05</v>
      </c>
      <c r="DH118" s="228">
        <v>22.06</v>
      </c>
      <c r="DI118" s="228">
        <v>23.43</v>
      </c>
      <c r="DJ118" s="228">
        <v>-1.37</v>
      </c>
      <c r="DK118" s="228">
        <v>-1.37</v>
      </c>
      <c r="DL118" s="228">
        <v>21.47</v>
      </c>
      <c r="DM118" s="228">
        <v>22.74</v>
      </c>
      <c r="DN118" s="228">
        <v>-1.27</v>
      </c>
      <c r="DO118" s="228">
        <v>-1.27</v>
      </c>
      <c r="DP118" s="228">
        <v>0.73</v>
      </c>
      <c r="DQ118" s="228">
        <v>0.73</v>
      </c>
      <c r="DR118" s="228">
        <v>0</v>
      </c>
      <c r="DS118" s="229">
        <v>0</v>
      </c>
      <c r="DT118" s="228">
        <v>600</v>
      </c>
      <c r="DU118" s="228">
        <v>580</v>
      </c>
      <c r="DV118" s="228">
        <v>0.37</v>
      </c>
      <c r="DW118" s="228">
        <v>0.34</v>
      </c>
      <c r="DX118" s="228">
        <v>0.03</v>
      </c>
      <c r="DY118" s="229">
        <v>8.8200000000000001E-2</v>
      </c>
      <c r="DZ118" s="229">
        <v>3.85E-2</v>
      </c>
      <c r="EA118" s="230">
        <v>1186000</v>
      </c>
      <c r="EB118" s="229">
        <v>5.4000000000000003E-3</v>
      </c>
      <c r="EC118" s="229">
        <v>3.85E-2</v>
      </c>
      <c r="ED118" s="228">
        <v>2.19</v>
      </c>
      <c r="EE118" s="229">
        <v>3.8E-3</v>
      </c>
      <c r="EF118" s="230">
        <v>479227</v>
      </c>
      <c r="EG118" s="230">
        <v>1732023</v>
      </c>
      <c r="EH118" s="229">
        <v>-0.72330000000000005</v>
      </c>
      <c r="EI118" s="229">
        <v>0.4627</v>
      </c>
      <c r="EJ118" s="231">
        <v>31929.919999999998</v>
      </c>
      <c r="EK118" s="231">
        <v>11419.06</v>
      </c>
      <c r="EL118" s="231">
        <v>20551.18</v>
      </c>
      <c r="EM118" s="231">
        <v>3097</v>
      </c>
      <c r="EN118" s="231">
        <v>63900.160000000003</v>
      </c>
      <c r="EO118" s="231">
        <v>45842.74</v>
      </c>
      <c r="EP118" s="231">
        <v>18057.419999999998</v>
      </c>
      <c r="EQ118" s="229">
        <v>0.39389999999999997</v>
      </c>
      <c r="ER118" s="231">
        <v>53858</v>
      </c>
      <c r="ES118" s="231">
        <v>38119</v>
      </c>
      <c r="ET118" s="231">
        <v>184406</v>
      </c>
      <c r="EU118" s="231">
        <v>45183075</v>
      </c>
      <c r="EV118" s="231">
        <v>276384</v>
      </c>
      <c r="EW118" s="231">
        <v>273569</v>
      </c>
      <c r="EX118" s="231">
        <v>2815</v>
      </c>
      <c r="EY118" s="229">
        <v>1.03E-2</v>
      </c>
      <c r="EZ118" s="229">
        <v>1.0631999999999999</v>
      </c>
      <c r="FA118" s="227" t="s">
        <v>556</v>
      </c>
      <c r="FB118" s="161">
        <f t="shared" si="1"/>
        <v>1244000</v>
      </c>
    </row>
    <row r="119" spans="1:158" ht="17.25" hidden="1" thickBot="1" x14ac:dyDescent="0.3">
      <c r="A119" s="226">
        <v>45940</v>
      </c>
      <c r="B119" s="227" t="s">
        <v>175</v>
      </c>
      <c r="C119" s="227" t="s">
        <v>608</v>
      </c>
      <c r="D119" s="228">
        <v>700</v>
      </c>
      <c r="E119" s="228">
        <v>902.25</v>
      </c>
      <c r="F119" s="228">
        <v>900.55</v>
      </c>
      <c r="G119" s="228">
        <v>1.7</v>
      </c>
      <c r="H119" s="229">
        <v>1.9E-3</v>
      </c>
      <c r="I119" s="228">
        <v>897.8</v>
      </c>
      <c r="J119" s="228">
        <v>895.2</v>
      </c>
      <c r="K119" s="228">
        <v>2.6</v>
      </c>
      <c r="L119" s="229">
        <v>2.8999999999999998E-3</v>
      </c>
      <c r="M119" s="228">
        <v>902.25</v>
      </c>
      <c r="N119" s="228">
        <v>900.55</v>
      </c>
      <c r="O119" s="228">
        <v>1.7</v>
      </c>
      <c r="P119" s="229">
        <v>1.9E-3</v>
      </c>
      <c r="Q119" s="228">
        <v>906.3</v>
      </c>
      <c r="R119" s="228">
        <v>903.15</v>
      </c>
      <c r="S119" s="228">
        <v>3.15</v>
      </c>
      <c r="T119" s="229">
        <v>3.5000000000000001E-3</v>
      </c>
      <c r="U119" s="228">
        <v>908.4</v>
      </c>
      <c r="V119" s="228">
        <v>908</v>
      </c>
      <c r="W119" s="228">
        <v>0.4</v>
      </c>
      <c r="X119" s="229">
        <v>4.0000000000000002E-4</v>
      </c>
      <c r="Y119" s="228">
        <v>4.45</v>
      </c>
      <c r="Z119" s="228">
        <v>5.35</v>
      </c>
      <c r="AA119" s="228">
        <v>-0.9</v>
      </c>
      <c r="AB119" s="229">
        <v>5.0000000000000001E-3</v>
      </c>
      <c r="AC119" s="228">
        <v>4.45</v>
      </c>
      <c r="AD119" s="228">
        <v>5.35</v>
      </c>
      <c r="AE119" s="228">
        <v>-0.9</v>
      </c>
      <c r="AF119" s="229">
        <v>5.0000000000000001E-3</v>
      </c>
      <c r="AG119" s="228">
        <v>8.5</v>
      </c>
      <c r="AH119" s="228">
        <v>7.95</v>
      </c>
      <c r="AI119" s="228">
        <v>0.55000000000000004</v>
      </c>
      <c r="AJ119" s="229">
        <v>9.4999999999999998E-3</v>
      </c>
      <c r="AK119" s="228">
        <v>10.6</v>
      </c>
      <c r="AL119" s="228">
        <v>12.8</v>
      </c>
      <c r="AM119" s="228">
        <v>-2.2000000000000002</v>
      </c>
      <c r="AN119" s="229">
        <v>1.18E-2</v>
      </c>
      <c r="AO119" s="228">
        <v>906.46</v>
      </c>
      <c r="AP119" s="228">
        <v>909.31</v>
      </c>
      <c r="AQ119" s="228">
        <v>0</v>
      </c>
      <c r="AR119" s="230">
        <v>1389500</v>
      </c>
      <c r="AS119" s="230">
        <v>959000</v>
      </c>
      <c r="AT119" s="230">
        <v>430500</v>
      </c>
      <c r="AU119" s="229">
        <v>0.44890000000000002</v>
      </c>
      <c r="AV119" s="230">
        <v>1199100</v>
      </c>
      <c r="AW119" s="230">
        <v>829500</v>
      </c>
      <c r="AX119" s="230">
        <v>369600</v>
      </c>
      <c r="AY119" s="229">
        <v>0.4456</v>
      </c>
      <c r="AZ119" s="230">
        <v>121800</v>
      </c>
      <c r="BA119" s="230">
        <v>121800</v>
      </c>
      <c r="BB119" s="228">
        <v>0</v>
      </c>
      <c r="BC119" s="229">
        <v>0</v>
      </c>
      <c r="BD119" s="230">
        <v>68600</v>
      </c>
      <c r="BE119" s="230">
        <v>7700</v>
      </c>
      <c r="BF119" s="230">
        <v>60900</v>
      </c>
      <c r="BG119" s="229">
        <v>7.9090999999999996</v>
      </c>
      <c r="BH119" s="230">
        <v>3268300</v>
      </c>
      <c r="BI119" s="230">
        <v>2639000</v>
      </c>
      <c r="BJ119" s="230">
        <v>629300</v>
      </c>
      <c r="BK119" s="229">
        <v>0.23849999999999999</v>
      </c>
      <c r="BL119" s="230">
        <v>1000300</v>
      </c>
      <c r="BM119" s="230">
        <v>708400</v>
      </c>
      <c r="BN119" s="230">
        <v>291900</v>
      </c>
      <c r="BO119" s="229">
        <v>0.41210000000000002</v>
      </c>
      <c r="BP119" s="230">
        <v>5658100</v>
      </c>
      <c r="BQ119" s="230">
        <v>4306400</v>
      </c>
      <c r="BR119" s="230">
        <v>1351700</v>
      </c>
      <c r="BS119" s="229">
        <v>0.31390000000000001</v>
      </c>
      <c r="BT119" s="230">
        <v>899293</v>
      </c>
      <c r="BU119" s="230">
        <v>741718</v>
      </c>
      <c r="BV119" s="230">
        <v>157575</v>
      </c>
      <c r="BW119" s="229">
        <v>0.21240000000000001</v>
      </c>
      <c r="BX119" s="230">
        <v>7978600</v>
      </c>
      <c r="BY119" s="230">
        <v>7952700</v>
      </c>
      <c r="BZ119" s="230">
        <v>25900</v>
      </c>
      <c r="CA119" s="229">
        <v>3.3E-3</v>
      </c>
      <c r="CB119" s="230">
        <v>7407400</v>
      </c>
      <c r="CC119" s="230">
        <v>7396900</v>
      </c>
      <c r="CD119" s="230">
        <v>10500</v>
      </c>
      <c r="CE119" s="229">
        <v>1.4E-3</v>
      </c>
      <c r="CF119" s="230">
        <v>519400</v>
      </c>
      <c r="CG119" s="230">
        <v>492100</v>
      </c>
      <c r="CH119" s="230">
        <v>27300</v>
      </c>
      <c r="CI119" s="229">
        <v>5.5500000000000001E-2</v>
      </c>
      <c r="CJ119" s="230">
        <v>51800</v>
      </c>
      <c r="CK119" s="230">
        <v>63700</v>
      </c>
      <c r="CL119" s="230">
        <v>-11900</v>
      </c>
      <c r="CM119" s="229">
        <v>-0.18679999999999999</v>
      </c>
      <c r="CN119" s="230">
        <v>4687900</v>
      </c>
      <c r="CO119" s="230">
        <v>4555600</v>
      </c>
      <c r="CP119" s="230">
        <v>132300</v>
      </c>
      <c r="CQ119" s="229">
        <v>2.9000000000000001E-2</v>
      </c>
      <c r="CR119" s="230">
        <v>1975400</v>
      </c>
      <c r="CS119" s="230">
        <v>1944600</v>
      </c>
      <c r="CT119" s="230">
        <v>30800</v>
      </c>
      <c r="CU119" s="229">
        <v>1.5800000000000002E-2</v>
      </c>
      <c r="CV119" s="230">
        <v>14641900</v>
      </c>
      <c r="CW119" s="230">
        <v>14452900</v>
      </c>
      <c r="CX119" s="230">
        <v>189000</v>
      </c>
      <c r="CY119" s="229">
        <v>1.3100000000000001E-2</v>
      </c>
      <c r="CZ119" s="228">
        <v>21.79</v>
      </c>
      <c r="DA119" s="228">
        <v>22.99</v>
      </c>
      <c r="DB119" s="228">
        <v>-1.2</v>
      </c>
      <c r="DC119" s="228">
        <v>-1.2</v>
      </c>
      <c r="DD119" s="228">
        <v>32.46</v>
      </c>
      <c r="DE119" s="228">
        <v>32.54</v>
      </c>
      <c r="DF119" s="228">
        <v>-10.67</v>
      </c>
      <c r="DG119" s="228">
        <v>-0.08</v>
      </c>
      <c r="DH119" s="228">
        <v>21.77</v>
      </c>
      <c r="DI119" s="228">
        <v>23.17</v>
      </c>
      <c r="DJ119" s="228">
        <v>-1.4</v>
      </c>
      <c r="DK119" s="228">
        <v>-1.4</v>
      </c>
      <c r="DL119" s="228">
        <v>21.83</v>
      </c>
      <c r="DM119" s="228">
        <v>22.3</v>
      </c>
      <c r="DN119" s="228">
        <v>-0.47</v>
      </c>
      <c r="DO119" s="228">
        <v>-0.47</v>
      </c>
      <c r="DP119" s="228">
        <v>0.42</v>
      </c>
      <c r="DQ119" s="228">
        <v>0.43</v>
      </c>
      <c r="DR119" s="228">
        <v>-0.01</v>
      </c>
      <c r="DS119" s="229">
        <v>-2.3300000000000001E-2</v>
      </c>
      <c r="DT119" s="231">
        <v>1000</v>
      </c>
      <c r="DU119" s="228">
        <v>900</v>
      </c>
      <c r="DV119" s="228">
        <v>0.31</v>
      </c>
      <c r="DW119" s="228">
        <v>0.27</v>
      </c>
      <c r="DX119" s="228">
        <v>0.04</v>
      </c>
      <c r="DY119" s="229">
        <v>0.14810000000000001</v>
      </c>
      <c r="DZ119" s="229">
        <v>7.1599999999999997E-2</v>
      </c>
      <c r="EA119" s="230">
        <v>555800</v>
      </c>
      <c r="EB119" s="229">
        <v>4.4999999999999997E-3</v>
      </c>
      <c r="EC119" s="229">
        <v>7.1599999999999997E-2</v>
      </c>
      <c r="ED119" s="228">
        <v>2.85</v>
      </c>
      <c r="EE119" s="229">
        <v>3.0999999999999999E-3</v>
      </c>
      <c r="EF119" s="230">
        <v>434775</v>
      </c>
      <c r="EG119" s="230">
        <v>413072</v>
      </c>
      <c r="EH119" s="229">
        <v>5.2499999999999998E-2</v>
      </c>
      <c r="EI119" s="229">
        <v>0.48349999999999999</v>
      </c>
      <c r="EJ119" s="231">
        <v>30742.27</v>
      </c>
      <c r="EK119" s="231">
        <v>8917.2000000000007</v>
      </c>
      <c r="EL119" s="231">
        <v>12604.01</v>
      </c>
      <c r="EM119" s="231">
        <v>1878</v>
      </c>
      <c r="EN119" s="231">
        <v>52263.48</v>
      </c>
      <c r="EO119" s="231">
        <v>39840.17</v>
      </c>
      <c r="EP119" s="231">
        <v>12423.31</v>
      </c>
      <c r="EQ119" s="229">
        <v>0.31180000000000002</v>
      </c>
      <c r="ER119" s="231">
        <v>44215</v>
      </c>
      <c r="ES119" s="231">
        <v>17302</v>
      </c>
      <c r="ET119" s="231">
        <v>72011</v>
      </c>
      <c r="EU119" s="231">
        <v>32057152</v>
      </c>
      <c r="EV119" s="231">
        <v>133527</v>
      </c>
      <c r="EW119" s="231">
        <v>131631</v>
      </c>
      <c r="EX119" s="231">
        <v>1896</v>
      </c>
      <c r="EY119" s="229">
        <v>1.44E-2</v>
      </c>
      <c r="EZ119" s="229">
        <v>0.45669999999999999</v>
      </c>
      <c r="FA119" s="227" t="s">
        <v>555</v>
      </c>
      <c r="FB119" s="161">
        <f t="shared" si="1"/>
        <v>571200</v>
      </c>
    </row>
    <row r="120" spans="1:158" ht="17.25" hidden="1" thickBot="1" x14ac:dyDescent="0.3">
      <c r="A120" s="226">
        <v>45940</v>
      </c>
      <c r="B120" s="227" t="s">
        <v>206</v>
      </c>
      <c r="C120" s="227" t="s">
        <v>589</v>
      </c>
      <c r="D120" s="228">
        <v>450</v>
      </c>
      <c r="E120" s="231">
        <v>1159.5999999999999</v>
      </c>
      <c r="F120" s="231">
        <v>1133.9000000000001</v>
      </c>
      <c r="G120" s="228">
        <v>25.7</v>
      </c>
      <c r="H120" s="229">
        <v>2.2700000000000001E-2</v>
      </c>
      <c r="I120" s="231">
        <v>1155.9000000000001</v>
      </c>
      <c r="J120" s="231">
        <v>1128.7</v>
      </c>
      <c r="K120" s="228">
        <v>27.2</v>
      </c>
      <c r="L120" s="229">
        <v>2.41E-2</v>
      </c>
      <c r="M120" s="231">
        <v>1159.5999999999999</v>
      </c>
      <c r="N120" s="231">
        <v>1133.9000000000001</v>
      </c>
      <c r="O120" s="228">
        <v>25.7</v>
      </c>
      <c r="P120" s="229">
        <v>2.2700000000000001E-2</v>
      </c>
      <c r="Q120" s="231">
        <v>1165.7</v>
      </c>
      <c r="R120" s="231">
        <v>1144.3</v>
      </c>
      <c r="S120" s="228">
        <v>21.4</v>
      </c>
      <c r="T120" s="229">
        <v>1.8700000000000001E-2</v>
      </c>
      <c r="U120" s="231">
        <v>1171.8</v>
      </c>
      <c r="V120" s="231">
        <v>1146.9000000000001</v>
      </c>
      <c r="W120" s="228">
        <v>24.9</v>
      </c>
      <c r="X120" s="229">
        <v>2.1700000000000001E-2</v>
      </c>
      <c r="Y120" s="228">
        <v>3.7</v>
      </c>
      <c r="Z120" s="228">
        <v>5.2</v>
      </c>
      <c r="AA120" s="228">
        <v>-1.5</v>
      </c>
      <c r="AB120" s="229">
        <v>3.2000000000000002E-3</v>
      </c>
      <c r="AC120" s="228">
        <v>3.7</v>
      </c>
      <c r="AD120" s="228">
        <v>5.2</v>
      </c>
      <c r="AE120" s="228">
        <v>-1.5</v>
      </c>
      <c r="AF120" s="229">
        <v>3.2000000000000002E-3</v>
      </c>
      <c r="AG120" s="228">
        <v>9.8000000000000007</v>
      </c>
      <c r="AH120" s="228">
        <v>15.6</v>
      </c>
      <c r="AI120" s="228">
        <v>-5.8</v>
      </c>
      <c r="AJ120" s="229">
        <v>8.5000000000000006E-3</v>
      </c>
      <c r="AK120" s="228">
        <v>15.9</v>
      </c>
      <c r="AL120" s="228">
        <v>18.2</v>
      </c>
      <c r="AM120" s="228">
        <v>-2.2999999999999998</v>
      </c>
      <c r="AN120" s="229">
        <v>1.38E-2</v>
      </c>
      <c r="AO120" s="231">
        <v>1154.99</v>
      </c>
      <c r="AP120" s="231">
        <v>1160.8499999999999</v>
      </c>
      <c r="AQ120" s="228">
        <v>0</v>
      </c>
      <c r="AR120" s="230">
        <v>2036250</v>
      </c>
      <c r="AS120" s="230">
        <v>1885050</v>
      </c>
      <c r="AT120" s="230">
        <v>151200</v>
      </c>
      <c r="AU120" s="229">
        <v>8.0199999999999994E-2</v>
      </c>
      <c r="AV120" s="230">
        <v>1822950</v>
      </c>
      <c r="AW120" s="230">
        <v>1687500</v>
      </c>
      <c r="AX120" s="230">
        <v>135450</v>
      </c>
      <c r="AY120" s="229">
        <v>8.0299999999999996E-2</v>
      </c>
      <c r="AZ120" s="230">
        <v>196650</v>
      </c>
      <c r="BA120" s="230">
        <v>180000</v>
      </c>
      <c r="BB120" s="230">
        <v>16650</v>
      </c>
      <c r="BC120" s="229">
        <v>9.2499999999999999E-2</v>
      </c>
      <c r="BD120" s="230">
        <v>16650</v>
      </c>
      <c r="BE120" s="230">
        <v>17550</v>
      </c>
      <c r="BF120" s="228">
        <v>-900</v>
      </c>
      <c r="BG120" s="229">
        <v>-5.1299999999999998E-2</v>
      </c>
      <c r="BH120" s="230">
        <v>6021900</v>
      </c>
      <c r="BI120" s="230">
        <v>3130650</v>
      </c>
      <c r="BJ120" s="230">
        <v>2891250</v>
      </c>
      <c r="BK120" s="229">
        <v>0.92349999999999999</v>
      </c>
      <c r="BL120" s="230">
        <v>1350000</v>
      </c>
      <c r="BM120" s="230">
        <v>1072350</v>
      </c>
      <c r="BN120" s="230">
        <v>277650</v>
      </c>
      <c r="BO120" s="229">
        <v>0.25890000000000002</v>
      </c>
      <c r="BP120" s="230">
        <v>9408150</v>
      </c>
      <c r="BQ120" s="230">
        <v>6088050</v>
      </c>
      <c r="BR120" s="230">
        <v>3320100</v>
      </c>
      <c r="BS120" s="229">
        <v>0.54530000000000001</v>
      </c>
      <c r="BT120" s="230">
        <v>1107821</v>
      </c>
      <c r="BU120" s="230">
        <v>726075</v>
      </c>
      <c r="BV120" s="230">
        <v>381746</v>
      </c>
      <c r="BW120" s="229">
        <v>0.52580000000000005</v>
      </c>
      <c r="BX120" s="230">
        <v>12470400</v>
      </c>
      <c r="BY120" s="230">
        <v>12531150</v>
      </c>
      <c r="BZ120" s="230">
        <v>-60750</v>
      </c>
      <c r="CA120" s="229">
        <v>-4.7999999999999996E-3</v>
      </c>
      <c r="CB120" s="230">
        <v>12034800</v>
      </c>
      <c r="CC120" s="230">
        <v>12056850</v>
      </c>
      <c r="CD120" s="230">
        <v>-22050</v>
      </c>
      <c r="CE120" s="229">
        <v>-1.8E-3</v>
      </c>
      <c r="CF120" s="230">
        <v>404100</v>
      </c>
      <c r="CG120" s="230">
        <v>436500</v>
      </c>
      <c r="CH120" s="230">
        <v>-32400</v>
      </c>
      <c r="CI120" s="229">
        <v>-7.4200000000000002E-2</v>
      </c>
      <c r="CJ120" s="230">
        <v>31500</v>
      </c>
      <c r="CK120" s="230">
        <v>37800</v>
      </c>
      <c r="CL120" s="230">
        <v>-6300</v>
      </c>
      <c r="CM120" s="229">
        <v>-0.16669999999999999</v>
      </c>
      <c r="CN120" s="230">
        <v>3424500</v>
      </c>
      <c r="CO120" s="230">
        <v>3480750</v>
      </c>
      <c r="CP120" s="230">
        <v>-56250</v>
      </c>
      <c r="CQ120" s="229">
        <v>-1.6199999999999999E-2</v>
      </c>
      <c r="CR120" s="230">
        <v>2193750</v>
      </c>
      <c r="CS120" s="230">
        <v>2179350</v>
      </c>
      <c r="CT120" s="230">
        <v>14400</v>
      </c>
      <c r="CU120" s="229">
        <v>6.6E-3</v>
      </c>
      <c r="CV120" s="230">
        <v>18088650</v>
      </c>
      <c r="CW120" s="230">
        <v>18191250</v>
      </c>
      <c r="CX120" s="230">
        <v>-102600</v>
      </c>
      <c r="CY120" s="229">
        <v>-5.5999999999999999E-3</v>
      </c>
      <c r="CZ120" s="228">
        <v>33.229999999999997</v>
      </c>
      <c r="DA120" s="228">
        <v>35.200000000000003</v>
      </c>
      <c r="DB120" s="228">
        <v>-1.97</v>
      </c>
      <c r="DC120" s="228">
        <v>-1.97</v>
      </c>
      <c r="DD120" s="228">
        <v>47.83</v>
      </c>
      <c r="DE120" s="228">
        <v>47.84</v>
      </c>
      <c r="DF120" s="228">
        <v>-14.6</v>
      </c>
      <c r="DG120" s="228">
        <v>-0.01</v>
      </c>
      <c r="DH120" s="228">
        <v>33.26</v>
      </c>
      <c r="DI120" s="228">
        <v>35.159999999999997</v>
      </c>
      <c r="DJ120" s="228">
        <v>-1.9</v>
      </c>
      <c r="DK120" s="228">
        <v>-1.9</v>
      </c>
      <c r="DL120" s="228">
        <v>33.08</v>
      </c>
      <c r="DM120" s="228">
        <v>35.31</v>
      </c>
      <c r="DN120" s="228">
        <v>-2.23</v>
      </c>
      <c r="DO120" s="228">
        <v>-2.23</v>
      </c>
      <c r="DP120" s="228">
        <v>0.64</v>
      </c>
      <c r="DQ120" s="228">
        <v>0.63</v>
      </c>
      <c r="DR120" s="228">
        <v>0.01</v>
      </c>
      <c r="DS120" s="229">
        <v>1.5900000000000001E-2</v>
      </c>
      <c r="DT120" s="231">
        <v>1160</v>
      </c>
      <c r="DU120" s="231">
        <v>1100</v>
      </c>
      <c r="DV120" s="228">
        <v>0.22</v>
      </c>
      <c r="DW120" s="228">
        <v>0.34</v>
      </c>
      <c r="DX120" s="228">
        <v>-0.12</v>
      </c>
      <c r="DY120" s="229">
        <v>-0.35289999999999999</v>
      </c>
      <c r="DZ120" s="229">
        <v>3.49E-2</v>
      </c>
      <c r="EA120" s="230">
        <v>474300</v>
      </c>
      <c r="EB120" s="229">
        <v>5.3E-3</v>
      </c>
      <c r="EC120" s="229">
        <v>3.49E-2</v>
      </c>
      <c r="ED120" s="228">
        <v>5.86</v>
      </c>
      <c r="EE120" s="229">
        <v>5.1000000000000004E-3</v>
      </c>
      <c r="EF120" s="230">
        <v>495816</v>
      </c>
      <c r="EG120" s="230">
        <v>262692</v>
      </c>
      <c r="EH120" s="229">
        <v>0.88739999999999997</v>
      </c>
      <c r="EI120" s="229">
        <v>0.4476</v>
      </c>
      <c r="EJ120" s="231">
        <v>72535.820000000007</v>
      </c>
      <c r="EK120" s="231">
        <v>15304.93</v>
      </c>
      <c r="EL120" s="231">
        <v>23531.91</v>
      </c>
      <c r="EM120" s="231">
        <v>5505</v>
      </c>
      <c r="EN120" s="231">
        <v>111372.66</v>
      </c>
      <c r="EO120" s="231">
        <v>70876.77</v>
      </c>
      <c r="EP120" s="231">
        <v>40495.89</v>
      </c>
      <c r="EQ120" s="229">
        <v>0.57140000000000002</v>
      </c>
      <c r="ER120" s="231">
        <v>40750</v>
      </c>
      <c r="ES120" s="231">
        <v>24497</v>
      </c>
      <c r="ET120" s="231">
        <v>144635</v>
      </c>
      <c r="EU120" s="231">
        <v>42060143</v>
      </c>
      <c r="EV120" s="231">
        <v>209883</v>
      </c>
      <c r="EW120" s="231">
        <v>207650</v>
      </c>
      <c r="EX120" s="231">
        <v>2233</v>
      </c>
      <c r="EY120" s="229">
        <v>1.0800000000000001E-2</v>
      </c>
      <c r="EZ120" s="229">
        <v>0.43009999999999998</v>
      </c>
      <c r="FA120" s="227" t="s">
        <v>556</v>
      </c>
      <c r="FB120" s="161">
        <f t="shared" si="1"/>
        <v>435600</v>
      </c>
    </row>
    <row r="121" spans="1:158" ht="17.25" hidden="1" thickBot="1" x14ac:dyDescent="0.3">
      <c r="A121" s="226">
        <v>45940</v>
      </c>
      <c r="B121" s="227" t="s">
        <v>184</v>
      </c>
      <c r="C121" s="227" t="s">
        <v>249</v>
      </c>
      <c r="D121" s="228">
        <v>175</v>
      </c>
      <c r="E121" s="231">
        <v>3804.1</v>
      </c>
      <c r="F121" s="231">
        <v>3781.2</v>
      </c>
      <c r="G121" s="228">
        <v>22.9</v>
      </c>
      <c r="H121" s="229">
        <v>6.1000000000000004E-3</v>
      </c>
      <c r="I121" s="231">
        <v>3784</v>
      </c>
      <c r="J121" s="231">
        <v>3769.2</v>
      </c>
      <c r="K121" s="228">
        <v>14.8</v>
      </c>
      <c r="L121" s="229">
        <v>3.8999999999999998E-3</v>
      </c>
      <c r="M121" s="231">
        <v>3804.1</v>
      </c>
      <c r="N121" s="231">
        <v>3781.2</v>
      </c>
      <c r="O121" s="228">
        <v>22.9</v>
      </c>
      <c r="P121" s="229">
        <v>6.1000000000000004E-3</v>
      </c>
      <c r="Q121" s="231">
        <v>3825.3</v>
      </c>
      <c r="R121" s="231">
        <v>3801.1</v>
      </c>
      <c r="S121" s="228">
        <v>24.2</v>
      </c>
      <c r="T121" s="229">
        <v>6.4000000000000003E-3</v>
      </c>
      <c r="U121" s="231">
        <v>3848.8</v>
      </c>
      <c r="V121" s="231">
        <v>3823.2</v>
      </c>
      <c r="W121" s="228">
        <v>25.6</v>
      </c>
      <c r="X121" s="229">
        <v>6.7000000000000002E-3</v>
      </c>
      <c r="Y121" s="228">
        <v>20.100000000000001</v>
      </c>
      <c r="Z121" s="228">
        <v>12</v>
      </c>
      <c r="AA121" s="228">
        <v>8.1</v>
      </c>
      <c r="AB121" s="229">
        <v>5.3E-3</v>
      </c>
      <c r="AC121" s="228">
        <v>20.100000000000001</v>
      </c>
      <c r="AD121" s="228">
        <v>12</v>
      </c>
      <c r="AE121" s="228">
        <v>8.1</v>
      </c>
      <c r="AF121" s="229">
        <v>5.3E-3</v>
      </c>
      <c r="AG121" s="228">
        <v>41.3</v>
      </c>
      <c r="AH121" s="228">
        <v>31.9</v>
      </c>
      <c r="AI121" s="228">
        <v>9.4</v>
      </c>
      <c r="AJ121" s="229">
        <v>1.09E-2</v>
      </c>
      <c r="AK121" s="228">
        <v>64.8</v>
      </c>
      <c r="AL121" s="228">
        <v>54</v>
      </c>
      <c r="AM121" s="228">
        <v>10.8</v>
      </c>
      <c r="AN121" s="229">
        <v>1.7100000000000001E-2</v>
      </c>
      <c r="AO121" s="231">
        <v>3804.1</v>
      </c>
      <c r="AP121" s="231">
        <v>3825.58</v>
      </c>
      <c r="AQ121" s="228">
        <v>0</v>
      </c>
      <c r="AR121" s="230">
        <v>1982050</v>
      </c>
      <c r="AS121" s="230">
        <v>2197125</v>
      </c>
      <c r="AT121" s="230">
        <v>-215075</v>
      </c>
      <c r="AU121" s="229">
        <v>-9.7900000000000001E-2</v>
      </c>
      <c r="AV121" s="230">
        <v>1803550</v>
      </c>
      <c r="AW121" s="230">
        <v>2062550</v>
      </c>
      <c r="AX121" s="230">
        <v>-259000</v>
      </c>
      <c r="AY121" s="229">
        <v>-0.12559999999999999</v>
      </c>
      <c r="AZ121" s="230">
        <v>140875</v>
      </c>
      <c r="BA121" s="230">
        <v>122150</v>
      </c>
      <c r="BB121" s="230">
        <v>18725</v>
      </c>
      <c r="BC121" s="229">
        <v>0.15329999999999999</v>
      </c>
      <c r="BD121" s="230">
        <v>37625</v>
      </c>
      <c r="BE121" s="230">
        <v>12425</v>
      </c>
      <c r="BF121" s="230">
        <v>25200</v>
      </c>
      <c r="BG121" s="229">
        <v>2.0282</v>
      </c>
      <c r="BH121" s="230">
        <v>8432550</v>
      </c>
      <c r="BI121" s="230">
        <v>10790675</v>
      </c>
      <c r="BJ121" s="230">
        <v>-2358125</v>
      </c>
      <c r="BK121" s="229">
        <v>-0.2185</v>
      </c>
      <c r="BL121" s="230">
        <v>3359125</v>
      </c>
      <c r="BM121" s="230">
        <v>4544750</v>
      </c>
      <c r="BN121" s="230">
        <v>-1185625</v>
      </c>
      <c r="BO121" s="229">
        <v>-0.26090000000000002</v>
      </c>
      <c r="BP121" s="230">
        <v>13773725</v>
      </c>
      <c r="BQ121" s="230">
        <v>17532550</v>
      </c>
      <c r="BR121" s="230">
        <v>-3758825</v>
      </c>
      <c r="BS121" s="229">
        <v>-0.21440000000000001</v>
      </c>
      <c r="BT121" s="230">
        <v>1203124</v>
      </c>
      <c r="BU121" s="230">
        <v>2149786</v>
      </c>
      <c r="BV121" s="230">
        <v>-946662</v>
      </c>
      <c r="BW121" s="229">
        <v>-0.44040000000000001</v>
      </c>
      <c r="BX121" s="230">
        <v>16010050</v>
      </c>
      <c r="BY121" s="230">
        <v>16150400</v>
      </c>
      <c r="BZ121" s="230">
        <v>-140350</v>
      </c>
      <c r="CA121" s="229">
        <v>-8.6999999999999994E-3</v>
      </c>
      <c r="CB121" s="230">
        <v>15516550</v>
      </c>
      <c r="CC121" s="230">
        <v>15740725</v>
      </c>
      <c r="CD121" s="230">
        <v>-224175</v>
      </c>
      <c r="CE121" s="229">
        <v>-1.4200000000000001E-2</v>
      </c>
      <c r="CF121" s="230">
        <v>263900</v>
      </c>
      <c r="CG121" s="230">
        <v>211225</v>
      </c>
      <c r="CH121" s="230">
        <v>52675</v>
      </c>
      <c r="CI121" s="229">
        <v>0.24940000000000001</v>
      </c>
      <c r="CJ121" s="230">
        <v>229600</v>
      </c>
      <c r="CK121" s="230">
        <v>198450</v>
      </c>
      <c r="CL121" s="230">
        <v>31150</v>
      </c>
      <c r="CM121" s="229">
        <v>0.157</v>
      </c>
      <c r="CN121" s="230">
        <v>6306475</v>
      </c>
      <c r="CO121" s="230">
        <v>5805450</v>
      </c>
      <c r="CP121" s="230">
        <v>501025</v>
      </c>
      <c r="CQ121" s="229">
        <v>8.6300000000000002E-2</v>
      </c>
      <c r="CR121" s="230">
        <v>3140725</v>
      </c>
      <c r="CS121" s="230">
        <v>2913050</v>
      </c>
      <c r="CT121" s="230">
        <v>227675</v>
      </c>
      <c r="CU121" s="229">
        <v>7.8200000000000006E-2</v>
      </c>
      <c r="CV121" s="230">
        <v>25457250</v>
      </c>
      <c r="CW121" s="230">
        <v>24868900</v>
      </c>
      <c r="CX121" s="230">
        <v>588350</v>
      </c>
      <c r="CY121" s="229">
        <v>2.3699999999999999E-2</v>
      </c>
      <c r="CZ121" s="228">
        <v>16.25</v>
      </c>
      <c r="DA121" s="228">
        <v>17.54</v>
      </c>
      <c r="DB121" s="228">
        <v>-1.29</v>
      </c>
      <c r="DC121" s="228">
        <v>-1.29</v>
      </c>
      <c r="DD121" s="228">
        <v>28.09</v>
      </c>
      <c r="DE121" s="228">
        <v>28.15</v>
      </c>
      <c r="DF121" s="228">
        <v>-11.84</v>
      </c>
      <c r="DG121" s="228">
        <v>-0.06</v>
      </c>
      <c r="DH121" s="228">
        <v>16.09</v>
      </c>
      <c r="DI121" s="228">
        <v>17.420000000000002</v>
      </c>
      <c r="DJ121" s="228">
        <v>-1.33</v>
      </c>
      <c r="DK121" s="228">
        <v>-1.33</v>
      </c>
      <c r="DL121" s="228">
        <v>16.62</v>
      </c>
      <c r="DM121" s="228">
        <v>17.82</v>
      </c>
      <c r="DN121" s="228">
        <v>-1.2</v>
      </c>
      <c r="DO121" s="228">
        <v>-1.2</v>
      </c>
      <c r="DP121" s="228">
        <v>0.5</v>
      </c>
      <c r="DQ121" s="228">
        <v>0.5</v>
      </c>
      <c r="DR121" s="228">
        <v>0</v>
      </c>
      <c r="DS121" s="229">
        <v>0</v>
      </c>
      <c r="DT121" s="231">
        <v>3800</v>
      </c>
      <c r="DU121" s="231">
        <v>3700</v>
      </c>
      <c r="DV121" s="228">
        <v>0.4</v>
      </c>
      <c r="DW121" s="228">
        <v>0.42</v>
      </c>
      <c r="DX121" s="228">
        <v>-0.02</v>
      </c>
      <c r="DY121" s="229">
        <v>-4.7600000000000003E-2</v>
      </c>
      <c r="DZ121" s="229">
        <v>3.0800000000000001E-2</v>
      </c>
      <c r="EA121" s="230">
        <v>409675</v>
      </c>
      <c r="EB121" s="229">
        <v>5.5999999999999999E-3</v>
      </c>
      <c r="EC121" s="229">
        <v>3.0800000000000001E-2</v>
      </c>
      <c r="ED121" s="228">
        <v>21.48</v>
      </c>
      <c r="EE121" s="229">
        <v>5.5999999999999999E-3</v>
      </c>
      <c r="EF121" s="230">
        <v>663688</v>
      </c>
      <c r="EG121" s="230">
        <v>947917</v>
      </c>
      <c r="EH121" s="229">
        <v>-0.29980000000000001</v>
      </c>
      <c r="EI121" s="229">
        <v>0.55159999999999998</v>
      </c>
      <c r="EJ121" s="231">
        <v>327996.46000000002</v>
      </c>
      <c r="EK121" s="231">
        <v>126673.44</v>
      </c>
      <c r="EL121" s="231">
        <v>75447.33</v>
      </c>
      <c r="EM121" s="231">
        <v>11212</v>
      </c>
      <c r="EN121" s="231">
        <v>530117.23</v>
      </c>
      <c r="EO121" s="231">
        <v>671705.91</v>
      </c>
      <c r="EP121" s="231">
        <v>-141588.68</v>
      </c>
      <c r="EQ121" s="229">
        <v>-0.21079999999999999</v>
      </c>
      <c r="ER121" s="231">
        <v>243683</v>
      </c>
      <c r="ES121" s="231">
        <v>114640</v>
      </c>
      <c r="ET121" s="231">
        <v>609197</v>
      </c>
      <c r="EU121" s="231">
        <v>136007303</v>
      </c>
      <c r="EV121" s="231">
        <v>967520</v>
      </c>
      <c r="EW121" s="231">
        <v>940909</v>
      </c>
      <c r="EX121" s="231">
        <v>26611</v>
      </c>
      <c r="EY121" s="229">
        <v>2.8299999999999999E-2</v>
      </c>
      <c r="EZ121" s="229">
        <v>0.18720000000000001</v>
      </c>
      <c r="FA121" s="227" t="s">
        <v>556</v>
      </c>
      <c r="FB121" s="161">
        <f t="shared" si="1"/>
        <v>493500</v>
      </c>
    </row>
    <row r="122" spans="1:158" ht="17.25" hidden="1" thickBot="1" x14ac:dyDescent="0.3">
      <c r="A122" s="226">
        <v>45940</v>
      </c>
      <c r="B122" s="227" t="s">
        <v>175</v>
      </c>
      <c r="C122" s="227" t="s">
        <v>565</v>
      </c>
      <c r="D122" s="228">
        <v>4462</v>
      </c>
      <c r="E122" s="228">
        <v>257.07</v>
      </c>
      <c r="F122" s="228">
        <v>261.25</v>
      </c>
      <c r="G122" s="228">
        <v>-4.18</v>
      </c>
      <c r="H122" s="229">
        <v>-1.6E-2</v>
      </c>
      <c r="I122" s="228">
        <v>256.04000000000002</v>
      </c>
      <c r="J122" s="228">
        <v>260.24</v>
      </c>
      <c r="K122" s="228">
        <v>-4.2</v>
      </c>
      <c r="L122" s="229">
        <v>-1.61E-2</v>
      </c>
      <c r="M122" s="228">
        <v>257.07</v>
      </c>
      <c r="N122" s="228">
        <v>261.25</v>
      </c>
      <c r="O122" s="228">
        <v>-4.18</v>
      </c>
      <c r="P122" s="229">
        <v>-1.6E-2</v>
      </c>
      <c r="Q122" s="228">
        <v>257.81</v>
      </c>
      <c r="R122" s="228">
        <v>261.87</v>
      </c>
      <c r="S122" s="228">
        <v>-4.0599999999999996</v>
      </c>
      <c r="T122" s="229">
        <v>-1.55E-2</v>
      </c>
      <c r="U122" s="228">
        <v>258.06</v>
      </c>
      <c r="V122" s="228">
        <v>262.29000000000002</v>
      </c>
      <c r="W122" s="228">
        <v>-4.2300000000000004</v>
      </c>
      <c r="X122" s="229">
        <v>-1.61E-2</v>
      </c>
      <c r="Y122" s="228">
        <v>1.03</v>
      </c>
      <c r="Z122" s="228">
        <v>1.01</v>
      </c>
      <c r="AA122" s="228">
        <v>0.02</v>
      </c>
      <c r="AB122" s="229">
        <v>4.0000000000000001E-3</v>
      </c>
      <c r="AC122" s="228">
        <v>1.03</v>
      </c>
      <c r="AD122" s="228">
        <v>1.01</v>
      </c>
      <c r="AE122" s="228">
        <v>0.02</v>
      </c>
      <c r="AF122" s="229">
        <v>4.0000000000000001E-3</v>
      </c>
      <c r="AG122" s="228">
        <v>1.77</v>
      </c>
      <c r="AH122" s="228">
        <v>1.63</v>
      </c>
      <c r="AI122" s="228">
        <v>0.14000000000000001</v>
      </c>
      <c r="AJ122" s="229">
        <v>6.8999999999999999E-3</v>
      </c>
      <c r="AK122" s="228">
        <v>2.02</v>
      </c>
      <c r="AL122" s="228">
        <v>2.0499999999999998</v>
      </c>
      <c r="AM122" s="228">
        <v>-0.03</v>
      </c>
      <c r="AN122" s="229">
        <v>7.9000000000000008E-3</v>
      </c>
      <c r="AO122" s="228">
        <v>258.48</v>
      </c>
      <c r="AP122" s="228">
        <v>258.88</v>
      </c>
      <c r="AQ122" s="228">
        <v>0</v>
      </c>
      <c r="AR122" s="230">
        <v>17580280</v>
      </c>
      <c r="AS122" s="230">
        <v>10418770</v>
      </c>
      <c r="AT122" s="230">
        <v>7161510</v>
      </c>
      <c r="AU122" s="229">
        <v>0.68740000000000001</v>
      </c>
      <c r="AV122" s="230">
        <v>16321996</v>
      </c>
      <c r="AW122" s="230">
        <v>9637920</v>
      </c>
      <c r="AX122" s="230">
        <v>6684076</v>
      </c>
      <c r="AY122" s="229">
        <v>0.69350000000000001</v>
      </c>
      <c r="AZ122" s="230">
        <v>1128886</v>
      </c>
      <c r="BA122" s="230">
        <v>713920</v>
      </c>
      <c r="BB122" s="230">
        <v>414966</v>
      </c>
      <c r="BC122" s="229">
        <v>0.58130000000000004</v>
      </c>
      <c r="BD122" s="230">
        <v>129398</v>
      </c>
      <c r="BE122" s="230">
        <v>66930</v>
      </c>
      <c r="BF122" s="230">
        <v>62468</v>
      </c>
      <c r="BG122" s="229">
        <v>0.93330000000000002</v>
      </c>
      <c r="BH122" s="230">
        <v>28949456</v>
      </c>
      <c r="BI122" s="230">
        <v>17120694</v>
      </c>
      <c r="BJ122" s="230">
        <v>11828762</v>
      </c>
      <c r="BK122" s="229">
        <v>0.69089999999999996</v>
      </c>
      <c r="BL122" s="230">
        <v>21582694</v>
      </c>
      <c r="BM122" s="230">
        <v>13635872</v>
      </c>
      <c r="BN122" s="230">
        <v>7946822</v>
      </c>
      <c r="BO122" s="229">
        <v>0.58279999999999998</v>
      </c>
      <c r="BP122" s="230">
        <v>68112430</v>
      </c>
      <c r="BQ122" s="230">
        <v>41175336</v>
      </c>
      <c r="BR122" s="230">
        <v>26937094</v>
      </c>
      <c r="BS122" s="229">
        <v>0.6542</v>
      </c>
      <c r="BT122" s="230">
        <v>6274015</v>
      </c>
      <c r="BU122" s="230">
        <v>3751938</v>
      </c>
      <c r="BV122" s="230">
        <v>2522077</v>
      </c>
      <c r="BW122" s="229">
        <v>0.67220000000000002</v>
      </c>
      <c r="BX122" s="230">
        <v>50099336</v>
      </c>
      <c r="BY122" s="230">
        <v>49474656</v>
      </c>
      <c r="BZ122" s="230">
        <v>624680</v>
      </c>
      <c r="CA122" s="229">
        <v>1.26E-2</v>
      </c>
      <c r="CB122" s="230">
        <v>47895108</v>
      </c>
      <c r="CC122" s="230">
        <v>47551534</v>
      </c>
      <c r="CD122" s="230">
        <v>343574</v>
      </c>
      <c r="CE122" s="229">
        <v>7.1999999999999998E-3</v>
      </c>
      <c r="CF122" s="230">
        <v>1972204</v>
      </c>
      <c r="CG122" s="230">
        <v>1735718</v>
      </c>
      <c r="CH122" s="230">
        <v>236486</v>
      </c>
      <c r="CI122" s="229">
        <v>0.13619999999999999</v>
      </c>
      <c r="CJ122" s="230">
        <v>232024</v>
      </c>
      <c r="CK122" s="230">
        <v>187404</v>
      </c>
      <c r="CL122" s="230">
        <v>44620</v>
      </c>
      <c r="CM122" s="229">
        <v>0.23810000000000001</v>
      </c>
      <c r="CN122" s="230">
        <v>27392218</v>
      </c>
      <c r="CO122" s="230">
        <v>25839442</v>
      </c>
      <c r="CP122" s="230">
        <v>1552776</v>
      </c>
      <c r="CQ122" s="229">
        <v>6.0100000000000001E-2</v>
      </c>
      <c r="CR122" s="230">
        <v>24117110</v>
      </c>
      <c r="CS122" s="230">
        <v>23550436</v>
      </c>
      <c r="CT122" s="230">
        <v>566674</v>
      </c>
      <c r="CU122" s="229">
        <v>2.41E-2</v>
      </c>
      <c r="CV122" s="230">
        <v>101608664</v>
      </c>
      <c r="CW122" s="230">
        <v>98864534</v>
      </c>
      <c r="CX122" s="230">
        <v>2744130</v>
      </c>
      <c r="CY122" s="229">
        <v>2.7799999999999998E-2</v>
      </c>
      <c r="CZ122" s="228">
        <v>34.270000000000003</v>
      </c>
      <c r="DA122" s="228">
        <v>33.39</v>
      </c>
      <c r="DB122" s="228">
        <v>0.88</v>
      </c>
      <c r="DC122" s="228">
        <v>0.88</v>
      </c>
      <c r="DD122" s="228">
        <v>38.64</v>
      </c>
      <c r="DE122" s="228">
        <v>38.67</v>
      </c>
      <c r="DF122" s="228">
        <v>-4.37</v>
      </c>
      <c r="DG122" s="228">
        <v>-0.03</v>
      </c>
      <c r="DH122" s="228">
        <v>33.78</v>
      </c>
      <c r="DI122" s="228">
        <v>31.8</v>
      </c>
      <c r="DJ122" s="228">
        <v>1.98</v>
      </c>
      <c r="DK122" s="228">
        <v>1.98</v>
      </c>
      <c r="DL122" s="228">
        <v>34.94</v>
      </c>
      <c r="DM122" s="228">
        <v>35.4</v>
      </c>
      <c r="DN122" s="228">
        <v>-0.46</v>
      </c>
      <c r="DO122" s="228">
        <v>-0.46</v>
      </c>
      <c r="DP122" s="228">
        <v>0.88</v>
      </c>
      <c r="DQ122" s="228">
        <v>0.91</v>
      </c>
      <c r="DR122" s="228">
        <v>-0.03</v>
      </c>
      <c r="DS122" s="229">
        <v>-3.3000000000000002E-2</v>
      </c>
      <c r="DT122" s="228">
        <v>260</v>
      </c>
      <c r="DU122" s="228">
        <v>250</v>
      </c>
      <c r="DV122" s="228">
        <v>0.75</v>
      </c>
      <c r="DW122" s="228">
        <v>0.8</v>
      </c>
      <c r="DX122" s="228">
        <v>-0.05</v>
      </c>
      <c r="DY122" s="229">
        <v>-6.25E-2</v>
      </c>
      <c r="DZ122" s="229">
        <v>4.3999999999999997E-2</v>
      </c>
      <c r="EA122" s="230">
        <v>1923122</v>
      </c>
      <c r="EB122" s="229">
        <v>2.8999999999999998E-3</v>
      </c>
      <c r="EC122" s="229">
        <v>4.3999999999999997E-2</v>
      </c>
      <c r="ED122" s="228">
        <v>0.4</v>
      </c>
      <c r="EE122" s="229">
        <v>1.5E-3</v>
      </c>
      <c r="EF122" s="230">
        <v>2314157</v>
      </c>
      <c r="EG122" s="230">
        <v>1677664</v>
      </c>
      <c r="EH122" s="229">
        <v>0.37940000000000002</v>
      </c>
      <c r="EI122" s="229">
        <v>0.36880000000000002</v>
      </c>
      <c r="EJ122" s="231">
        <v>78220.600000000006</v>
      </c>
      <c r="EK122" s="231">
        <v>54477.18</v>
      </c>
      <c r="EL122" s="231">
        <v>45446.95</v>
      </c>
      <c r="EM122" s="231">
        <v>3447</v>
      </c>
      <c r="EN122" s="231">
        <v>178144.73</v>
      </c>
      <c r="EO122" s="231">
        <v>107262.26</v>
      </c>
      <c r="EP122" s="231">
        <v>70882.47</v>
      </c>
      <c r="EQ122" s="229">
        <v>0.66080000000000005</v>
      </c>
      <c r="ER122" s="231">
        <v>71994</v>
      </c>
      <c r="ES122" s="231">
        <v>58211</v>
      </c>
      <c r="ET122" s="231">
        <v>128807</v>
      </c>
      <c r="EU122" s="231">
        <v>126777205</v>
      </c>
      <c r="EV122" s="231">
        <v>259012</v>
      </c>
      <c r="EW122" s="231">
        <v>253938</v>
      </c>
      <c r="EX122" s="231">
        <v>5074</v>
      </c>
      <c r="EY122" s="229">
        <v>0.02</v>
      </c>
      <c r="EZ122" s="229">
        <v>0.80149999999999999</v>
      </c>
      <c r="FA122" s="227" t="s">
        <v>567</v>
      </c>
      <c r="FB122" s="161">
        <f t="shared" si="1"/>
        <v>2204228</v>
      </c>
    </row>
    <row r="123" spans="1:158" ht="17.25" hidden="1" thickBot="1" x14ac:dyDescent="0.3">
      <c r="A123" s="226">
        <v>45940</v>
      </c>
      <c r="B123" s="227" t="s">
        <v>221</v>
      </c>
      <c r="C123" s="227" t="s">
        <v>561</v>
      </c>
      <c r="D123" s="228">
        <v>150</v>
      </c>
      <c r="E123" s="231">
        <v>5481</v>
      </c>
      <c r="F123" s="231">
        <v>5443.5</v>
      </c>
      <c r="G123" s="228">
        <v>37.5</v>
      </c>
      <c r="H123" s="229">
        <v>6.8999999999999999E-3</v>
      </c>
      <c r="I123" s="231">
        <v>5471.5</v>
      </c>
      <c r="J123" s="231">
        <v>5434</v>
      </c>
      <c r="K123" s="228">
        <v>37.5</v>
      </c>
      <c r="L123" s="229">
        <v>6.8999999999999999E-3</v>
      </c>
      <c r="M123" s="231">
        <v>5481</v>
      </c>
      <c r="N123" s="231">
        <v>5443.5</v>
      </c>
      <c r="O123" s="228">
        <v>37.5</v>
      </c>
      <c r="P123" s="229">
        <v>6.8999999999999999E-3</v>
      </c>
      <c r="Q123" s="231">
        <v>5458</v>
      </c>
      <c r="R123" s="231">
        <v>5419.5</v>
      </c>
      <c r="S123" s="228">
        <v>38.5</v>
      </c>
      <c r="T123" s="229">
        <v>7.1000000000000004E-3</v>
      </c>
      <c r="U123" s="231">
        <v>5430</v>
      </c>
      <c r="V123" s="231">
        <v>5390</v>
      </c>
      <c r="W123" s="228">
        <v>40</v>
      </c>
      <c r="X123" s="229">
        <v>7.4000000000000003E-3</v>
      </c>
      <c r="Y123" s="228">
        <v>9.5</v>
      </c>
      <c r="Z123" s="228">
        <v>9.5</v>
      </c>
      <c r="AA123" s="228">
        <v>0</v>
      </c>
      <c r="AB123" s="229">
        <v>1.6999999999999999E-3</v>
      </c>
      <c r="AC123" s="228">
        <v>9.5</v>
      </c>
      <c r="AD123" s="228">
        <v>9.5</v>
      </c>
      <c r="AE123" s="228">
        <v>0</v>
      </c>
      <c r="AF123" s="229">
        <v>1.6999999999999999E-3</v>
      </c>
      <c r="AG123" s="228">
        <v>-13.5</v>
      </c>
      <c r="AH123" s="228">
        <v>-14.5</v>
      </c>
      <c r="AI123" s="228">
        <v>1</v>
      </c>
      <c r="AJ123" s="229">
        <v>-2.5000000000000001E-3</v>
      </c>
      <c r="AK123" s="228">
        <v>-41.5</v>
      </c>
      <c r="AL123" s="228">
        <v>-44</v>
      </c>
      <c r="AM123" s="228">
        <v>2.5</v>
      </c>
      <c r="AN123" s="229">
        <v>-7.6E-3</v>
      </c>
      <c r="AO123" s="231">
        <v>5462.74</v>
      </c>
      <c r="AP123" s="231">
        <v>5444.2</v>
      </c>
      <c r="AQ123" s="228">
        <v>0</v>
      </c>
      <c r="AR123" s="230">
        <v>872100</v>
      </c>
      <c r="AS123" s="230">
        <v>638400</v>
      </c>
      <c r="AT123" s="230">
        <v>233700</v>
      </c>
      <c r="AU123" s="229">
        <v>0.36609999999999998</v>
      </c>
      <c r="AV123" s="230">
        <v>828900</v>
      </c>
      <c r="AW123" s="230">
        <v>592800</v>
      </c>
      <c r="AX123" s="230">
        <v>236100</v>
      </c>
      <c r="AY123" s="229">
        <v>0.39829999999999999</v>
      </c>
      <c r="AZ123" s="230">
        <v>42600</v>
      </c>
      <c r="BA123" s="230">
        <v>43800</v>
      </c>
      <c r="BB123" s="230">
        <v>-1200</v>
      </c>
      <c r="BC123" s="229">
        <v>-2.7400000000000001E-2</v>
      </c>
      <c r="BD123" s="228">
        <v>600</v>
      </c>
      <c r="BE123" s="230">
        <v>1800</v>
      </c>
      <c r="BF123" s="230">
        <v>-1200</v>
      </c>
      <c r="BG123" s="229">
        <v>-0.66669999999999996</v>
      </c>
      <c r="BH123" s="230">
        <v>1971450</v>
      </c>
      <c r="BI123" s="230">
        <v>1694850</v>
      </c>
      <c r="BJ123" s="230">
        <v>276600</v>
      </c>
      <c r="BK123" s="229">
        <v>0.16320000000000001</v>
      </c>
      <c r="BL123" s="230">
        <v>1067700</v>
      </c>
      <c r="BM123" s="230">
        <v>750000</v>
      </c>
      <c r="BN123" s="230">
        <v>317700</v>
      </c>
      <c r="BO123" s="229">
        <v>0.42359999999999998</v>
      </c>
      <c r="BP123" s="230">
        <v>3911250</v>
      </c>
      <c r="BQ123" s="230">
        <v>3083250</v>
      </c>
      <c r="BR123" s="230">
        <v>828000</v>
      </c>
      <c r="BS123" s="229">
        <v>0.26850000000000002</v>
      </c>
      <c r="BT123" s="230">
        <v>357971</v>
      </c>
      <c r="BU123" s="230">
        <v>219465</v>
      </c>
      <c r="BV123" s="230">
        <v>138506</v>
      </c>
      <c r="BW123" s="229">
        <v>0.63109999999999999</v>
      </c>
      <c r="BX123" s="230">
        <v>2781600</v>
      </c>
      <c r="BY123" s="230">
        <v>2690850</v>
      </c>
      <c r="BZ123" s="230">
        <v>90750</v>
      </c>
      <c r="CA123" s="229">
        <v>3.3700000000000001E-2</v>
      </c>
      <c r="CB123" s="230">
        <v>2646750</v>
      </c>
      <c r="CC123" s="230">
        <v>2573400</v>
      </c>
      <c r="CD123" s="230">
        <v>73350</v>
      </c>
      <c r="CE123" s="229">
        <v>2.8500000000000001E-2</v>
      </c>
      <c r="CF123" s="230">
        <v>130500</v>
      </c>
      <c r="CG123" s="230">
        <v>113100</v>
      </c>
      <c r="CH123" s="230">
        <v>17400</v>
      </c>
      <c r="CI123" s="229">
        <v>0.15379999999999999</v>
      </c>
      <c r="CJ123" s="230">
        <v>4350</v>
      </c>
      <c r="CK123" s="230">
        <v>4350</v>
      </c>
      <c r="CL123" s="228">
        <v>0</v>
      </c>
      <c r="CM123" s="229">
        <v>0</v>
      </c>
      <c r="CN123" s="230">
        <v>809400</v>
      </c>
      <c r="CO123" s="230">
        <v>795450</v>
      </c>
      <c r="CP123" s="230">
        <v>13950</v>
      </c>
      <c r="CQ123" s="229">
        <v>1.7500000000000002E-2</v>
      </c>
      <c r="CR123" s="230">
        <v>590400</v>
      </c>
      <c r="CS123" s="230">
        <v>574350</v>
      </c>
      <c r="CT123" s="230">
        <v>16050</v>
      </c>
      <c r="CU123" s="229">
        <v>2.7900000000000001E-2</v>
      </c>
      <c r="CV123" s="230">
        <v>4181400</v>
      </c>
      <c r="CW123" s="230">
        <v>4060650</v>
      </c>
      <c r="CX123" s="230">
        <v>120750</v>
      </c>
      <c r="CY123" s="229">
        <v>2.9700000000000001E-2</v>
      </c>
      <c r="CZ123" s="228">
        <v>30.52</v>
      </c>
      <c r="DA123" s="228">
        <v>32.25</v>
      </c>
      <c r="DB123" s="228">
        <v>-1.73</v>
      </c>
      <c r="DC123" s="228">
        <v>-1.73</v>
      </c>
      <c r="DD123" s="228">
        <v>34.01</v>
      </c>
      <c r="DE123" s="228">
        <v>34.08</v>
      </c>
      <c r="DF123" s="228">
        <v>-3.49</v>
      </c>
      <c r="DG123" s="228">
        <v>-7.0000000000000007E-2</v>
      </c>
      <c r="DH123" s="228">
        <v>29.96</v>
      </c>
      <c r="DI123" s="228">
        <v>31.59</v>
      </c>
      <c r="DJ123" s="228">
        <v>-1.63</v>
      </c>
      <c r="DK123" s="228">
        <v>-1.63</v>
      </c>
      <c r="DL123" s="228">
        <v>31.57</v>
      </c>
      <c r="DM123" s="228">
        <v>33.74</v>
      </c>
      <c r="DN123" s="228">
        <v>-2.17</v>
      </c>
      <c r="DO123" s="228">
        <v>-2.17</v>
      </c>
      <c r="DP123" s="228">
        <v>0.73</v>
      </c>
      <c r="DQ123" s="228">
        <v>0.72</v>
      </c>
      <c r="DR123" s="228">
        <v>0.01</v>
      </c>
      <c r="DS123" s="229">
        <v>1.3899999999999999E-2</v>
      </c>
      <c r="DT123" s="231">
        <v>5500</v>
      </c>
      <c r="DU123" s="231">
        <v>5100</v>
      </c>
      <c r="DV123" s="228">
        <v>0.54</v>
      </c>
      <c r="DW123" s="228">
        <v>0.44</v>
      </c>
      <c r="DX123" s="228">
        <v>0.1</v>
      </c>
      <c r="DY123" s="229">
        <v>0.2273</v>
      </c>
      <c r="DZ123" s="229">
        <v>4.8500000000000001E-2</v>
      </c>
      <c r="EA123" s="230">
        <v>117450</v>
      </c>
      <c r="EB123" s="229">
        <v>-4.1999999999999997E-3</v>
      </c>
      <c r="EC123" s="229">
        <v>4.8500000000000001E-2</v>
      </c>
      <c r="ED123" s="228">
        <v>-18.54</v>
      </c>
      <c r="EE123" s="229">
        <v>-3.3999999999999998E-3</v>
      </c>
      <c r="EF123" s="230">
        <v>182203</v>
      </c>
      <c r="EG123" s="230">
        <v>111737</v>
      </c>
      <c r="EH123" s="229">
        <v>0.63060000000000005</v>
      </c>
      <c r="EI123" s="229">
        <v>0.50900000000000001</v>
      </c>
      <c r="EJ123" s="231">
        <v>112742.96</v>
      </c>
      <c r="EK123" s="231">
        <v>56669.120000000003</v>
      </c>
      <c r="EL123" s="231">
        <v>47632.4</v>
      </c>
      <c r="EM123" s="231">
        <v>3554</v>
      </c>
      <c r="EN123" s="231">
        <v>217044.48000000001</v>
      </c>
      <c r="EO123" s="231">
        <v>170490.16</v>
      </c>
      <c r="EP123" s="231">
        <v>46554.32</v>
      </c>
      <c r="EQ123" s="229">
        <v>0.27310000000000001</v>
      </c>
      <c r="ER123" s="231">
        <v>45215</v>
      </c>
      <c r="ES123" s="231">
        <v>29589</v>
      </c>
      <c r="ET123" s="231">
        <v>152427</v>
      </c>
      <c r="EU123" s="231">
        <v>9315942</v>
      </c>
      <c r="EV123" s="231">
        <v>227232</v>
      </c>
      <c r="EW123" s="231">
        <v>219483</v>
      </c>
      <c r="EX123" s="231">
        <v>7749</v>
      </c>
      <c r="EY123" s="229">
        <v>3.5299999999999998E-2</v>
      </c>
      <c r="EZ123" s="229">
        <v>0.44879999999999998</v>
      </c>
      <c r="FA123" s="227" t="s">
        <v>555</v>
      </c>
      <c r="FB123" s="161">
        <f t="shared" si="1"/>
        <v>134850</v>
      </c>
    </row>
    <row r="124" spans="1:158" ht="17.25" hidden="1" thickBot="1" x14ac:dyDescent="0.3">
      <c r="A124" s="226">
        <v>45940</v>
      </c>
      <c r="B124" s="227" t="s">
        <v>170</v>
      </c>
      <c r="C124" s="227" t="s">
        <v>250</v>
      </c>
      <c r="D124" s="228">
        <v>425</v>
      </c>
      <c r="E124" s="231">
        <v>1969.9</v>
      </c>
      <c r="F124" s="231">
        <v>1968.2</v>
      </c>
      <c r="G124" s="228">
        <v>1.7</v>
      </c>
      <c r="H124" s="229">
        <v>8.9999999999999998E-4</v>
      </c>
      <c r="I124" s="231">
        <v>1959.3</v>
      </c>
      <c r="J124" s="231">
        <v>1957.6</v>
      </c>
      <c r="K124" s="228">
        <v>1.7</v>
      </c>
      <c r="L124" s="229">
        <v>8.9999999999999998E-4</v>
      </c>
      <c r="M124" s="231">
        <v>1969.9</v>
      </c>
      <c r="N124" s="231">
        <v>1968.2</v>
      </c>
      <c r="O124" s="228">
        <v>1.7</v>
      </c>
      <c r="P124" s="229">
        <v>8.9999999999999998E-4</v>
      </c>
      <c r="Q124" s="231">
        <v>1980.2</v>
      </c>
      <c r="R124" s="231">
        <v>1978.8</v>
      </c>
      <c r="S124" s="228">
        <v>1.4</v>
      </c>
      <c r="T124" s="229">
        <v>6.9999999999999999E-4</v>
      </c>
      <c r="U124" s="231">
        <v>1992.5</v>
      </c>
      <c r="V124" s="231">
        <v>1989</v>
      </c>
      <c r="W124" s="228">
        <v>3.5</v>
      </c>
      <c r="X124" s="229">
        <v>1.8E-3</v>
      </c>
      <c r="Y124" s="228">
        <v>10.6</v>
      </c>
      <c r="Z124" s="228">
        <v>10.6</v>
      </c>
      <c r="AA124" s="228">
        <v>0</v>
      </c>
      <c r="AB124" s="229">
        <v>5.4000000000000003E-3</v>
      </c>
      <c r="AC124" s="228">
        <v>10.6</v>
      </c>
      <c r="AD124" s="228">
        <v>10.6</v>
      </c>
      <c r="AE124" s="228">
        <v>0</v>
      </c>
      <c r="AF124" s="229">
        <v>5.4000000000000003E-3</v>
      </c>
      <c r="AG124" s="228">
        <v>20.9</v>
      </c>
      <c r="AH124" s="228">
        <v>21.2</v>
      </c>
      <c r="AI124" s="228">
        <v>-0.3</v>
      </c>
      <c r="AJ124" s="229">
        <v>1.0699999999999999E-2</v>
      </c>
      <c r="AK124" s="228">
        <v>33.200000000000003</v>
      </c>
      <c r="AL124" s="228">
        <v>31.4</v>
      </c>
      <c r="AM124" s="228">
        <v>1.8</v>
      </c>
      <c r="AN124" s="229">
        <v>1.6899999999999998E-2</v>
      </c>
      <c r="AO124" s="231">
        <v>1970.43</v>
      </c>
      <c r="AP124" s="231">
        <v>1977.49</v>
      </c>
      <c r="AQ124" s="228">
        <v>0</v>
      </c>
      <c r="AR124" s="230">
        <v>1800725</v>
      </c>
      <c r="AS124" s="230">
        <v>3459500</v>
      </c>
      <c r="AT124" s="230">
        <v>-1658775</v>
      </c>
      <c r="AU124" s="229">
        <v>-0.47949999999999998</v>
      </c>
      <c r="AV124" s="230">
        <v>1693200</v>
      </c>
      <c r="AW124" s="230">
        <v>3265275</v>
      </c>
      <c r="AX124" s="230">
        <v>-1572075</v>
      </c>
      <c r="AY124" s="229">
        <v>-0.48149999999999998</v>
      </c>
      <c r="AZ124" s="230">
        <v>91800</v>
      </c>
      <c r="BA124" s="230">
        <v>176375</v>
      </c>
      <c r="BB124" s="230">
        <v>-84575</v>
      </c>
      <c r="BC124" s="229">
        <v>-0.47949999999999998</v>
      </c>
      <c r="BD124" s="230">
        <v>15725</v>
      </c>
      <c r="BE124" s="230">
        <v>17850</v>
      </c>
      <c r="BF124" s="230">
        <v>-2125</v>
      </c>
      <c r="BG124" s="229">
        <v>-0.11899999999999999</v>
      </c>
      <c r="BH124" s="230">
        <v>7276000</v>
      </c>
      <c r="BI124" s="230">
        <v>20253375</v>
      </c>
      <c r="BJ124" s="230">
        <v>-12977375</v>
      </c>
      <c r="BK124" s="229">
        <v>-0.64080000000000004</v>
      </c>
      <c r="BL124" s="230">
        <v>2978400</v>
      </c>
      <c r="BM124" s="230">
        <v>7076675</v>
      </c>
      <c r="BN124" s="230">
        <v>-4098275</v>
      </c>
      <c r="BO124" s="229">
        <v>-0.57909999999999995</v>
      </c>
      <c r="BP124" s="230">
        <v>12055125</v>
      </c>
      <c r="BQ124" s="230">
        <v>30789550</v>
      </c>
      <c r="BR124" s="230">
        <v>-18734425</v>
      </c>
      <c r="BS124" s="229">
        <v>-0.60850000000000004</v>
      </c>
      <c r="BT124" s="230">
        <v>893640</v>
      </c>
      <c r="BU124" s="230">
        <v>2403527</v>
      </c>
      <c r="BV124" s="230">
        <v>-1509887</v>
      </c>
      <c r="BW124" s="229">
        <v>-0.62819999999999998</v>
      </c>
      <c r="BX124" s="230">
        <v>11430800</v>
      </c>
      <c r="BY124" s="230">
        <v>11292675</v>
      </c>
      <c r="BZ124" s="230">
        <v>138125</v>
      </c>
      <c r="CA124" s="229">
        <v>1.2200000000000001E-2</v>
      </c>
      <c r="CB124" s="230">
        <v>11255700</v>
      </c>
      <c r="CC124" s="230">
        <v>11125650</v>
      </c>
      <c r="CD124" s="230">
        <v>130050</v>
      </c>
      <c r="CE124" s="229">
        <v>1.17E-2</v>
      </c>
      <c r="CF124" s="230">
        <v>157675</v>
      </c>
      <c r="CG124" s="230">
        <v>150025</v>
      </c>
      <c r="CH124" s="230">
        <v>7650</v>
      </c>
      <c r="CI124" s="229">
        <v>5.0999999999999997E-2</v>
      </c>
      <c r="CJ124" s="230">
        <v>17425</v>
      </c>
      <c r="CK124" s="230">
        <v>17000</v>
      </c>
      <c r="CL124" s="228">
        <v>425</v>
      </c>
      <c r="CM124" s="229">
        <v>2.5000000000000001E-2</v>
      </c>
      <c r="CN124" s="230">
        <v>3256775</v>
      </c>
      <c r="CO124" s="230">
        <v>3396600</v>
      </c>
      <c r="CP124" s="230">
        <v>-139825</v>
      </c>
      <c r="CQ124" s="229">
        <v>-4.1200000000000001E-2</v>
      </c>
      <c r="CR124" s="230">
        <v>2203625</v>
      </c>
      <c r="CS124" s="230">
        <v>2289050</v>
      </c>
      <c r="CT124" s="230">
        <v>-85425</v>
      </c>
      <c r="CU124" s="229">
        <v>-3.73E-2</v>
      </c>
      <c r="CV124" s="230">
        <v>16891200</v>
      </c>
      <c r="CW124" s="230">
        <v>16978325</v>
      </c>
      <c r="CX124" s="230">
        <v>-87125</v>
      </c>
      <c r="CY124" s="229">
        <v>-5.1000000000000004E-3</v>
      </c>
      <c r="CZ124" s="228">
        <v>23.76</v>
      </c>
      <c r="DA124" s="228">
        <v>23.8</v>
      </c>
      <c r="DB124" s="228">
        <v>-0.04</v>
      </c>
      <c r="DC124" s="228">
        <v>-0.04</v>
      </c>
      <c r="DD124" s="228">
        <v>32.619999999999997</v>
      </c>
      <c r="DE124" s="228">
        <v>32.700000000000003</v>
      </c>
      <c r="DF124" s="228">
        <v>-8.86</v>
      </c>
      <c r="DG124" s="228">
        <v>-0.08</v>
      </c>
      <c r="DH124" s="228">
        <v>23.59</v>
      </c>
      <c r="DI124" s="228">
        <v>23.75</v>
      </c>
      <c r="DJ124" s="228">
        <v>-0.16</v>
      </c>
      <c r="DK124" s="228">
        <v>-0.16</v>
      </c>
      <c r="DL124" s="228">
        <v>24.15</v>
      </c>
      <c r="DM124" s="228">
        <v>23.94</v>
      </c>
      <c r="DN124" s="228">
        <v>0.21</v>
      </c>
      <c r="DO124" s="228">
        <v>0.21</v>
      </c>
      <c r="DP124" s="228">
        <v>0.68</v>
      </c>
      <c r="DQ124" s="228">
        <v>0.67</v>
      </c>
      <c r="DR124" s="228">
        <v>0.01</v>
      </c>
      <c r="DS124" s="229">
        <v>1.49E-2</v>
      </c>
      <c r="DT124" s="231">
        <v>2000</v>
      </c>
      <c r="DU124" s="231">
        <v>1960</v>
      </c>
      <c r="DV124" s="228">
        <v>0.41</v>
      </c>
      <c r="DW124" s="228">
        <v>0.35</v>
      </c>
      <c r="DX124" s="228">
        <v>0.06</v>
      </c>
      <c r="DY124" s="229">
        <v>0.1714</v>
      </c>
      <c r="DZ124" s="229">
        <v>1.5299999999999999E-2</v>
      </c>
      <c r="EA124" s="230">
        <v>167025</v>
      </c>
      <c r="EB124" s="229">
        <v>5.1999999999999998E-3</v>
      </c>
      <c r="EC124" s="229">
        <v>1.5299999999999999E-2</v>
      </c>
      <c r="ED124" s="228">
        <v>7.06</v>
      </c>
      <c r="EE124" s="229">
        <v>3.5999999999999999E-3</v>
      </c>
      <c r="EF124" s="230">
        <v>446395</v>
      </c>
      <c r="EG124" s="230">
        <v>777059</v>
      </c>
      <c r="EH124" s="229">
        <v>-0.42549999999999999</v>
      </c>
      <c r="EI124" s="229">
        <v>0.4995</v>
      </c>
      <c r="EJ124" s="231">
        <v>148355.64000000001</v>
      </c>
      <c r="EK124" s="231">
        <v>58089.77</v>
      </c>
      <c r="EL124" s="231">
        <v>35491.919999999998</v>
      </c>
      <c r="EM124" s="231">
        <v>3709</v>
      </c>
      <c r="EN124" s="231">
        <v>241937.33</v>
      </c>
      <c r="EO124" s="231">
        <v>620637.76</v>
      </c>
      <c r="EP124" s="231">
        <v>-378700.43</v>
      </c>
      <c r="EQ124" s="229">
        <v>-0.61019999999999996</v>
      </c>
      <c r="ER124" s="231">
        <v>66561</v>
      </c>
      <c r="ES124" s="231">
        <v>42189</v>
      </c>
      <c r="ET124" s="231">
        <v>225196</v>
      </c>
      <c r="EU124" s="231">
        <v>35341043</v>
      </c>
      <c r="EV124" s="231">
        <v>333945</v>
      </c>
      <c r="EW124" s="231">
        <v>335527</v>
      </c>
      <c r="EX124" s="231">
        <v>-1582</v>
      </c>
      <c r="EY124" s="229">
        <v>-4.7000000000000002E-3</v>
      </c>
      <c r="EZ124" s="229">
        <v>0.47789999999999999</v>
      </c>
      <c r="FA124" s="227" t="s">
        <v>555</v>
      </c>
      <c r="FB124" s="161">
        <f t="shared" si="1"/>
        <v>175100</v>
      </c>
    </row>
    <row r="125" spans="1:158" ht="17.25" hidden="1" thickBot="1" x14ac:dyDescent="0.3">
      <c r="A125" s="226">
        <v>45940</v>
      </c>
      <c r="B125" s="227" t="s">
        <v>162</v>
      </c>
      <c r="C125" s="227" t="s">
        <v>251</v>
      </c>
      <c r="D125" s="228">
        <v>200</v>
      </c>
      <c r="E125" s="231">
        <v>3473.1</v>
      </c>
      <c r="F125" s="231">
        <v>3453.2</v>
      </c>
      <c r="G125" s="228">
        <v>19.899999999999999</v>
      </c>
      <c r="H125" s="229">
        <v>5.7999999999999996E-3</v>
      </c>
      <c r="I125" s="231">
        <v>3454.9</v>
      </c>
      <c r="J125" s="231">
        <v>3442.9</v>
      </c>
      <c r="K125" s="228">
        <v>12</v>
      </c>
      <c r="L125" s="229">
        <v>3.5000000000000001E-3</v>
      </c>
      <c r="M125" s="231">
        <v>3473.1</v>
      </c>
      <c r="N125" s="231">
        <v>3453.2</v>
      </c>
      <c r="O125" s="228">
        <v>19.899999999999999</v>
      </c>
      <c r="P125" s="229">
        <v>5.7999999999999996E-3</v>
      </c>
      <c r="Q125" s="231">
        <v>3492.9</v>
      </c>
      <c r="R125" s="231">
        <v>3471.7</v>
      </c>
      <c r="S125" s="228">
        <v>21.2</v>
      </c>
      <c r="T125" s="229">
        <v>6.1000000000000004E-3</v>
      </c>
      <c r="U125" s="231">
        <v>3514.3</v>
      </c>
      <c r="V125" s="231">
        <v>3492.3</v>
      </c>
      <c r="W125" s="228">
        <v>22</v>
      </c>
      <c r="X125" s="229">
        <v>6.3E-3</v>
      </c>
      <c r="Y125" s="228">
        <v>18.2</v>
      </c>
      <c r="Z125" s="228">
        <v>10.3</v>
      </c>
      <c r="AA125" s="228">
        <v>7.9</v>
      </c>
      <c r="AB125" s="229">
        <v>5.3E-3</v>
      </c>
      <c r="AC125" s="228">
        <v>18.2</v>
      </c>
      <c r="AD125" s="228">
        <v>10.3</v>
      </c>
      <c r="AE125" s="228">
        <v>7.9</v>
      </c>
      <c r="AF125" s="229">
        <v>5.3E-3</v>
      </c>
      <c r="AG125" s="228">
        <v>38</v>
      </c>
      <c r="AH125" s="228">
        <v>28.8</v>
      </c>
      <c r="AI125" s="228">
        <v>9.1999999999999993</v>
      </c>
      <c r="AJ125" s="229">
        <v>1.0999999999999999E-2</v>
      </c>
      <c r="AK125" s="228">
        <v>59.4</v>
      </c>
      <c r="AL125" s="228">
        <v>49.4</v>
      </c>
      <c r="AM125" s="228">
        <v>10</v>
      </c>
      <c r="AN125" s="229">
        <v>1.72E-2</v>
      </c>
      <c r="AO125" s="231">
        <v>3462.14</v>
      </c>
      <c r="AP125" s="231">
        <v>3479.33</v>
      </c>
      <c r="AQ125" s="228">
        <v>0</v>
      </c>
      <c r="AR125" s="230">
        <v>1896000</v>
      </c>
      <c r="AS125" s="230">
        <v>2200200</v>
      </c>
      <c r="AT125" s="230">
        <v>-304200</v>
      </c>
      <c r="AU125" s="229">
        <v>-0.13830000000000001</v>
      </c>
      <c r="AV125" s="230">
        <v>1690000</v>
      </c>
      <c r="AW125" s="230">
        <v>2069600</v>
      </c>
      <c r="AX125" s="230">
        <v>-379600</v>
      </c>
      <c r="AY125" s="229">
        <v>-0.18340000000000001</v>
      </c>
      <c r="AZ125" s="230">
        <v>146400</v>
      </c>
      <c r="BA125" s="230">
        <v>109800</v>
      </c>
      <c r="BB125" s="230">
        <v>36600</v>
      </c>
      <c r="BC125" s="229">
        <v>0.33329999999999999</v>
      </c>
      <c r="BD125" s="230">
        <v>59600</v>
      </c>
      <c r="BE125" s="230">
        <v>20800</v>
      </c>
      <c r="BF125" s="230">
        <v>38800</v>
      </c>
      <c r="BG125" s="229">
        <v>1.8653999999999999</v>
      </c>
      <c r="BH125" s="230">
        <v>7048400</v>
      </c>
      <c r="BI125" s="230">
        <v>6585800</v>
      </c>
      <c r="BJ125" s="230">
        <v>462600</v>
      </c>
      <c r="BK125" s="229">
        <v>7.0199999999999999E-2</v>
      </c>
      <c r="BL125" s="230">
        <v>2535400</v>
      </c>
      <c r="BM125" s="230">
        <v>2973600</v>
      </c>
      <c r="BN125" s="230">
        <v>-438200</v>
      </c>
      <c r="BO125" s="229">
        <v>-0.1474</v>
      </c>
      <c r="BP125" s="230">
        <v>11479800</v>
      </c>
      <c r="BQ125" s="230">
        <v>11759600</v>
      </c>
      <c r="BR125" s="230">
        <v>-279800</v>
      </c>
      <c r="BS125" s="229">
        <v>-2.3800000000000002E-2</v>
      </c>
      <c r="BT125" s="230">
        <v>1444424</v>
      </c>
      <c r="BU125" s="230">
        <v>2279668</v>
      </c>
      <c r="BV125" s="230">
        <v>-835244</v>
      </c>
      <c r="BW125" s="229">
        <v>-0.3664</v>
      </c>
      <c r="BX125" s="230">
        <v>20408600</v>
      </c>
      <c r="BY125" s="230">
        <v>20254000</v>
      </c>
      <c r="BZ125" s="230">
        <v>154600</v>
      </c>
      <c r="CA125" s="229">
        <v>7.6E-3</v>
      </c>
      <c r="CB125" s="230">
        <v>19932200</v>
      </c>
      <c r="CC125" s="230">
        <v>19835800</v>
      </c>
      <c r="CD125" s="230">
        <v>96400</v>
      </c>
      <c r="CE125" s="229">
        <v>4.8999999999999998E-3</v>
      </c>
      <c r="CF125" s="230">
        <v>331200</v>
      </c>
      <c r="CG125" s="230">
        <v>290600</v>
      </c>
      <c r="CH125" s="230">
        <v>40600</v>
      </c>
      <c r="CI125" s="229">
        <v>0.13969999999999999</v>
      </c>
      <c r="CJ125" s="230">
        <v>145200</v>
      </c>
      <c r="CK125" s="230">
        <v>127600</v>
      </c>
      <c r="CL125" s="230">
        <v>17600</v>
      </c>
      <c r="CM125" s="229">
        <v>0.13789999999999999</v>
      </c>
      <c r="CN125" s="230">
        <v>6057200</v>
      </c>
      <c r="CO125" s="230">
        <v>5999000</v>
      </c>
      <c r="CP125" s="230">
        <v>58200</v>
      </c>
      <c r="CQ125" s="229">
        <v>9.7000000000000003E-3</v>
      </c>
      <c r="CR125" s="230">
        <v>3073000</v>
      </c>
      <c r="CS125" s="230">
        <v>3001400</v>
      </c>
      <c r="CT125" s="230">
        <v>71600</v>
      </c>
      <c r="CU125" s="229">
        <v>2.3900000000000001E-2</v>
      </c>
      <c r="CV125" s="230">
        <v>29538800</v>
      </c>
      <c r="CW125" s="230">
        <v>29254400</v>
      </c>
      <c r="CX125" s="230">
        <v>284400</v>
      </c>
      <c r="CY125" s="229">
        <v>9.7000000000000003E-3</v>
      </c>
      <c r="CZ125" s="228">
        <v>24.64</v>
      </c>
      <c r="DA125" s="228">
        <v>24.82</v>
      </c>
      <c r="DB125" s="228">
        <v>-0.18</v>
      </c>
      <c r="DC125" s="228">
        <v>-0.18</v>
      </c>
      <c r="DD125" s="228">
        <v>34.46</v>
      </c>
      <c r="DE125" s="228">
        <v>34.54</v>
      </c>
      <c r="DF125" s="228">
        <v>-9.82</v>
      </c>
      <c r="DG125" s="228">
        <v>-0.08</v>
      </c>
      <c r="DH125" s="228">
        <v>24.75</v>
      </c>
      <c r="DI125" s="228">
        <v>25.01</v>
      </c>
      <c r="DJ125" s="228">
        <v>-0.26</v>
      </c>
      <c r="DK125" s="228">
        <v>-0.26</v>
      </c>
      <c r="DL125" s="228">
        <v>24.33</v>
      </c>
      <c r="DM125" s="228">
        <v>24.41</v>
      </c>
      <c r="DN125" s="228">
        <v>-0.08</v>
      </c>
      <c r="DO125" s="228">
        <v>-0.08</v>
      </c>
      <c r="DP125" s="228">
        <v>0.51</v>
      </c>
      <c r="DQ125" s="228">
        <v>0.5</v>
      </c>
      <c r="DR125" s="228">
        <v>0.01</v>
      </c>
      <c r="DS125" s="229">
        <v>0.02</v>
      </c>
      <c r="DT125" s="231">
        <v>3600</v>
      </c>
      <c r="DU125" s="231">
        <v>3400</v>
      </c>
      <c r="DV125" s="228">
        <v>0.36</v>
      </c>
      <c r="DW125" s="228">
        <v>0.45</v>
      </c>
      <c r="DX125" s="228">
        <v>-0.09</v>
      </c>
      <c r="DY125" s="229">
        <v>-0.2</v>
      </c>
      <c r="DZ125" s="229">
        <v>2.3300000000000001E-2</v>
      </c>
      <c r="EA125" s="230">
        <v>418200</v>
      </c>
      <c r="EB125" s="229">
        <v>5.7000000000000002E-3</v>
      </c>
      <c r="EC125" s="229">
        <v>2.3300000000000001E-2</v>
      </c>
      <c r="ED125" s="228">
        <v>17.190000000000001</v>
      </c>
      <c r="EE125" s="229">
        <v>5.0000000000000001E-3</v>
      </c>
      <c r="EF125" s="230">
        <v>741095</v>
      </c>
      <c r="EG125" s="230">
        <v>1081984</v>
      </c>
      <c r="EH125" s="229">
        <v>-0.31509999999999999</v>
      </c>
      <c r="EI125" s="229">
        <v>0.5131</v>
      </c>
      <c r="EJ125" s="231">
        <v>254147.91</v>
      </c>
      <c r="EK125" s="231">
        <v>86914.16</v>
      </c>
      <c r="EL125" s="231">
        <v>65694.16</v>
      </c>
      <c r="EM125" s="231">
        <v>10066</v>
      </c>
      <c r="EN125" s="231">
        <v>406756.23</v>
      </c>
      <c r="EO125" s="231">
        <v>416045.5</v>
      </c>
      <c r="EP125" s="231">
        <v>-9289.27</v>
      </c>
      <c r="EQ125" s="229">
        <v>-2.23E-2</v>
      </c>
      <c r="ER125" s="231">
        <v>220547</v>
      </c>
      <c r="ES125" s="231">
        <v>103550</v>
      </c>
      <c r="ET125" s="231">
        <v>708936</v>
      </c>
      <c r="EU125" s="231">
        <v>100261459</v>
      </c>
      <c r="EV125" s="231">
        <v>1033034</v>
      </c>
      <c r="EW125" s="231">
        <v>1019076</v>
      </c>
      <c r="EX125" s="231">
        <v>13958</v>
      </c>
      <c r="EY125" s="229">
        <v>1.37E-2</v>
      </c>
      <c r="EZ125" s="229">
        <v>0.29459999999999997</v>
      </c>
      <c r="FA125" s="227" t="s">
        <v>555</v>
      </c>
      <c r="FB125" s="161">
        <f t="shared" si="1"/>
        <v>476400</v>
      </c>
    </row>
    <row r="126" spans="1:158" ht="17.25" hidden="1" thickBot="1" x14ac:dyDescent="0.3">
      <c r="A126" s="226">
        <v>45940</v>
      </c>
      <c r="B126" s="227" t="s">
        <v>175</v>
      </c>
      <c r="C126" s="227" t="s">
        <v>253</v>
      </c>
      <c r="D126" s="228">
        <v>3000</v>
      </c>
      <c r="E126" s="228">
        <v>286.39999999999998</v>
      </c>
      <c r="F126" s="228">
        <v>295.10000000000002</v>
      </c>
      <c r="G126" s="228">
        <v>-8.6999999999999993</v>
      </c>
      <c r="H126" s="229">
        <v>-2.9499999999999998E-2</v>
      </c>
      <c r="I126" s="228">
        <v>284.75</v>
      </c>
      <c r="J126" s="228">
        <v>294.25</v>
      </c>
      <c r="K126" s="228">
        <v>-9.5</v>
      </c>
      <c r="L126" s="229">
        <v>-3.2300000000000002E-2</v>
      </c>
      <c r="M126" s="228">
        <v>286.39999999999998</v>
      </c>
      <c r="N126" s="228">
        <v>295.10000000000002</v>
      </c>
      <c r="O126" s="228">
        <v>-8.6999999999999993</v>
      </c>
      <c r="P126" s="229">
        <v>-2.9499999999999998E-2</v>
      </c>
      <c r="Q126" s="228">
        <v>287.25</v>
      </c>
      <c r="R126" s="228">
        <v>295.55</v>
      </c>
      <c r="S126" s="228">
        <v>-8.3000000000000007</v>
      </c>
      <c r="T126" s="229">
        <v>-2.81E-2</v>
      </c>
      <c r="U126" s="228">
        <v>288.75</v>
      </c>
      <c r="V126" s="228">
        <v>296.55</v>
      </c>
      <c r="W126" s="228">
        <v>-7.8</v>
      </c>
      <c r="X126" s="229">
        <v>-2.63E-2</v>
      </c>
      <c r="Y126" s="228">
        <v>1.65</v>
      </c>
      <c r="Z126" s="228">
        <v>0.85</v>
      </c>
      <c r="AA126" s="228">
        <v>0.8</v>
      </c>
      <c r="AB126" s="229">
        <v>5.7999999999999996E-3</v>
      </c>
      <c r="AC126" s="228">
        <v>1.65</v>
      </c>
      <c r="AD126" s="228">
        <v>0.85</v>
      </c>
      <c r="AE126" s="228">
        <v>0.8</v>
      </c>
      <c r="AF126" s="229">
        <v>5.7999999999999996E-3</v>
      </c>
      <c r="AG126" s="228">
        <v>2.5</v>
      </c>
      <c r="AH126" s="228">
        <v>1.3</v>
      </c>
      <c r="AI126" s="228">
        <v>1.2</v>
      </c>
      <c r="AJ126" s="229">
        <v>8.8000000000000005E-3</v>
      </c>
      <c r="AK126" s="228">
        <v>4</v>
      </c>
      <c r="AL126" s="228">
        <v>2.2999999999999998</v>
      </c>
      <c r="AM126" s="228">
        <v>1.7</v>
      </c>
      <c r="AN126" s="229">
        <v>1.4E-2</v>
      </c>
      <c r="AO126" s="228">
        <v>286.87</v>
      </c>
      <c r="AP126" s="228">
        <v>288.02</v>
      </c>
      <c r="AQ126" s="228">
        <v>0</v>
      </c>
      <c r="AR126" s="230">
        <v>12132000</v>
      </c>
      <c r="AS126" s="230">
        <v>3681000</v>
      </c>
      <c r="AT126" s="230">
        <v>8451000</v>
      </c>
      <c r="AU126" s="229">
        <v>2.2957999999999998</v>
      </c>
      <c r="AV126" s="230">
        <v>11028000</v>
      </c>
      <c r="AW126" s="230">
        <v>3393000</v>
      </c>
      <c r="AX126" s="230">
        <v>7635000</v>
      </c>
      <c r="AY126" s="229">
        <v>2.2502</v>
      </c>
      <c r="AZ126" s="230">
        <v>1038000</v>
      </c>
      <c r="BA126" s="230">
        <v>264000</v>
      </c>
      <c r="BB126" s="230">
        <v>774000</v>
      </c>
      <c r="BC126" s="229">
        <v>2.9318</v>
      </c>
      <c r="BD126" s="230">
        <v>66000</v>
      </c>
      <c r="BE126" s="230">
        <v>24000</v>
      </c>
      <c r="BF126" s="230">
        <v>42000</v>
      </c>
      <c r="BG126" s="229">
        <v>1.75</v>
      </c>
      <c r="BH126" s="230">
        <v>25467000</v>
      </c>
      <c r="BI126" s="230">
        <v>9666000</v>
      </c>
      <c r="BJ126" s="230">
        <v>15801000</v>
      </c>
      <c r="BK126" s="229">
        <v>1.6347</v>
      </c>
      <c r="BL126" s="230">
        <v>12684000</v>
      </c>
      <c r="BM126" s="230">
        <v>5109000</v>
      </c>
      <c r="BN126" s="230">
        <v>7575000</v>
      </c>
      <c r="BO126" s="229">
        <v>1.4826999999999999</v>
      </c>
      <c r="BP126" s="230">
        <v>50283000</v>
      </c>
      <c r="BQ126" s="230">
        <v>18456000</v>
      </c>
      <c r="BR126" s="230">
        <v>31827000</v>
      </c>
      <c r="BS126" s="229">
        <v>1.7244999999999999</v>
      </c>
      <c r="BT126" s="230">
        <v>5292723</v>
      </c>
      <c r="BU126" s="230">
        <v>2231715</v>
      </c>
      <c r="BV126" s="230">
        <v>3061008</v>
      </c>
      <c r="BW126" s="229">
        <v>1.3715999999999999</v>
      </c>
      <c r="BX126" s="230">
        <v>29196000</v>
      </c>
      <c r="BY126" s="230">
        <v>27099000</v>
      </c>
      <c r="BZ126" s="230">
        <v>2097000</v>
      </c>
      <c r="CA126" s="229">
        <v>7.7399999999999997E-2</v>
      </c>
      <c r="CB126" s="230">
        <v>28038000</v>
      </c>
      <c r="CC126" s="230">
        <v>26367000</v>
      </c>
      <c r="CD126" s="230">
        <v>1671000</v>
      </c>
      <c r="CE126" s="229">
        <v>6.3399999999999998E-2</v>
      </c>
      <c r="CF126" s="230">
        <v>1032000</v>
      </c>
      <c r="CG126" s="230">
        <v>651000</v>
      </c>
      <c r="CH126" s="230">
        <v>381000</v>
      </c>
      <c r="CI126" s="229">
        <v>0.58530000000000004</v>
      </c>
      <c r="CJ126" s="230">
        <v>126000</v>
      </c>
      <c r="CK126" s="230">
        <v>81000</v>
      </c>
      <c r="CL126" s="230">
        <v>45000</v>
      </c>
      <c r="CM126" s="229">
        <v>0.55559999999999998</v>
      </c>
      <c r="CN126" s="230">
        <v>12510000</v>
      </c>
      <c r="CO126" s="230">
        <v>9975000</v>
      </c>
      <c r="CP126" s="230">
        <v>2535000</v>
      </c>
      <c r="CQ126" s="229">
        <v>0.25409999999999999</v>
      </c>
      <c r="CR126" s="230">
        <v>7860000</v>
      </c>
      <c r="CS126" s="230">
        <v>6306000</v>
      </c>
      <c r="CT126" s="230">
        <v>1554000</v>
      </c>
      <c r="CU126" s="229">
        <v>0.24640000000000001</v>
      </c>
      <c r="CV126" s="230">
        <v>49566000</v>
      </c>
      <c r="CW126" s="230">
        <v>43380000</v>
      </c>
      <c r="CX126" s="230">
        <v>6186000</v>
      </c>
      <c r="CY126" s="229">
        <v>0.1426</v>
      </c>
      <c r="CZ126" s="228">
        <v>29.67</v>
      </c>
      <c r="DA126" s="228">
        <v>30.02</v>
      </c>
      <c r="DB126" s="228">
        <v>-0.35</v>
      </c>
      <c r="DC126" s="228">
        <v>-0.35</v>
      </c>
      <c r="DD126" s="228">
        <v>43.58</v>
      </c>
      <c r="DE126" s="228">
        <v>43.47</v>
      </c>
      <c r="DF126" s="228">
        <v>-13.91</v>
      </c>
      <c r="DG126" s="228">
        <v>0.11</v>
      </c>
      <c r="DH126" s="228">
        <v>29.86</v>
      </c>
      <c r="DI126" s="228">
        <v>29.98</v>
      </c>
      <c r="DJ126" s="228">
        <v>-0.12</v>
      </c>
      <c r="DK126" s="228">
        <v>-0.12</v>
      </c>
      <c r="DL126" s="228">
        <v>29.28</v>
      </c>
      <c r="DM126" s="228">
        <v>30.12</v>
      </c>
      <c r="DN126" s="228">
        <v>-0.84</v>
      </c>
      <c r="DO126" s="228">
        <v>-0.84</v>
      </c>
      <c r="DP126" s="228">
        <v>0.63</v>
      </c>
      <c r="DQ126" s="228">
        <v>0.63</v>
      </c>
      <c r="DR126" s="228">
        <v>0</v>
      </c>
      <c r="DS126" s="229">
        <v>0</v>
      </c>
      <c r="DT126" s="228">
        <v>300</v>
      </c>
      <c r="DU126" s="228">
        <v>280</v>
      </c>
      <c r="DV126" s="228">
        <v>0.5</v>
      </c>
      <c r="DW126" s="228">
        <v>0.53</v>
      </c>
      <c r="DX126" s="228">
        <v>-0.03</v>
      </c>
      <c r="DY126" s="229">
        <v>-5.6599999999999998E-2</v>
      </c>
      <c r="DZ126" s="229">
        <v>3.9699999999999999E-2</v>
      </c>
      <c r="EA126" s="230">
        <v>732000</v>
      </c>
      <c r="EB126" s="229">
        <v>3.0000000000000001E-3</v>
      </c>
      <c r="EC126" s="229">
        <v>3.9699999999999999E-2</v>
      </c>
      <c r="ED126" s="228">
        <v>1.1499999999999999</v>
      </c>
      <c r="EE126" s="229">
        <v>4.0000000000000001E-3</v>
      </c>
      <c r="EF126" s="230">
        <v>2184306</v>
      </c>
      <c r="EG126" s="230">
        <v>1030766</v>
      </c>
      <c r="EH126" s="229">
        <v>1.1191</v>
      </c>
      <c r="EI126" s="229">
        <v>0.41270000000000001</v>
      </c>
      <c r="EJ126" s="231">
        <v>76631.94</v>
      </c>
      <c r="EK126" s="231">
        <v>36342.76</v>
      </c>
      <c r="EL126" s="231">
        <v>34816.129999999997</v>
      </c>
      <c r="EM126" s="231">
        <v>1391</v>
      </c>
      <c r="EN126" s="231">
        <v>147790.82999999999</v>
      </c>
      <c r="EO126" s="231">
        <v>55346.16</v>
      </c>
      <c r="EP126" s="231">
        <v>92444.67</v>
      </c>
      <c r="EQ126" s="229">
        <v>1.6702999999999999</v>
      </c>
      <c r="ER126" s="231">
        <v>37501</v>
      </c>
      <c r="ES126" s="231">
        <v>21642</v>
      </c>
      <c r="ET126" s="231">
        <v>83629</v>
      </c>
      <c r="EU126" s="231">
        <v>82205057</v>
      </c>
      <c r="EV126" s="231">
        <v>142773</v>
      </c>
      <c r="EW126" s="231">
        <v>127442</v>
      </c>
      <c r="EX126" s="231">
        <v>15331</v>
      </c>
      <c r="EY126" s="229">
        <v>0.1203</v>
      </c>
      <c r="EZ126" s="229">
        <v>0.60299999999999998</v>
      </c>
      <c r="FA126" s="227" t="s">
        <v>567</v>
      </c>
      <c r="FB126" s="161">
        <f t="shared" si="1"/>
        <v>1158000</v>
      </c>
    </row>
    <row r="127" spans="1:158" ht="17.25" hidden="1" thickBot="1" x14ac:dyDescent="0.3">
      <c r="A127" s="226">
        <v>45940</v>
      </c>
      <c r="B127" s="227" t="s">
        <v>170</v>
      </c>
      <c r="C127" s="227" t="s">
        <v>674</v>
      </c>
      <c r="D127" s="228">
        <v>225</v>
      </c>
      <c r="E127" s="231">
        <v>2465</v>
      </c>
      <c r="F127" s="231">
        <v>2483.5</v>
      </c>
      <c r="G127" s="228">
        <v>-18.5</v>
      </c>
      <c r="H127" s="229">
        <v>-7.4000000000000003E-3</v>
      </c>
      <c r="I127" s="231">
        <v>2459.9</v>
      </c>
      <c r="J127" s="231">
        <v>2479.4</v>
      </c>
      <c r="K127" s="228">
        <v>-19.5</v>
      </c>
      <c r="L127" s="229">
        <v>-7.9000000000000008E-3</v>
      </c>
      <c r="M127" s="231">
        <v>2465</v>
      </c>
      <c r="N127" s="231">
        <v>2483.5</v>
      </c>
      <c r="O127" s="228">
        <v>-18.5</v>
      </c>
      <c r="P127" s="229">
        <v>-7.4000000000000003E-3</v>
      </c>
      <c r="Q127" s="231">
        <v>2477.8000000000002</v>
      </c>
      <c r="R127" s="231">
        <v>2498.1999999999998</v>
      </c>
      <c r="S127" s="228">
        <v>-20.399999999999999</v>
      </c>
      <c r="T127" s="229">
        <v>-8.2000000000000007E-3</v>
      </c>
      <c r="U127" s="231">
        <v>2493.8000000000002</v>
      </c>
      <c r="V127" s="231">
        <v>2506.9</v>
      </c>
      <c r="W127" s="228">
        <v>-13.1</v>
      </c>
      <c r="X127" s="229">
        <v>-5.1999999999999998E-3</v>
      </c>
      <c r="Y127" s="228">
        <v>5.0999999999999996</v>
      </c>
      <c r="Z127" s="228">
        <v>4.0999999999999996</v>
      </c>
      <c r="AA127" s="228">
        <v>1</v>
      </c>
      <c r="AB127" s="229">
        <v>2.0999999999999999E-3</v>
      </c>
      <c r="AC127" s="228">
        <v>5.0999999999999996</v>
      </c>
      <c r="AD127" s="228">
        <v>4.0999999999999996</v>
      </c>
      <c r="AE127" s="228">
        <v>1</v>
      </c>
      <c r="AF127" s="229">
        <v>2.0999999999999999E-3</v>
      </c>
      <c r="AG127" s="228">
        <v>17.899999999999999</v>
      </c>
      <c r="AH127" s="228">
        <v>18.8</v>
      </c>
      <c r="AI127" s="228">
        <v>-0.9</v>
      </c>
      <c r="AJ127" s="229">
        <v>7.3000000000000001E-3</v>
      </c>
      <c r="AK127" s="228">
        <v>33.9</v>
      </c>
      <c r="AL127" s="228">
        <v>27.5</v>
      </c>
      <c r="AM127" s="228">
        <v>6.4</v>
      </c>
      <c r="AN127" s="229">
        <v>1.38E-2</v>
      </c>
      <c r="AO127" s="231">
        <v>2482.14</v>
      </c>
      <c r="AP127" s="231">
        <v>2495.7399999999998</v>
      </c>
      <c r="AQ127" s="228">
        <v>0</v>
      </c>
      <c r="AR127" s="230">
        <v>335025</v>
      </c>
      <c r="AS127" s="230">
        <v>296550</v>
      </c>
      <c r="AT127" s="230">
        <v>38475</v>
      </c>
      <c r="AU127" s="229">
        <v>0.12970000000000001</v>
      </c>
      <c r="AV127" s="230">
        <v>314100</v>
      </c>
      <c r="AW127" s="230">
        <v>281475</v>
      </c>
      <c r="AX127" s="230">
        <v>32625</v>
      </c>
      <c r="AY127" s="229">
        <v>0.1159</v>
      </c>
      <c r="AZ127" s="230">
        <v>19125</v>
      </c>
      <c r="BA127" s="230">
        <v>14175</v>
      </c>
      <c r="BB127" s="230">
        <v>4950</v>
      </c>
      <c r="BC127" s="229">
        <v>0.34920000000000001</v>
      </c>
      <c r="BD127" s="230">
        <v>1800</v>
      </c>
      <c r="BE127" s="228">
        <v>900</v>
      </c>
      <c r="BF127" s="228">
        <v>900</v>
      </c>
      <c r="BG127" s="229">
        <v>1</v>
      </c>
      <c r="BH127" s="230">
        <v>914625</v>
      </c>
      <c r="BI127" s="230">
        <v>512550</v>
      </c>
      <c r="BJ127" s="230">
        <v>402075</v>
      </c>
      <c r="BK127" s="229">
        <v>0.78449999999999998</v>
      </c>
      <c r="BL127" s="230">
        <v>180000</v>
      </c>
      <c r="BM127" s="230">
        <v>140850</v>
      </c>
      <c r="BN127" s="230">
        <v>39150</v>
      </c>
      <c r="BO127" s="229">
        <v>0.27800000000000002</v>
      </c>
      <c r="BP127" s="230">
        <v>1429650</v>
      </c>
      <c r="BQ127" s="230">
        <v>949950</v>
      </c>
      <c r="BR127" s="230">
        <v>479700</v>
      </c>
      <c r="BS127" s="229">
        <v>0.505</v>
      </c>
      <c r="BT127" s="230">
        <v>140372</v>
      </c>
      <c r="BU127" s="230">
        <v>138727</v>
      </c>
      <c r="BV127" s="230">
        <v>1645</v>
      </c>
      <c r="BW127" s="229">
        <v>1.1900000000000001E-2</v>
      </c>
      <c r="BX127" s="230">
        <v>1678725</v>
      </c>
      <c r="BY127" s="230">
        <v>1631700</v>
      </c>
      <c r="BZ127" s="230">
        <v>47025</v>
      </c>
      <c r="CA127" s="229">
        <v>2.8799999999999999E-2</v>
      </c>
      <c r="CB127" s="230">
        <v>1623375</v>
      </c>
      <c r="CC127" s="230">
        <v>1584450</v>
      </c>
      <c r="CD127" s="230">
        <v>38925</v>
      </c>
      <c r="CE127" s="229">
        <v>2.46E-2</v>
      </c>
      <c r="CF127" s="230">
        <v>50175</v>
      </c>
      <c r="CG127" s="230">
        <v>43425</v>
      </c>
      <c r="CH127" s="230">
        <v>6750</v>
      </c>
      <c r="CI127" s="229">
        <v>0.15540000000000001</v>
      </c>
      <c r="CJ127" s="230">
        <v>5175</v>
      </c>
      <c r="CK127" s="230">
        <v>3825</v>
      </c>
      <c r="CL127" s="230">
        <v>1350</v>
      </c>
      <c r="CM127" s="229">
        <v>0.35289999999999999</v>
      </c>
      <c r="CN127" s="230">
        <v>702675</v>
      </c>
      <c r="CO127" s="230">
        <v>606600</v>
      </c>
      <c r="CP127" s="230">
        <v>96075</v>
      </c>
      <c r="CQ127" s="229">
        <v>0.15840000000000001</v>
      </c>
      <c r="CR127" s="230">
        <v>346500</v>
      </c>
      <c r="CS127" s="230">
        <v>339975</v>
      </c>
      <c r="CT127" s="230">
        <v>6525</v>
      </c>
      <c r="CU127" s="229">
        <v>1.9199999999999998E-2</v>
      </c>
      <c r="CV127" s="230">
        <v>2727900</v>
      </c>
      <c r="CW127" s="230">
        <v>2578275</v>
      </c>
      <c r="CX127" s="230">
        <v>149625</v>
      </c>
      <c r="CY127" s="229">
        <v>5.8000000000000003E-2</v>
      </c>
      <c r="CZ127" s="228">
        <v>30.56</v>
      </c>
      <c r="DA127" s="228">
        <v>29.44</v>
      </c>
      <c r="DB127" s="228">
        <v>1.1200000000000001</v>
      </c>
      <c r="DC127" s="228">
        <v>1.1200000000000001</v>
      </c>
      <c r="DD127" s="228">
        <v>34.770000000000003</v>
      </c>
      <c r="DE127" s="228">
        <v>34.840000000000003</v>
      </c>
      <c r="DF127" s="228">
        <v>-4.21</v>
      </c>
      <c r="DG127" s="228">
        <v>-7.0000000000000007E-2</v>
      </c>
      <c r="DH127" s="228">
        <v>30.89</v>
      </c>
      <c r="DI127" s="228">
        <v>29.75</v>
      </c>
      <c r="DJ127" s="228">
        <v>1.1399999999999999</v>
      </c>
      <c r="DK127" s="228">
        <v>1.1399999999999999</v>
      </c>
      <c r="DL127" s="228">
        <v>28.91</v>
      </c>
      <c r="DM127" s="228">
        <v>28.3</v>
      </c>
      <c r="DN127" s="228">
        <v>0.61</v>
      </c>
      <c r="DO127" s="228">
        <v>0.61</v>
      </c>
      <c r="DP127" s="228">
        <v>0.49</v>
      </c>
      <c r="DQ127" s="228">
        <v>0.56000000000000005</v>
      </c>
      <c r="DR127" s="228">
        <v>-7.0000000000000007E-2</v>
      </c>
      <c r="DS127" s="229">
        <v>-0.125</v>
      </c>
      <c r="DT127" s="231">
        <v>2600</v>
      </c>
      <c r="DU127" s="231">
        <v>2400</v>
      </c>
      <c r="DV127" s="228">
        <v>0.2</v>
      </c>
      <c r="DW127" s="228">
        <v>0.27</v>
      </c>
      <c r="DX127" s="228">
        <v>-7.0000000000000007E-2</v>
      </c>
      <c r="DY127" s="229">
        <v>-0.25929999999999997</v>
      </c>
      <c r="DZ127" s="229">
        <v>3.3000000000000002E-2</v>
      </c>
      <c r="EA127" s="230">
        <v>47250</v>
      </c>
      <c r="EB127" s="229">
        <v>5.1999999999999998E-3</v>
      </c>
      <c r="EC127" s="229">
        <v>3.3000000000000002E-2</v>
      </c>
      <c r="ED127" s="228">
        <v>13.6</v>
      </c>
      <c r="EE127" s="229">
        <v>5.4999999999999997E-3</v>
      </c>
      <c r="EF127" s="230">
        <v>73589</v>
      </c>
      <c r="EG127" s="230">
        <v>61069</v>
      </c>
      <c r="EH127" s="229">
        <v>0.20499999999999999</v>
      </c>
      <c r="EI127" s="229">
        <v>0.5242</v>
      </c>
      <c r="EJ127" s="231">
        <v>23941.279999999999</v>
      </c>
      <c r="EK127" s="231">
        <v>4308.09</v>
      </c>
      <c r="EL127" s="231">
        <v>8319.0300000000007</v>
      </c>
      <c r="EM127" s="231">
        <v>1656</v>
      </c>
      <c r="EN127" s="231">
        <v>36568.400000000001</v>
      </c>
      <c r="EO127" s="231">
        <v>24258.33</v>
      </c>
      <c r="EP127" s="231">
        <v>12310.07</v>
      </c>
      <c r="EQ127" s="229">
        <v>0.50749999999999995</v>
      </c>
      <c r="ER127" s="231">
        <v>18483</v>
      </c>
      <c r="ES127" s="231">
        <v>8306</v>
      </c>
      <c r="ET127" s="231">
        <v>41388</v>
      </c>
      <c r="EU127" s="231">
        <v>16915220</v>
      </c>
      <c r="EV127" s="231">
        <v>68177</v>
      </c>
      <c r="EW127" s="231">
        <v>64736</v>
      </c>
      <c r="EX127" s="231">
        <v>3441</v>
      </c>
      <c r="EY127" s="229">
        <v>5.3199999999999997E-2</v>
      </c>
      <c r="EZ127" s="229">
        <v>0.1613</v>
      </c>
      <c r="FA127" s="227" t="s">
        <v>567</v>
      </c>
      <c r="FB127" s="161">
        <f t="shared" si="1"/>
        <v>55350</v>
      </c>
    </row>
    <row r="128" spans="1:158" ht="17.25" hidden="1" thickBot="1" x14ac:dyDescent="0.3">
      <c r="A128" s="226">
        <v>45940</v>
      </c>
      <c r="B128" s="227" t="s">
        <v>168</v>
      </c>
      <c r="C128" s="227" t="s">
        <v>254</v>
      </c>
      <c r="D128" s="228">
        <v>1200</v>
      </c>
      <c r="E128" s="228">
        <v>718.15</v>
      </c>
      <c r="F128" s="228">
        <v>718.25</v>
      </c>
      <c r="G128" s="228">
        <v>-0.1</v>
      </c>
      <c r="H128" s="229">
        <v>-1E-4</v>
      </c>
      <c r="I128" s="228">
        <v>714.3</v>
      </c>
      <c r="J128" s="228">
        <v>715.85</v>
      </c>
      <c r="K128" s="228">
        <v>-1.55</v>
      </c>
      <c r="L128" s="229">
        <v>-2.2000000000000001E-3</v>
      </c>
      <c r="M128" s="228">
        <v>718.15</v>
      </c>
      <c r="N128" s="228">
        <v>718.25</v>
      </c>
      <c r="O128" s="228">
        <v>-0.1</v>
      </c>
      <c r="P128" s="229">
        <v>-1E-4</v>
      </c>
      <c r="Q128" s="228">
        <v>720.7</v>
      </c>
      <c r="R128" s="228">
        <v>719.95</v>
      </c>
      <c r="S128" s="228">
        <v>0.75</v>
      </c>
      <c r="T128" s="229">
        <v>1E-3</v>
      </c>
      <c r="U128" s="228">
        <v>720.55</v>
      </c>
      <c r="V128" s="228">
        <v>712.5</v>
      </c>
      <c r="W128" s="228">
        <v>8.0500000000000007</v>
      </c>
      <c r="X128" s="229">
        <v>1.1299999999999999E-2</v>
      </c>
      <c r="Y128" s="228">
        <v>3.85</v>
      </c>
      <c r="Z128" s="228">
        <v>2.4</v>
      </c>
      <c r="AA128" s="228">
        <v>1.45</v>
      </c>
      <c r="AB128" s="229">
        <v>5.4000000000000003E-3</v>
      </c>
      <c r="AC128" s="228">
        <v>3.85</v>
      </c>
      <c r="AD128" s="228">
        <v>2.4</v>
      </c>
      <c r="AE128" s="228">
        <v>1.45</v>
      </c>
      <c r="AF128" s="229">
        <v>5.4000000000000003E-3</v>
      </c>
      <c r="AG128" s="228">
        <v>6.4</v>
      </c>
      <c r="AH128" s="228">
        <v>4.0999999999999996</v>
      </c>
      <c r="AI128" s="228">
        <v>2.2999999999999998</v>
      </c>
      <c r="AJ128" s="229">
        <v>8.9999999999999993E-3</v>
      </c>
      <c r="AK128" s="228">
        <v>6.25</v>
      </c>
      <c r="AL128" s="228">
        <v>-3.35</v>
      </c>
      <c r="AM128" s="228">
        <v>9.6</v>
      </c>
      <c r="AN128" s="229">
        <v>8.6999999999999994E-3</v>
      </c>
      <c r="AO128" s="228">
        <v>718.9</v>
      </c>
      <c r="AP128" s="228">
        <v>721.4</v>
      </c>
      <c r="AQ128" s="228">
        <v>0</v>
      </c>
      <c r="AR128" s="230">
        <v>1693200</v>
      </c>
      <c r="AS128" s="230">
        <v>2168400</v>
      </c>
      <c r="AT128" s="230">
        <v>-475200</v>
      </c>
      <c r="AU128" s="229">
        <v>-0.21909999999999999</v>
      </c>
      <c r="AV128" s="230">
        <v>1665600</v>
      </c>
      <c r="AW128" s="230">
        <v>2139600</v>
      </c>
      <c r="AX128" s="230">
        <v>-474000</v>
      </c>
      <c r="AY128" s="229">
        <v>-0.2215</v>
      </c>
      <c r="AZ128" s="230">
        <v>26400</v>
      </c>
      <c r="BA128" s="230">
        <v>27600</v>
      </c>
      <c r="BB128" s="230">
        <v>-1200</v>
      </c>
      <c r="BC128" s="229">
        <v>-4.3499999999999997E-2</v>
      </c>
      <c r="BD128" s="230">
        <v>1200</v>
      </c>
      <c r="BE128" s="230">
        <v>1200</v>
      </c>
      <c r="BF128" s="228">
        <v>0</v>
      </c>
      <c r="BG128" s="229">
        <v>0</v>
      </c>
      <c r="BH128" s="230">
        <v>2472000</v>
      </c>
      <c r="BI128" s="230">
        <v>3574800</v>
      </c>
      <c r="BJ128" s="230">
        <v>-1102800</v>
      </c>
      <c r="BK128" s="229">
        <v>-0.3085</v>
      </c>
      <c r="BL128" s="230">
        <v>1144800</v>
      </c>
      <c r="BM128" s="230">
        <v>1558800</v>
      </c>
      <c r="BN128" s="230">
        <v>-414000</v>
      </c>
      <c r="BO128" s="229">
        <v>-0.2656</v>
      </c>
      <c r="BP128" s="230">
        <v>5310000</v>
      </c>
      <c r="BQ128" s="230">
        <v>7302000</v>
      </c>
      <c r="BR128" s="230">
        <v>-1992000</v>
      </c>
      <c r="BS128" s="229">
        <v>-0.27279999999999999</v>
      </c>
      <c r="BT128" s="230">
        <v>1441552</v>
      </c>
      <c r="BU128" s="230">
        <v>1832935</v>
      </c>
      <c r="BV128" s="230">
        <v>-391383</v>
      </c>
      <c r="BW128" s="229">
        <v>-0.2135</v>
      </c>
      <c r="BX128" s="230">
        <v>28130400</v>
      </c>
      <c r="BY128" s="230">
        <v>28542000</v>
      </c>
      <c r="BZ128" s="230">
        <v>-411600</v>
      </c>
      <c r="CA128" s="229">
        <v>-1.44E-2</v>
      </c>
      <c r="CB128" s="230">
        <v>28003200</v>
      </c>
      <c r="CC128" s="230">
        <v>28420800</v>
      </c>
      <c r="CD128" s="230">
        <v>-417600</v>
      </c>
      <c r="CE128" s="229">
        <v>-1.47E-2</v>
      </c>
      <c r="CF128" s="230">
        <v>121200</v>
      </c>
      <c r="CG128" s="230">
        <v>115200</v>
      </c>
      <c r="CH128" s="230">
        <v>6000</v>
      </c>
      <c r="CI128" s="229">
        <v>5.21E-2</v>
      </c>
      <c r="CJ128" s="230">
        <v>6000</v>
      </c>
      <c r="CK128" s="230">
        <v>6000</v>
      </c>
      <c r="CL128" s="228">
        <v>0</v>
      </c>
      <c r="CM128" s="229">
        <v>0</v>
      </c>
      <c r="CN128" s="230">
        <v>3433200</v>
      </c>
      <c r="CO128" s="230">
        <v>3349200</v>
      </c>
      <c r="CP128" s="230">
        <v>84000</v>
      </c>
      <c r="CQ128" s="229">
        <v>2.5100000000000001E-2</v>
      </c>
      <c r="CR128" s="230">
        <v>2260800</v>
      </c>
      <c r="CS128" s="230">
        <v>2272800</v>
      </c>
      <c r="CT128" s="230">
        <v>-12000</v>
      </c>
      <c r="CU128" s="229">
        <v>-5.3E-3</v>
      </c>
      <c r="CV128" s="230">
        <v>33824400</v>
      </c>
      <c r="CW128" s="230">
        <v>34164000</v>
      </c>
      <c r="CX128" s="230">
        <v>-339600</v>
      </c>
      <c r="CY128" s="229">
        <v>-9.9000000000000008E-3</v>
      </c>
      <c r="CZ128" s="228">
        <v>18.600000000000001</v>
      </c>
      <c r="DA128" s="228">
        <v>19.5</v>
      </c>
      <c r="DB128" s="228">
        <v>-0.9</v>
      </c>
      <c r="DC128" s="228">
        <v>-0.9</v>
      </c>
      <c r="DD128" s="228">
        <v>25.92</v>
      </c>
      <c r="DE128" s="228">
        <v>25.98</v>
      </c>
      <c r="DF128" s="228">
        <v>-7.32</v>
      </c>
      <c r="DG128" s="228">
        <v>-0.06</v>
      </c>
      <c r="DH128" s="228">
        <v>18.399999999999999</v>
      </c>
      <c r="DI128" s="228">
        <v>19.489999999999998</v>
      </c>
      <c r="DJ128" s="228">
        <v>-1.0900000000000001</v>
      </c>
      <c r="DK128" s="228">
        <v>-1.0900000000000001</v>
      </c>
      <c r="DL128" s="228">
        <v>19.03</v>
      </c>
      <c r="DM128" s="228">
        <v>19.510000000000002</v>
      </c>
      <c r="DN128" s="228">
        <v>-0.48</v>
      </c>
      <c r="DO128" s="228">
        <v>-0.48</v>
      </c>
      <c r="DP128" s="228">
        <v>0.66</v>
      </c>
      <c r="DQ128" s="228">
        <v>0.68</v>
      </c>
      <c r="DR128" s="228">
        <v>-0.02</v>
      </c>
      <c r="DS128" s="229">
        <v>-2.9399999999999999E-2</v>
      </c>
      <c r="DT128" s="228">
        <v>740</v>
      </c>
      <c r="DU128" s="228">
        <v>680</v>
      </c>
      <c r="DV128" s="228">
        <v>0.46</v>
      </c>
      <c r="DW128" s="228">
        <v>0.44</v>
      </c>
      <c r="DX128" s="228">
        <v>0.02</v>
      </c>
      <c r="DY128" s="229">
        <v>4.5499999999999999E-2</v>
      </c>
      <c r="DZ128" s="229">
        <v>4.4999999999999997E-3</v>
      </c>
      <c r="EA128" s="230">
        <v>121200</v>
      </c>
      <c r="EB128" s="229">
        <v>3.5999999999999999E-3</v>
      </c>
      <c r="EC128" s="229">
        <v>4.4999999999999997E-3</v>
      </c>
      <c r="ED128" s="228">
        <v>2.5</v>
      </c>
      <c r="EE128" s="229">
        <v>3.5000000000000001E-3</v>
      </c>
      <c r="EF128" s="230">
        <v>1018997</v>
      </c>
      <c r="EG128" s="230">
        <v>1322849</v>
      </c>
      <c r="EH128" s="229">
        <v>-0.22969999999999999</v>
      </c>
      <c r="EI128" s="229">
        <v>0.70689999999999997</v>
      </c>
      <c r="EJ128" s="231">
        <v>18321.689999999999</v>
      </c>
      <c r="EK128" s="231">
        <v>8074.5</v>
      </c>
      <c r="EL128" s="231">
        <v>12173.1</v>
      </c>
      <c r="EM128" s="231">
        <v>1922</v>
      </c>
      <c r="EN128" s="231">
        <v>38569.29</v>
      </c>
      <c r="EO128" s="231">
        <v>53077.87</v>
      </c>
      <c r="EP128" s="231">
        <v>-14508.58</v>
      </c>
      <c r="EQ128" s="229">
        <v>-0.27329999999999999</v>
      </c>
      <c r="ER128" s="231">
        <v>25445</v>
      </c>
      <c r="ES128" s="231">
        <v>15610</v>
      </c>
      <c r="ET128" s="231">
        <v>202022</v>
      </c>
      <c r="EU128" s="231">
        <v>79408529</v>
      </c>
      <c r="EV128" s="231">
        <v>243076</v>
      </c>
      <c r="EW128" s="231">
        <v>245514</v>
      </c>
      <c r="EX128" s="231">
        <v>-2438</v>
      </c>
      <c r="EY128" s="229">
        <v>-9.9000000000000008E-3</v>
      </c>
      <c r="EZ128" s="229">
        <v>0.42599999999999999</v>
      </c>
      <c r="FA128" s="227" t="s">
        <v>568</v>
      </c>
      <c r="FB128" s="161">
        <f t="shared" si="1"/>
        <v>127200</v>
      </c>
    </row>
    <row r="129" spans="1:158" ht="17.25" hidden="1" thickBot="1" x14ac:dyDescent="0.3">
      <c r="A129" s="226">
        <v>45940</v>
      </c>
      <c r="B129" s="227" t="s">
        <v>162</v>
      </c>
      <c r="C129" s="227" t="s">
        <v>255</v>
      </c>
      <c r="D129" s="228">
        <v>50</v>
      </c>
      <c r="E129" s="231">
        <v>16349</v>
      </c>
      <c r="F129" s="231">
        <v>16004</v>
      </c>
      <c r="G129" s="228">
        <v>345</v>
      </c>
      <c r="H129" s="229">
        <v>2.1600000000000001E-2</v>
      </c>
      <c r="I129" s="231">
        <v>16265</v>
      </c>
      <c r="J129" s="231">
        <v>15985</v>
      </c>
      <c r="K129" s="228">
        <v>280</v>
      </c>
      <c r="L129" s="229">
        <v>1.7500000000000002E-2</v>
      </c>
      <c r="M129" s="231">
        <v>16349</v>
      </c>
      <c r="N129" s="231">
        <v>16004</v>
      </c>
      <c r="O129" s="228">
        <v>345</v>
      </c>
      <c r="P129" s="229">
        <v>2.1600000000000001E-2</v>
      </c>
      <c r="Q129" s="231">
        <v>16432</v>
      </c>
      <c r="R129" s="231">
        <v>16086</v>
      </c>
      <c r="S129" s="228">
        <v>346</v>
      </c>
      <c r="T129" s="229">
        <v>2.1499999999999998E-2</v>
      </c>
      <c r="U129" s="231">
        <v>16526</v>
      </c>
      <c r="V129" s="231">
        <v>16155</v>
      </c>
      <c r="W129" s="228">
        <v>371</v>
      </c>
      <c r="X129" s="229">
        <v>2.3E-2</v>
      </c>
      <c r="Y129" s="228">
        <v>84</v>
      </c>
      <c r="Z129" s="228">
        <v>19</v>
      </c>
      <c r="AA129" s="228">
        <v>65</v>
      </c>
      <c r="AB129" s="229">
        <v>5.1999999999999998E-3</v>
      </c>
      <c r="AC129" s="228">
        <v>84</v>
      </c>
      <c r="AD129" s="228">
        <v>19</v>
      </c>
      <c r="AE129" s="228">
        <v>65</v>
      </c>
      <c r="AF129" s="229">
        <v>5.1999999999999998E-3</v>
      </c>
      <c r="AG129" s="228">
        <v>167</v>
      </c>
      <c r="AH129" s="228">
        <v>101</v>
      </c>
      <c r="AI129" s="228">
        <v>66</v>
      </c>
      <c r="AJ129" s="229">
        <v>1.03E-2</v>
      </c>
      <c r="AK129" s="228">
        <v>261</v>
      </c>
      <c r="AL129" s="228">
        <v>170</v>
      </c>
      <c r="AM129" s="228">
        <v>91</v>
      </c>
      <c r="AN129" s="229">
        <v>1.6E-2</v>
      </c>
      <c r="AO129" s="231">
        <v>16246.96</v>
      </c>
      <c r="AP129" s="231">
        <v>16344.16</v>
      </c>
      <c r="AQ129" s="228">
        <v>0</v>
      </c>
      <c r="AR129" s="230">
        <v>979800</v>
      </c>
      <c r="AS129" s="230">
        <v>434650</v>
      </c>
      <c r="AT129" s="230">
        <v>545150</v>
      </c>
      <c r="AU129" s="229">
        <v>1.2542</v>
      </c>
      <c r="AV129" s="230">
        <v>903450</v>
      </c>
      <c r="AW129" s="230">
        <v>411200</v>
      </c>
      <c r="AX129" s="230">
        <v>492250</v>
      </c>
      <c r="AY129" s="229">
        <v>1.1971000000000001</v>
      </c>
      <c r="AZ129" s="230">
        <v>58900</v>
      </c>
      <c r="BA129" s="230">
        <v>21100</v>
      </c>
      <c r="BB129" s="230">
        <v>37800</v>
      </c>
      <c r="BC129" s="229">
        <v>1.7915000000000001</v>
      </c>
      <c r="BD129" s="230">
        <v>17450</v>
      </c>
      <c r="BE129" s="230">
        <v>2350</v>
      </c>
      <c r="BF129" s="230">
        <v>15100</v>
      </c>
      <c r="BG129" s="229">
        <v>6.4255000000000004</v>
      </c>
      <c r="BH129" s="230">
        <v>7959300</v>
      </c>
      <c r="BI129" s="230">
        <v>3166600</v>
      </c>
      <c r="BJ129" s="230">
        <v>4792700</v>
      </c>
      <c r="BK129" s="229">
        <v>1.5135000000000001</v>
      </c>
      <c r="BL129" s="230">
        <v>2962900</v>
      </c>
      <c r="BM129" s="230">
        <v>1819300</v>
      </c>
      <c r="BN129" s="230">
        <v>1143600</v>
      </c>
      <c r="BO129" s="229">
        <v>0.62860000000000005</v>
      </c>
      <c r="BP129" s="230">
        <v>11902000</v>
      </c>
      <c r="BQ129" s="230">
        <v>5420550</v>
      </c>
      <c r="BR129" s="230">
        <v>6481450</v>
      </c>
      <c r="BS129" s="229">
        <v>1.1957</v>
      </c>
      <c r="BT129" s="230">
        <v>429340</v>
      </c>
      <c r="BU129" s="230">
        <v>304681</v>
      </c>
      <c r="BV129" s="230">
        <v>124659</v>
      </c>
      <c r="BW129" s="229">
        <v>0.40910000000000002</v>
      </c>
      <c r="BX129" s="230">
        <v>2860050</v>
      </c>
      <c r="BY129" s="230">
        <v>2683500</v>
      </c>
      <c r="BZ129" s="230">
        <v>176550</v>
      </c>
      <c r="CA129" s="229">
        <v>6.5799999999999997E-2</v>
      </c>
      <c r="CB129" s="230">
        <v>2754900</v>
      </c>
      <c r="CC129" s="230">
        <v>2602950</v>
      </c>
      <c r="CD129" s="230">
        <v>151950</v>
      </c>
      <c r="CE129" s="229">
        <v>5.8400000000000001E-2</v>
      </c>
      <c r="CF129" s="230">
        <v>88950</v>
      </c>
      <c r="CG129" s="230">
        <v>75650</v>
      </c>
      <c r="CH129" s="230">
        <v>13300</v>
      </c>
      <c r="CI129" s="229">
        <v>0.17580000000000001</v>
      </c>
      <c r="CJ129" s="230">
        <v>16200</v>
      </c>
      <c r="CK129" s="230">
        <v>4900</v>
      </c>
      <c r="CL129" s="230">
        <v>11300</v>
      </c>
      <c r="CM129" s="229">
        <v>2.3060999999999998</v>
      </c>
      <c r="CN129" s="230">
        <v>2782900</v>
      </c>
      <c r="CO129" s="230">
        <v>2908200</v>
      </c>
      <c r="CP129" s="230">
        <v>-125300</v>
      </c>
      <c r="CQ129" s="229">
        <v>-4.3099999999999999E-2</v>
      </c>
      <c r="CR129" s="230">
        <v>1733350</v>
      </c>
      <c r="CS129" s="230">
        <v>1440300</v>
      </c>
      <c r="CT129" s="230">
        <v>293050</v>
      </c>
      <c r="CU129" s="229">
        <v>0.20349999999999999</v>
      </c>
      <c r="CV129" s="230">
        <v>7376300</v>
      </c>
      <c r="CW129" s="230">
        <v>7032000</v>
      </c>
      <c r="CX129" s="230">
        <v>344300</v>
      </c>
      <c r="CY129" s="229">
        <v>4.9000000000000002E-2</v>
      </c>
      <c r="CZ129" s="228">
        <v>18.440000000000001</v>
      </c>
      <c r="DA129" s="228">
        <v>18.37</v>
      </c>
      <c r="DB129" s="228">
        <v>7.0000000000000007E-2</v>
      </c>
      <c r="DC129" s="228">
        <v>7.0000000000000007E-2</v>
      </c>
      <c r="DD129" s="228">
        <v>25.96</v>
      </c>
      <c r="DE129" s="228">
        <v>25.92</v>
      </c>
      <c r="DF129" s="228">
        <v>-7.52</v>
      </c>
      <c r="DG129" s="228">
        <v>0.04</v>
      </c>
      <c r="DH129" s="228">
        <v>18.21</v>
      </c>
      <c r="DI129" s="228">
        <v>18.350000000000001</v>
      </c>
      <c r="DJ129" s="228">
        <v>-0.14000000000000001</v>
      </c>
      <c r="DK129" s="228">
        <v>-0.14000000000000001</v>
      </c>
      <c r="DL129" s="228">
        <v>19.059999999999999</v>
      </c>
      <c r="DM129" s="228">
        <v>18.399999999999999</v>
      </c>
      <c r="DN129" s="228">
        <v>0.66</v>
      </c>
      <c r="DO129" s="228">
        <v>0.66</v>
      </c>
      <c r="DP129" s="228">
        <v>0.62</v>
      </c>
      <c r="DQ129" s="228">
        <v>0.5</v>
      </c>
      <c r="DR129" s="228">
        <v>0.12</v>
      </c>
      <c r="DS129" s="229">
        <v>0.24</v>
      </c>
      <c r="DT129" s="231">
        <v>17000</v>
      </c>
      <c r="DU129" s="231">
        <v>16000</v>
      </c>
      <c r="DV129" s="228">
        <v>0.37</v>
      </c>
      <c r="DW129" s="228">
        <v>0.56999999999999995</v>
      </c>
      <c r="DX129" s="228">
        <v>-0.2</v>
      </c>
      <c r="DY129" s="229">
        <v>-0.35089999999999999</v>
      </c>
      <c r="DZ129" s="229">
        <v>3.6799999999999999E-2</v>
      </c>
      <c r="EA129" s="230">
        <v>80550</v>
      </c>
      <c r="EB129" s="229">
        <v>5.1000000000000004E-3</v>
      </c>
      <c r="EC129" s="229">
        <v>3.6799999999999999E-2</v>
      </c>
      <c r="ED129" s="228">
        <v>97.2</v>
      </c>
      <c r="EE129" s="229">
        <v>6.0000000000000001E-3</v>
      </c>
      <c r="EF129" s="230">
        <v>242751</v>
      </c>
      <c r="EG129" s="230">
        <v>184370</v>
      </c>
      <c r="EH129" s="229">
        <v>0.31669999999999998</v>
      </c>
      <c r="EI129" s="229">
        <v>0.56540000000000001</v>
      </c>
      <c r="EJ129" s="231">
        <v>1337197.28</v>
      </c>
      <c r="EK129" s="231">
        <v>470953.31</v>
      </c>
      <c r="EL129" s="231">
        <v>159280.16</v>
      </c>
      <c r="EM129" s="231">
        <v>10444</v>
      </c>
      <c r="EN129" s="231">
        <v>1967430.75</v>
      </c>
      <c r="EO129" s="231">
        <v>884017.32</v>
      </c>
      <c r="EP129" s="231">
        <v>1083413.43</v>
      </c>
      <c r="EQ129" s="229">
        <v>1.2256</v>
      </c>
      <c r="ER129" s="231">
        <v>465494</v>
      </c>
      <c r="ES129" s="231">
        <v>266965</v>
      </c>
      <c r="ET129" s="231">
        <v>467692</v>
      </c>
      <c r="EU129" s="231">
        <v>16752897</v>
      </c>
      <c r="EV129" s="231">
        <v>1200151</v>
      </c>
      <c r="EW129" s="231">
        <v>1135633</v>
      </c>
      <c r="EX129" s="231">
        <v>64518</v>
      </c>
      <c r="EY129" s="229">
        <v>5.6800000000000003E-2</v>
      </c>
      <c r="EZ129" s="229">
        <v>0.44030000000000002</v>
      </c>
      <c r="FA129" s="227" t="s">
        <v>555</v>
      </c>
      <c r="FB129" s="161">
        <f t="shared" si="1"/>
        <v>105150</v>
      </c>
    </row>
    <row r="130" spans="1:158" ht="17.25" hidden="1" thickBot="1" x14ac:dyDescent="0.3">
      <c r="A130" s="226">
        <v>45940</v>
      </c>
      <c r="B130" s="227" t="s">
        <v>170</v>
      </c>
      <c r="C130" s="227" t="s">
        <v>604</v>
      </c>
      <c r="D130" s="228">
        <v>525</v>
      </c>
      <c r="E130" s="231">
        <v>1159.4000000000001</v>
      </c>
      <c r="F130" s="231">
        <v>1159.2</v>
      </c>
      <c r="G130" s="228">
        <v>0.2</v>
      </c>
      <c r="H130" s="229">
        <v>2.0000000000000001E-4</v>
      </c>
      <c r="I130" s="231">
        <v>1156.4000000000001</v>
      </c>
      <c r="J130" s="231">
        <v>1155.8</v>
      </c>
      <c r="K130" s="228">
        <v>0.6</v>
      </c>
      <c r="L130" s="229">
        <v>5.0000000000000001E-4</v>
      </c>
      <c r="M130" s="231">
        <v>1159.4000000000001</v>
      </c>
      <c r="N130" s="231">
        <v>1159.2</v>
      </c>
      <c r="O130" s="228">
        <v>0.2</v>
      </c>
      <c r="P130" s="229">
        <v>2.0000000000000001E-4</v>
      </c>
      <c r="Q130" s="231">
        <v>1165.5</v>
      </c>
      <c r="R130" s="231">
        <v>1164.5999999999999</v>
      </c>
      <c r="S130" s="228">
        <v>0.9</v>
      </c>
      <c r="T130" s="229">
        <v>8.0000000000000004E-4</v>
      </c>
      <c r="U130" s="231">
        <v>1172.3</v>
      </c>
      <c r="V130" s="231">
        <v>1173.5999999999999</v>
      </c>
      <c r="W130" s="228">
        <v>-1.3</v>
      </c>
      <c r="X130" s="229">
        <v>-1.1000000000000001E-3</v>
      </c>
      <c r="Y130" s="228">
        <v>3</v>
      </c>
      <c r="Z130" s="228">
        <v>3.4</v>
      </c>
      <c r="AA130" s="228">
        <v>-0.4</v>
      </c>
      <c r="AB130" s="229">
        <v>2.5999999999999999E-3</v>
      </c>
      <c r="AC130" s="228">
        <v>3</v>
      </c>
      <c r="AD130" s="228">
        <v>3.4</v>
      </c>
      <c r="AE130" s="228">
        <v>-0.4</v>
      </c>
      <c r="AF130" s="229">
        <v>2.5999999999999999E-3</v>
      </c>
      <c r="AG130" s="228">
        <v>9.1</v>
      </c>
      <c r="AH130" s="228">
        <v>8.8000000000000007</v>
      </c>
      <c r="AI130" s="228">
        <v>0.3</v>
      </c>
      <c r="AJ130" s="229">
        <v>7.9000000000000008E-3</v>
      </c>
      <c r="AK130" s="228">
        <v>15.9</v>
      </c>
      <c r="AL130" s="228">
        <v>17.8</v>
      </c>
      <c r="AM130" s="228">
        <v>-1.9</v>
      </c>
      <c r="AN130" s="229">
        <v>1.37E-2</v>
      </c>
      <c r="AO130" s="231">
        <v>1159.42</v>
      </c>
      <c r="AP130" s="231">
        <v>1164.8599999999999</v>
      </c>
      <c r="AQ130" s="228">
        <v>0</v>
      </c>
      <c r="AR130" s="230">
        <v>1883175</v>
      </c>
      <c r="AS130" s="230">
        <v>1788675</v>
      </c>
      <c r="AT130" s="230">
        <v>94500</v>
      </c>
      <c r="AU130" s="229">
        <v>5.28E-2</v>
      </c>
      <c r="AV130" s="230">
        <v>1750350</v>
      </c>
      <c r="AW130" s="230">
        <v>1665825</v>
      </c>
      <c r="AX130" s="230">
        <v>84525</v>
      </c>
      <c r="AY130" s="229">
        <v>5.0700000000000002E-2</v>
      </c>
      <c r="AZ130" s="230">
        <v>104475</v>
      </c>
      <c r="BA130" s="230">
        <v>116025</v>
      </c>
      <c r="BB130" s="230">
        <v>-11550</v>
      </c>
      <c r="BC130" s="229">
        <v>-9.9500000000000005E-2</v>
      </c>
      <c r="BD130" s="230">
        <v>28350</v>
      </c>
      <c r="BE130" s="230">
        <v>6825</v>
      </c>
      <c r="BF130" s="230">
        <v>21525</v>
      </c>
      <c r="BG130" s="229">
        <v>3.1537999999999999</v>
      </c>
      <c r="BH130" s="230">
        <v>2768325</v>
      </c>
      <c r="BI130" s="230">
        <v>5779200</v>
      </c>
      <c r="BJ130" s="230">
        <v>-3010875</v>
      </c>
      <c r="BK130" s="229">
        <v>-0.52100000000000002</v>
      </c>
      <c r="BL130" s="230">
        <v>2008650</v>
      </c>
      <c r="BM130" s="230">
        <v>2999850</v>
      </c>
      <c r="BN130" s="230">
        <v>-991200</v>
      </c>
      <c r="BO130" s="229">
        <v>-0.33040000000000003</v>
      </c>
      <c r="BP130" s="230">
        <v>6660150</v>
      </c>
      <c r="BQ130" s="230">
        <v>10567725</v>
      </c>
      <c r="BR130" s="230">
        <v>-3907575</v>
      </c>
      <c r="BS130" s="229">
        <v>-0.36980000000000002</v>
      </c>
      <c r="BT130" s="230">
        <v>2745508</v>
      </c>
      <c r="BU130" s="230">
        <v>3070993</v>
      </c>
      <c r="BV130" s="230">
        <v>-325485</v>
      </c>
      <c r="BW130" s="229">
        <v>-0.106</v>
      </c>
      <c r="BX130" s="230">
        <v>16662975</v>
      </c>
      <c r="BY130" s="230">
        <v>16826775</v>
      </c>
      <c r="BZ130" s="230">
        <v>-163800</v>
      </c>
      <c r="CA130" s="229">
        <v>-9.7000000000000003E-3</v>
      </c>
      <c r="CB130" s="230">
        <v>16364775</v>
      </c>
      <c r="CC130" s="230">
        <v>16560600</v>
      </c>
      <c r="CD130" s="230">
        <v>-195825</v>
      </c>
      <c r="CE130" s="229">
        <v>-1.18E-2</v>
      </c>
      <c r="CF130" s="230">
        <v>258825</v>
      </c>
      <c r="CG130" s="230">
        <v>247275</v>
      </c>
      <c r="CH130" s="230">
        <v>11550</v>
      </c>
      <c r="CI130" s="229">
        <v>4.6699999999999998E-2</v>
      </c>
      <c r="CJ130" s="230">
        <v>39375</v>
      </c>
      <c r="CK130" s="230">
        <v>18900</v>
      </c>
      <c r="CL130" s="230">
        <v>20475</v>
      </c>
      <c r="CM130" s="229">
        <v>1.0832999999999999</v>
      </c>
      <c r="CN130" s="230">
        <v>3163125</v>
      </c>
      <c r="CO130" s="230">
        <v>3125325</v>
      </c>
      <c r="CP130" s="230">
        <v>37800</v>
      </c>
      <c r="CQ130" s="229">
        <v>1.21E-2</v>
      </c>
      <c r="CR130" s="230">
        <v>2814525</v>
      </c>
      <c r="CS130" s="230">
        <v>2809275</v>
      </c>
      <c r="CT130" s="230">
        <v>5250</v>
      </c>
      <c r="CU130" s="229">
        <v>1.9E-3</v>
      </c>
      <c r="CV130" s="230">
        <v>22640625</v>
      </c>
      <c r="CW130" s="230">
        <v>22761375</v>
      </c>
      <c r="CX130" s="230">
        <v>-120750</v>
      </c>
      <c r="CY130" s="229">
        <v>-5.3E-3</v>
      </c>
      <c r="CZ130" s="228">
        <v>25.37</v>
      </c>
      <c r="DA130" s="228">
        <v>26.13</v>
      </c>
      <c r="DB130" s="228">
        <v>-0.76</v>
      </c>
      <c r="DC130" s="228">
        <v>-0.76</v>
      </c>
      <c r="DD130" s="228">
        <v>41.42</v>
      </c>
      <c r="DE130" s="228">
        <v>41.52</v>
      </c>
      <c r="DF130" s="228">
        <v>-16.05</v>
      </c>
      <c r="DG130" s="228">
        <v>-0.1</v>
      </c>
      <c r="DH130" s="228">
        <v>24.54</v>
      </c>
      <c r="DI130" s="228">
        <v>25.46</v>
      </c>
      <c r="DJ130" s="228">
        <v>-0.92</v>
      </c>
      <c r="DK130" s="228">
        <v>-0.92</v>
      </c>
      <c r="DL130" s="228">
        <v>26.53</v>
      </c>
      <c r="DM130" s="228">
        <v>27.42</v>
      </c>
      <c r="DN130" s="228">
        <v>-0.89</v>
      </c>
      <c r="DO130" s="228">
        <v>-0.89</v>
      </c>
      <c r="DP130" s="228">
        <v>0.89</v>
      </c>
      <c r="DQ130" s="228">
        <v>0.9</v>
      </c>
      <c r="DR130" s="228">
        <v>-0.01</v>
      </c>
      <c r="DS130" s="229">
        <v>-1.11E-2</v>
      </c>
      <c r="DT130" s="231">
        <v>1200</v>
      </c>
      <c r="DU130" s="231">
        <v>1060</v>
      </c>
      <c r="DV130" s="228">
        <v>0.73</v>
      </c>
      <c r="DW130" s="228">
        <v>0.52</v>
      </c>
      <c r="DX130" s="228">
        <v>0.21</v>
      </c>
      <c r="DY130" s="229">
        <v>0.40379999999999999</v>
      </c>
      <c r="DZ130" s="229">
        <v>1.7899999999999999E-2</v>
      </c>
      <c r="EA130" s="230">
        <v>266175</v>
      </c>
      <c r="EB130" s="229">
        <v>5.3E-3</v>
      </c>
      <c r="EC130" s="229">
        <v>1.7899999999999999E-2</v>
      </c>
      <c r="ED130" s="228">
        <v>5.44</v>
      </c>
      <c r="EE130" s="229">
        <v>4.7000000000000002E-3</v>
      </c>
      <c r="EF130" s="230">
        <v>1773699</v>
      </c>
      <c r="EG130" s="230">
        <v>2079842</v>
      </c>
      <c r="EH130" s="229">
        <v>-0.1472</v>
      </c>
      <c r="EI130" s="229">
        <v>0.64600000000000002</v>
      </c>
      <c r="EJ130" s="231">
        <v>33225.31</v>
      </c>
      <c r="EK130" s="231">
        <v>22806.05</v>
      </c>
      <c r="EL130" s="231">
        <v>21843.69</v>
      </c>
      <c r="EM130" s="231">
        <v>7247</v>
      </c>
      <c r="EN130" s="231">
        <v>77875.05</v>
      </c>
      <c r="EO130" s="231">
        <v>123680.79</v>
      </c>
      <c r="EP130" s="231">
        <v>-45805.74</v>
      </c>
      <c r="EQ130" s="229">
        <v>-0.37040000000000001</v>
      </c>
      <c r="ER130" s="231">
        <v>37551</v>
      </c>
      <c r="ES130" s="231">
        <v>31132</v>
      </c>
      <c r="ET130" s="231">
        <v>193211</v>
      </c>
      <c r="EU130" s="231">
        <v>97211768</v>
      </c>
      <c r="EV130" s="231">
        <v>261895</v>
      </c>
      <c r="EW130" s="231">
        <v>263208</v>
      </c>
      <c r="EX130" s="231">
        <v>-1313</v>
      </c>
      <c r="EY130" s="229">
        <v>-5.0000000000000001E-3</v>
      </c>
      <c r="EZ130" s="229">
        <v>0.2329</v>
      </c>
      <c r="FA130" s="227" t="s">
        <v>556</v>
      </c>
      <c r="FB130" s="161">
        <f t="shared" si="1"/>
        <v>298200</v>
      </c>
    </row>
    <row r="131" spans="1:158" ht="17.25" hidden="1" thickBot="1" x14ac:dyDescent="0.3">
      <c r="A131" s="226">
        <v>45940</v>
      </c>
      <c r="B131" s="227" t="s">
        <v>215</v>
      </c>
      <c r="C131" s="227" t="s">
        <v>675</v>
      </c>
      <c r="D131" s="228">
        <v>175</v>
      </c>
      <c r="E131" s="231">
        <v>2876.6</v>
      </c>
      <c r="F131" s="231">
        <v>2904.1</v>
      </c>
      <c r="G131" s="228">
        <v>-27.5</v>
      </c>
      <c r="H131" s="229">
        <v>-9.4999999999999998E-3</v>
      </c>
      <c r="I131" s="231">
        <v>2870.1</v>
      </c>
      <c r="J131" s="231">
        <v>2888.7</v>
      </c>
      <c r="K131" s="228">
        <v>-18.600000000000001</v>
      </c>
      <c r="L131" s="229">
        <v>-6.4000000000000003E-3</v>
      </c>
      <c r="M131" s="231">
        <v>2876.6</v>
      </c>
      <c r="N131" s="231">
        <v>2904.1</v>
      </c>
      <c r="O131" s="228">
        <v>-27.5</v>
      </c>
      <c r="P131" s="229">
        <v>-9.4999999999999998E-3</v>
      </c>
      <c r="Q131" s="231">
        <v>2888.4</v>
      </c>
      <c r="R131" s="231">
        <v>2914.1</v>
      </c>
      <c r="S131" s="228">
        <v>-25.7</v>
      </c>
      <c r="T131" s="229">
        <v>-8.8000000000000005E-3</v>
      </c>
      <c r="U131" s="231">
        <v>2901.8</v>
      </c>
      <c r="V131" s="231">
        <v>2927</v>
      </c>
      <c r="W131" s="228">
        <v>-25.2</v>
      </c>
      <c r="X131" s="229">
        <v>-8.6E-3</v>
      </c>
      <c r="Y131" s="228">
        <v>6.5</v>
      </c>
      <c r="Z131" s="228">
        <v>15.4</v>
      </c>
      <c r="AA131" s="228">
        <v>-8.9</v>
      </c>
      <c r="AB131" s="229">
        <v>2.3E-3</v>
      </c>
      <c r="AC131" s="228">
        <v>6.5</v>
      </c>
      <c r="AD131" s="228">
        <v>15.4</v>
      </c>
      <c r="AE131" s="228">
        <v>-8.9</v>
      </c>
      <c r="AF131" s="229">
        <v>2.3E-3</v>
      </c>
      <c r="AG131" s="228">
        <v>18.3</v>
      </c>
      <c r="AH131" s="228">
        <v>25.4</v>
      </c>
      <c r="AI131" s="228">
        <v>-7.1</v>
      </c>
      <c r="AJ131" s="229">
        <v>6.4000000000000003E-3</v>
      </c>
      <c r="AK131" s="228">
        <v>31.7</v>
      </c>
      <c r="AL131" s="228">
        <v>38.299999999999997</v>
      </c>
      <c r="AM131" s="228">
        <v>-6.6</v>
      </c>
      <c r="AN131" s="229">
        <v>1.0999999999999999E-2</v>
      </c>
      <c r="AO131" s="231">
        <v>2902.1</v>
      </c>
      <c r="AP131" s="231">
        <v>2911.06</v>
      </c>
      <c r="AQ131" s="228">
        <v>0</v>
      </c>
      <c r="AR131" s="230">
        <v>762825</v>
      </c>
      <c r="AS131" s="230">
        <v>876750</v>
      </c>
      <c r="AT131" s="230">
        <v>-113925</v>
      </c>
      <c r="AU131" s="229">
        <v>-0.12989999999999999</v>
      </c>
      <c r="AV131" s="230">
        <v>659400</v>
      </c>
      <c r="AW131" s="230">
        <v>819700</v>
      </c>
      <c r="AX131" s="230">
        <v>-160300</v>
      </c>
      <c r="AY131" s="229">
        <v>-0.1956</v>
      </c>
      <c r="AZ131" s="230">
        <v>97125</v>
      </c>
      <c r="BA131" s="230">
        <v>53375</v>
      </c>
      <c r="BB131" s="230">
        <v>43750</v>
      </c>
      <c r="BC131" s="229">
        <v>0.81969999999999998</v>
      </c>
      <c r="BD131" s="230">
        <v>6300</v>
      </c>
      <c r="BE131" s="230">
        <v>3675</v>
      </c>
      <c r="BF131" s="230">
        <v>2625</v>
      </c>
      <c r="BG131" s="229">
        <v>0.71430000000000005</v>
      </c>
      <c r="BH131" s="230">
        <v>3238200</v>
      </c>
      <c r="BI131" s="230">
        <v>2867550</v>
      </c>
      <c r="BJ131" s="230">
        <v>370650</v>
      </c>
      <c r="BK131" s="229">
        <v>0.1293</v>
      </c>
      <c r="BL131" s="230">
        <v>1047725</v>
      </c>
      <c r="BM131" s="230">
        <v>965300</v>
      </c>
      <c r="BN131" s="230">
        <v>82425</v>
      </c>
      <c r="BO131" s="229">
        <v>8.5400000000000004E-2</v>
      </c>
      <c r="BP131" s="230">
        <v>5048750</v>
      </c>
      <c r="BQ131" s="230">
        <v>4709600</v>
      </c>
      <c r="BR131" s="230">
        <v>339150</v>
      </c>
      <c r="BS131" s="229">
        <v>7.1999999999999995E-2</v>
      </c>
      <c r="BT131" s="230">
        <v>957027</v>
      </c>
      <c r="BU131" s="230">
        <v>922793</v>
      </c>
      <c r="BV131" s="230">
        <v>34234</v>
      </c>
      <c r="BW131" s="229">
        <v>3.7100000000000001E-2</v>
      </c>
      <c r="BX131" s="230">
        <v>3665025</v>
      </c>
      <c r="BY131" s="230">
        <v>3518725</v>
      </c>
      <c r="BZ131" s="230">
        <v>146300</v>
      </c>
      <c r="CA131" s="229">
        <v>4.1599999999999998E-2</v>
      </c>
      <c r="CB131" s="230">
        <v>3454850</v>
      </c>
      <c r="CC131" s="230">
        <v>3356325</v>
      </c>
      <c r="CD131" s="230">
        <v>98525</v>
      </c>
      <c r="CE131" s="229">
        <v>2.9399999999999999E-2</v>
      </c>
      <c r="CF131" s="230">
        <v>200025</v>
      </c>
      <c r="CG131" s="230">
        <v>154350</v>
      </c>
      <c r="CH131" s="230">
        <v>45675</v>
      </c>
      <c r="CI131" s="229">
        <v>0.2959</v>
      </c>
      <c r="CJ131" s="230">
        <v>10150</v>
      </c>
      <c r="CK131" s="230">
        <v>8050</v>
      </c>
      <c r="CL131" s="230">
        <v>2100</v>
      </c>
      <c r="CM131" s="229">
        <v>0.26090000000000002</v>
      </c>
      <c r="CN131" s="230">
        <v>2480975</v>
      </c>
      <c r="CO131" s="230">
        <v>2132900</v>
      </c>
      <c r="CP131" s="230">
        <v>348075</v>
      </c>
      <c r="CQ131" s="229">
        <v>0.16320000000000001</v>
      </c>
      <c r="CR131" s="230">
        <v>1378300</v>
      </c>
      <c r="CS131" s="230">
        <v>1265425</v>
      </c>
      <c r="CT131" s="230">
        <v>112875</v>
      </c>
      <c r="CU131" s="229">
        <v>8.9200000000000002E-2</v>
      </c>
      <c r="CV131" s="230">
        <v>7524300</v>
      </c>
      <c r="CW131" s="230">
        <v>6917050</v>
      </c>
      <c r="CX131" s="230">
        <v>607250</v>
      </c>
      <c r="CY131" s="229">
        <v>8.7800000000000003E-2</v>
      </c>
      <c r="CZ131" s="228">
        <v>35.270000000000003</v>
      </c>
      <c r="DA131" s="228">
        <v>34.26</v>
      </c>
      <c r="DB131" s="228">
        <v>1.01</v>
      </c>
      <c r="DC131" s="228">
        <v>1.01</v>
      </c>
      <c r="DD131" s="228">
        <v>60.29</v>
      </c>
      <c r="DE131" s="228">
        <v>60.43</v>
      </c>
      <c r="DF131" s="228">
        <v>-25.02</v>
      </c>
      <c r="DG131" s="228">
        <v>-0.14000000000000001</v>
      </c>
      <c r="DH131" s="228">
        <v>35.42</v>
      </c>
      <c r="DI131" s="228">
        <v>34.369999999999997</v>
      </c>
      <c r="DJ131" s="228">
        <v>1.05</v>
      </c>
      <c r="DK131" s="228">
        <v>1.05</v>
      </c>
      <c r="DL131" s="228">
        <v>34.770000000000003</v>
      </c>
      <c r="DM131" s="228">
        <v>33.92</v>
      </c>
      <c r="DN131" s="228">
        <v>0.85</v>
      </c>
      <c r="DO131" s="228">
        <v>0.85</v>
      </c>
      <c r="DP131" s="228">
        <v>0.56000000000000005</v>
      </c>
      <c r="DQ131" s="228">
        <v>0.59</v>
      </c>
      <c r="DR131" s="228">
        <v>-0.03</v>
      </c>
      <c r="DS131" s="229">
        <v>-5.0799999999999998E-2</v>
      </c>
      <c r="DT131" s="231">
        <v>3000</v>
      </c>
      <c r="DU131" s="231">
        <v>2800</v>
      </c>
      <c r="DV131" s="228">
        <v>0.32</v>
      </c>
      <c r="DW131" s="228">
        <v>0.34</v>
      </c>
      <c r="DX131" s="228">
        <v>-0.02</v>
      </c>
      <c r="DY131" s="229">
        <v>-5.8799999999999998E-2</v>
      </c>
      <c r="DZ131" s="229">
        <v>5.7299999999999997E-2</v>
      </c>
      <c r="EA131" s="230">
        <v>162400</v>
      </c>
      <c r="EB131" s="229">
        <v>4.1000000000000003E-3</v>
      </c>
      <c r="EC131" s="229">
        <v>5.7299999999999997E-2</v>
      </c>
      <c r="ED131" s="228">
        <v>8.9600000000000009</v>
      </c>
      <c r="EE131" s="229">
        <v>3.0999999999999999E-3</v>
      </c>
      <c r="EF131" s="230">
        <v>236505</v>
      </c>
      <c r="EG131" s="230">
        <v>221146</v>
      </c>
      <c r="EH131" s="229">
        <v>6.9500000000000006E-2</v>
      </c>
      <c r="EI131" s="229">
        <v>0.24709999999999999</v>
      </c>
      <c r="EJ131" s="231">
        <v>99110.91</v>
      </c>
      <c r="EK131" s="231">
        <v>30028.59</v>
      </c>
      <c r="EL131" s="231">
        <v>22147.96</v>
      </c>
      <c r="EM131" s="231">
        <v>3245</v>
      </c>
      <c r="EN131" s="231">
        <v>151287.46</v>
      </c>
      <c r="EO131" s="231">
        <v>139072.67000000001</v>
      </c>
      <c r="EP131" s="231">
        <v>12214.79</v>
      </c>
      <c r="EQ131" s="229">
        <v>8.7800000000000003E-2</v>
      </c>
      <c r="ER131" s="231">
        <v>75301</v>
      </c>
      <c r="ES131" s="231">
        <v>38703</v>
      </c>
      <c r="ET131" s="231">
        <v>105454</v>
      </c>
      <c r="EU131" s="231">
        <v>11364224</v>
      </c>
      <c r="EV131" s="231">
        <v>219459</v>
      </c>
      <c r="EW131" s="231">
        <v>202447</v>
      </c>
      <c r="EX131" s="231">
        <v>17012</v>
      </c>
      <c r="EY131" s="229">
        <v>8.4000000000000005E-2</v>
      </c>
      <c r="EZ131" s="229">
        <v>0.66210000000000002</v>
      </c>
      <c r="FA131" s="227" t="s">
        <v>567</v>
      </c>
      <c r="FB131" s="161">
        <f t="shared" ref="FB131:FB138" si="2">BX131-CB131</f>
        <v>210175</v>
      </c>
    </row>
    <row r="132" spans="1:158" ht="17.25" hidden="1" thickBot="1" x14ac:dyDescent="0.3">
      <c r="A132" s="226">
        <v>45940</v>
      </c>
      <c r="B132" s="227" t="s">
        <v>175</v>
      </c>
      <c r="C132" s="227" t="s">
        <v>517</v>
      </c>
      <c r="D132" s="228">
        <v>125</v>
      </c>
      <c r="E132" s="231">
        <v>8719.5</v>
      </c>
      <c r="F132" s="231">
        <v>8750.5</v>
      </c>
      <c r="G132" s="228">
        <v>-31</v>
      </c>
      <c r="H132" s="229">
        <v>-3.5000000000000001E-3</v>
      </c>
      <c r="I132" s="231">
        <v>8688.5</v>
      </c>
      <c r="J132" s="231">
        <v>8706</v>
      </c>
      <c r="K132" s="228">
        <v>-17.5</v>
      </c>
      <c r="L132" s="229">
        <v>-2E-3</v>
      </c>
      <c r="M132" s="231">
        <v>8719.5</v>
      </c>
      <c r="N132" s="231">
        <v>8750.5</v>
      </c>
      <c r="O132" s="228">
        <v>-31</v>
      </c>
      <c r="P132" s="229">
        <v>-3.5000000000000001E-3</v>
      </c>
      <c r="Q132" s="231">
        <v>8765</v>
      </c>
      <c r="R132" s="231">
        <v>8789.5</v>
      </c>
      <c r="S132" s="228">
        <v>-24.5</v>
      </c>
      <c r="T132" s="229">
        <v>-2.8E-3</v>
      </c>
      <c r="U132" s="231">
        <v>8797.5</v>
      </c>
      <c r="V132" s="231">
        <v>8834.5</v>
      </c>
      <c r="W132" s="228">
        <v>-37</v>
      </c>
      <c r="X132" s="229">
        <v>-4.1999999999999997E-3</v>
      </c>
      <c r="Y132" s="228">
        <v>31</v>
      </c>
      <c r="Z132" s="228">
        <v>44.5</v>
      </c>
      <c r="AA132" s="228">
        <v>-13.5</v>
      </c>
      <c r="AB132" s="229">
        <v>3.5999999999999999E-3</v>
      </c>
      <c r="AC132" s="228">
        <v>31</v>
      </c>
      <c r="AD132" s="228">
        <v>44.5</v>
      </c>
      <c r="AE132" s="228">
        <v>-13.5</v>
      </c>
      <c r="AF132" s="229">
        <v>3.5999999999999999E-3</v>
      </c>
      <c r="AG132" s="228">
        <v>76.5</v>
      </c>
      <c r="AH132" s="228">
        <v>83.5</v>
      </c>
      <c r="AI132" s="228">
        <v>-7</v>
      </c>
      <c r="AJ132" s="229">
        <v>8.8000000000000005E-3</v>
      </c>
      <c r="AK132" s="228">
        <v>109</v>
      </c>
      <c r="AL132" s="228">
        <v>128.5</v>
      </c>
      <c r="AM132" s="228">
        <v>-19.5</v>
      </c>
      <c r="AN132" s="229">
        <v>1.2500000000000001E-2</v>
      </c>
      <c r="AO132" s="231">
        <v>8774.0400000000009</v>
      </c>
      <c r="AP132" s="231">
        <v>8816.16</v>
      </c>
      <c r="AQ132" s="228">
        <v>0</v>
      </c>
      <c r="AR132" s="230">
        <v>1180250</v>
      </c>
      <c r="AS132" s="230">
        <v>2286375</v>
      </c>
      <c r="AT132" s="230">
        <v>-1106125</v>
      </c>
      <c r="AU132" s="229">
        <v>-0.48380000000000001</v>
      </c>
      <c r="AV132" s="230">
        <v>1094625</v>
      </c>
      <c r="AW132" s="230">
        <v>2128125</v>
      </c>
      <c r="AX132" s="230">
        <v>-1033500</v>
      </c>
      <c r="AY132" s="229">
        <v>-0.48559999999999998</v>
      </c>
      <c r="AZ132" s="230">
        <v>73375</v>
      </c>
      <c r="BA132" s="230">
        <v>122125</v>
      </c>
      <c r="BB132" s="230">
        <v>-48750</v>
      </c>
      <c r="BC132" s="229">
        <v>-0.3992</v>
      </c>
      <c r="BD132" s="230">
        <v>12250</v>
      </c>
      <c r="BE132" s="230">
        <v>36125</v>
      </c>
      <c r="BF132" s="230">
        <v>-23875</v>
      </c>
      <c r="BG132" s="229">
        <v>-0.66090000000000004</v>
      </c>
      <c r="BH132" s="230">
        <v>9297500</v>
      </c>
      <c r="BI132" s="230">
        <v>14735375</v>
      </c>
      <c r="BJ132" s="230">
        <v>-5437875</v>
      </c>
      <c r="BK132" s="229">
        <v>-0.36899999999999999</v>
      </c>
      <c r="BL132" s="230">
        <v>4095500</v>
      </c>
      <c r="BM132" s="230">
        <v>6810750</v>
      </c>
      <c r="BN132" s="230">
        <v>-2715250</v>
      </c>
      <c r="BO132" s="229">
        <v>-0.3987</v>
      </c>
      <c r="BP132" s="230">
        <v>14573250</v>
      </c>
      <c r="BQ132" s="230">
        <v>23832500</v>
      </c>
      <c r="BR132" s="230">
        <v>-9259250</v>
      </c>
      <c r="BS132" s="229">
        <v>-0.38850000000000001</v>
      </c>
      <c r="BT132" s="230">
        <v>892298</v>
      </c>
      <c r="BU132" s="230">
        <v>1374766</v>
      </c>
      <c r="BV132" s="230">
        <v>-482468</v>
      </c>
      <c r="BW132" s="229">
        <v>-0.35089999999999999</v>
      </c>
      <c r="BX132" s="230">
        <v>2515375</v>
      </c>
      <c r="BY132" s="230">
        <v>2583000</v>
      </c>
      <c r="BZ132" s="230">
        <v>-67625</v>
      </c>
      <c r="CA132" s="229">
        <v>-2.6200000000000001E-2</v>
      </c>
      <c r="CB132" s="230">
        <v>2432375</v>
      </c>
      <c r="CC132" s="230">
        <v>2508750</v>
      </c>
      <c r="CD132" s="230">
        <v>-76375</v>
      </c>
      <c r="CE132" s="229">
        <v>-3.04E-2</v>
      </c>
      <c r="CF132" s="230">
        <v>64625</v>
      </c>
      <c r="CG132" s="230">
        <v>57375</v>
      </c>
      <c r="CH132" s="230">
        <v>7250</v>
      </c>
      <c r="CI132" s="229">
        <v>0.12640000000000001</v>
      </c>
      <c r="CJ132" s="230">
        <v>18375</v>
      </c>
      <c r="CK132" s="230">
        <v>16875</v>
      </c>
      <c r="CL132" s="230">
        <v>1500</v>
      </c>
      <c r="CM132" s="229">
        <v>8.8900000000000007E-2</v>
      </c>
      <c r="CN132" s="230">
        <v>2135250</v>
      </c>
      <c r="CO132" s="230">
        <v>1696750</v>
      </c>
      <c r="CP132" s="230">
        <v>438500</v>
      </c>
      <c r="CQ132" s="229">
        <v>0.25840000000000002</v>
      </c>
      <c r="CR132" s="230">
        <v>1748375</v>
      </c>
      <c r="CS132" s="230">
        <v>1622625</v>
      </c>
      <c r="CT132" s="230">
        <v>125750</v>
      </c>
      <c r="CU132" s="229">
        <v>7.7499999999999999E-2</v>
      </c>
      <c r="CV132" s="230">
        <v>6399000</v>
      </c>
      <c r="CW132" s="230">
        <v>5902375</v>
      </c>
      <c r="CX132" s="230">
        <v>496625</v>
      </c>
      <c r="CY132" s="229">
        <v>8.4099999999999994E-2</v>
      </c>
      <c r="CZ132" s="228">
        <v>34.15</v>
      </c>
      <c r="DA132" s="228">
        <v>34.71</v>
      </c>
      <c r="DB132" s="228">
        <v>-0.56000000000000005</v>
      </c>
      <c r="DC132" s="228">
        <v>-0.56000000000000005</v>
      </c>
      <c r="DD132" s="228">
        <v>47.26</v>
      </c>
      <c r="DE132" s="228">
        <v>47.38</v>
      </c>
      <c r="DF132" s="228">
        <v>-13.11</v>
      </c>
      <c r="DG132" s="228">
        <v>-0.12</v>
      </c>
      <c r="DH132" s="228">
        <v>33.979999999999997</v>
      </c>
      <c r="DI132" s="228">
        <v>34.06</v>
      </c>
      <c r="DJ132" s="228">
        <v>-0.08</v>
      </c>
      <c r="DK132" s="228">
        <v>-0.08</v>
      </c>
      <c r="DL132" s="228">
        <v>34.54</v>
      </c>
      <c r="DM132" s="228">
        <v>36.119999999999997</v>
      </c>
      <c r="DN132" s="228">
        <v>-1.58</v>
      </c>
      <c r="DO132" s="228">
        <v>-1.58</v>
      </c>
      <c r="DP132" s="228">
        <v>0.82</v>
      </c>
      <c r="DQ132" s="228">
        <v>0.96</v>
      </c>
      <c r="DR132" s="228">
        <v>-0.14000000000000001</v>
      </c>
      <c r="DS132" s="229">
        <v>-0.14580000000000001</v>
      </c>
      <c r="DT132" s="231">
        <v>9000</v>
      </c>
      <c r="DU132" s="231">
        <v>8000</v>
      </c>
      <c r="DV132" s="228">
        <v>0.44</v>
      </c>
      <c r="DW132" s="228">
        <v>0.46</v>
      </c>
      <c r="DX132" s="228">
        <v>-0.02</v>
      </c>
      <c r="DY132" s="229">
        <v>-4.3499999999999997E-2</v>
      </c>
      <c r="DZ132" s="229">
        <v>3.3000000000000002E-2</v>
      </c>
      <c r="EA132" s="230">
        <v>74250</v>
      </c>
      <c r="EB132" s="229">
        <v>5.1999999999999998E-3</v>
      </c>
      <c r="EC132" s="229">
        <v>3.3000000000000002E-2</v>
      </c>
      <c r="ED132" s="228">
        <v>42.12</v>
      </c>
      <c r="EE132" s="229">
        <v>4.7999999999999996E-3</v>
      </c>
      <c r="EF132" s="230">
        <v>277873</v>
      </c>
      <c r="EG132" s="230">
        <v>357327</v>
      </c>
      <c r="EH132" s="229">
        <v>-0.22239999999999999</v>
      </c>
      <c r="EI132" s="229">
        <v>0.31140000000000001</v>
      </c>
      <c r="EJ132" s="231">
        <v>861535.48</v>
      </c>
      <c r="EK132" s="231">
        <v>347679.8</v>
      </c>
      <c r="EL132" s="231">
        <v>103596.79</v>
      </c>
      <c r="EM132" s="231">
        <v>7996</v>
      </c>
      <c r="EN132" s="231">
        <v>1312812.07</v>
      </c>
      <c r="EO132" s="231">
        <v>2092952.2</v>
      </c>
      <c r="EP132" s="231">
        <v>-780140.13</v>
      </c>
      <c r="EQ132" s="229">
        <v>-0.37269999999999998</v>
      </c>
      <c r="ER132" s="231">
        <v>190282</v>
      </c>
      <c r="ES132" s="231">
        <v>140398</v>
      </c>
      <c r="ET132" s="231">
        <v>219372</v>
      </c>
      <c r="EU132" s="231">
        <v>7635422</v>
      </c>
      <c r="EV132" s="231">
        <v>550052</v>
      </c>
      <c r="EW132" s="231">
        <v>504707</v>
      </c>
      <c r="EX132" s="231">
        <v>45345</v>
      </c>
      <c r="EY132" s="229">
        <v>8.9800000000000005E-2</v>
      </c>
      <c r="EZ132" s="229">
        <v>0.83809999999999996</v>
      </c>
      <c r="FA132" s="227" t="s">
        <v>568</v>
      </c>
      <c r="FB132" s="161">
        <f t="shared" si="2"/>
        <v>83000</v>
      </c>
    </row>
    <row r="133" spans="1:158" ht="17.25" hidden="1" thickBot="1" x14ac:dyDescent="0.3">
      <c r="A133" s="226">
        <v>45940</v>
      </c>
      <c r="B133" s="227" t="s">
        <v>175</v>
      </c>
      <c r="C133" s="227" t="s">
        <v>257</v>
      </c>
      <c r="D133" s="228">
        <v>800</v>
      </c>
      <c r="E133" s="231">
        <v>1590.1</v>
      </c>
      <c r="F133" s="231">
        <v>1601.4</v>
      </c>
      <c r="G133" s="228">
        <v>-11.3</v>
      </c>
      <c r="H133" s="229">
        <v>-7.1000000000000004E-3</v>
      </c>
      <c r="I133" s="231">
        <v>1581.7</v>
      </c>
      <c r="J133" s="231">
        <v>1596.2</v>
      </c>
      <c r="K133" s="228">
        <v>-14.5</v>
      </c>
      <c r="L133" s="229">
        <v>-9.1000000000000004E-3</v>
      </c>
      <c r="M133" s="231">
        <v>1590.1</v>
      </c>
      <c r="N133" s="231">
        <v>1601.4</v>
      </c>
      <c r="O133" s="228">
        <v>-11.3</v>
      </c>
      <c r="P133" s="229">
        <v>-7.1000000000000004E-3</v>
      </c>
      <c r="Q133" s="231">
        <v>1598.3</v>
      </c>
      <c r="R133" s="231">
        <v>1609.2</v>
      </c>
      <c r="S133" s="228">
        <v>-10.9</v>
      </c>
      <c r="T133" s="229">
        <v>-6.7999999999999996E-3</v>
      </c>
      <c r="U133" s="231">
        <v>1606</v>
      </c>
      <c r="V133" s="231">
        <v>1606</v>
      </c>
      <c r="W133" s="228">
        <v>0</v>
      </c>
      <c r="X133" s="229">
        <v>0</v>
      </c>
      <c r="Y133" s="228">
        <v>8.4</v>
      </c>
      <c r="Z133" s="228">
        <v>5.2</v>
      </c>
      <c r="AA133" s="228">
        <v>3.2</v>
      </c>
      <c r="AB133" s="229">
        <v>5.3E-3</v>
      </c>
      <c r="AC133" s="228">
        <v>8.4</v>
      </c>
      <c r="AD133" s="228">
        <v>5.2</v>
      </c>
      <c r="AE133" s="228">
        <v>3.2</v>
      </c>
      <c r="AF133" s="229">
        <v>5.3E-3</v>
      </c>
      <c r="AG133" s="228">
        <v>16.600000000000001</v>
      </c>
      <c r="AH133" s="228">
        <v>13</v>
      </c>
      <c r="AI133" s="228">
        <v>3.6</v>
      </c>
      <c r="AJ133" s="229">
        <v>1.0500000000000001E-2</v>
      </c>
      <c r="AK133" s="228">
        <v>24.3</v>
      </c>
      <c r="AL133" s="228">
        <v>9.8000000000000007</v>
      </c>
      <c r="AM133" s="228">
        <v>14.5</v>
      </c>
      <c r="AN133" s="229">
        <v>1.54E-2</v>
      </c>
      <c r="AO133" s="231">
        <v>1599.84</v>
      </c>
      <c r="AP133" s="231">
        <v>1608.75</v>
      </c>
      <c r="AQ133" s="228">
        <v>0</v>
      </c>
      <c r="AR133" s="230">
        <v>953600</v>
      </c>
      <c r="AS133" s="230">
        <v>933600</v>
      </c>
      <c r="AT133" s="230">
        <v>20000</v>
      </c>
      <c r="AU133" s="229">
        <v>2.1399999999999999E-2</v>
      </c>
      <c r="AV133" s="230">
        <v>933600</v>
      </c>
      <c r="AW133" s="230">
        <v>915200</v>
      </c>
      <c r="AX133" s="230">
        <v>18400</v>
      </c>
      <c r="AY133" s="229">
        <v>2.01E-2</v>
      </c>
      <c r="AZ133" s="230">
        <v>20000</v>
      </c>
      <c r="BA133" s="230">
        <v>17600</v>
      </c>
      <c r="BB133" s="230">
        <v>2400</v>
      </c>
      <c r="BC133" s="229">
        <v>0.13639999999999999</v>
      </c>
      <c r="BD133" s="228">
        <v>0</v>
      </c>
      <c r="BE133" s="228">
        <v>800</v>
      </c>
      <c r="BF133" s="228">
        <v>-800</v>
      </c>
      <c r="BG133" s="229">
        <v>-1</v>
      </c>
      <c r="BH133" s="230">
        <v>972000</v>
      </c>
      <c r="BI133" s="230">
        <v>1363200</v>
      </c>
      <c r="BJ133" s="230">
        <v>-391200</v>
      </c>
      <c r="BK133" s="229">
        <v>-0.28699999999999998</v>
      </c>
      <c r="BL133" s="230">
        <v>342400</v>
      </c>
      <c r="BM133" s="230">
        <v>607200</v>
      </c>
      <c r="BN133" s="230">
        <v>-264800</v>
      </c>
      <c r="BO133" s="229">
        <v>-0.43609999999999999</v>
      </c>
      <c r="BP133" s="230">
        <v>2268000</v>
      </c>
      <c r="BQ133" s="230">
        <v>2904000</v>
      </c>
      <c r="BR133" s="230">
        <v>-636000</v>
      </c>
      <c r="BS133" s="229">
        <v>-0.219</v>
      </c>
      <c r="BT133" s="230">
        <v>535772</v>
      </c>
      <c r="BU133" s="230">
        <v>346142</v>
      </c>
      <c r="BV133" s="230">
        <v>189630</v>
      </c>
      <c r="BW133" s="229">
        <v>0.54779999999999995</v>
      </c>
      <c r="BX133" s="230">
        <v>5937600</v>
      </c>
      <c r="BY133" s="230">
        <v>5885600</v>
      </c>
      <c r="BZ133" s="230">
        <v>52000</v>
      </c>
      <c r="CA133" s="229">
        <v>8.8000000000000005E-3</v>
      </c>
      <c r="CB133" s="230">
        <v>5872800</v>
      </c>
      <c r="CC133" s="230">
        <v>5819200</v>
      </c>
      <c r="CD133" s="230">
        <v>53600</v>
      </c>
      <c r="CE133" s="229">
        <v>9.1999999999999998E-3</v>
      </c>
      <c r="CF133" s="230">
        <v>60800</v>
      </c>
      <c r="CG133" s="230">
        <v>62400</v>
      </c>
      <c r="CH133" s="230">
        <v>-1600</v>
      </c>
      <c r="CI133" s="229">
        <v>-2.5600000000000001E-2</v>
      </c>
      <c r="CJ133" s="230">
        <v>4000</v>
      </c>
      <c r="CK133" s="230">
        <v>4000</v>
      </c>
      <c r="CL133" s="228">
        <v>0</v>
      </c>
      <c r="CM133" s="229">
        <v>0</v>
      </c>
      <c r="CN133" s="230">
        <v>1216000</v>
      </c>
      <c r="CO133" s="230">
        <v>1122400</v>
      </c>
      <c r="CP133" s="230">
        <v>93600</v>
      </c>
      <c r="CQ133" s="229">
        <v>8.3400000000000002E-2</v>
      </c>
      <c r="CR133" s="230">
        <v>749600</v>
      </c>
      <c r="CS133" s="230">
        <v>734400</v>
      </c>
      <c r="CT133" s="230">
        <v>15200</v>
      </c>
      <c r="CU133" s="229">
        <v>2.07E-2</v>
      </c>
      <c r="CV133" s="230">
        <v>7903200</v>
      </c>
      <c r="CW133" s="230">
        <v>7742400</v>
      </c>
      <c r="CX133" s="230">
        <v>160800</v>
      </c>
      <c r="CY133" s="229">
        <v>2.0799999999999999E-2</v>
      </c>
      <c r="CZ133" s="228">
        <v>24.12</v>
      </c>
      <c r="DA133" s="228">
        <v>24.62</v>
      </c>
      <c r="DB133" s="228">
        <v>-0.5</v>
      </c>
      <c r="DC133" s="228">
        <v>-0.5</v>
      </c>
      <c r="DD133" s="228">
        <v>30.54</v>
      </c>
      <c r="DE133" s="228">
        <v>30.6</v>
      </c>
      <c r="DF133" s="228">
        <v>-6.42</v>
      </c>
      <c r="DG133" s="228">
        <v>-0.06</v>
      </c>
      <c r="DH133" s="228">
        <v>24.08</v>
      </c>
      <c r="DI133" s="228">
        <v>24.27</v>
      </c>
      <c r="DJ133" s="228">
        <v>-0.19</v>
      </c>
      <c r="DK133" s="228">
        <v>-0.19</v>
      </c>
      <c r="DL133" s="228">
        <v>24.23</v>
      </c>
      <c r="DM133" s="228">
        <v>25.4</v>
      </c>
      <c r="DN133" s="228">
        <v>-1.17</v>
      </c>
      <c r="DO133" s="228">
        <v>-1.17</v>
      </c>
      <c r="DP133" s="228">
        <v>0.62</v>
      </c>
      <c r="DQ133" s="228">
        <v>0.65</v>
      </c>
      <c r="DR133" s="228">
        <v>-0.03</v>
      </c>
      <c r="DS133" s="229">
        <v>-4.6199999999999998E-2</v>
      </c>
      <c r="DT133" s="231">
        <v>1600</v>
      </c>
      <c r="DU133" s="231">
        <v>1500</v>
      </c>
      <c r="DV133" s="228">
        <v>0.35</v>
      </c>
      <c r="DW133" s="228">
        <v>0.45</v>
      </c>
      <c r="DX133" s="228">
        <v>-0.1</v>
      </c>
      <c r="DY133" s="229">
        <v>-0.22220000000000001</v>
      </c>
      <c r="DZ133" s="229">
        <v>1.09E-2</v>
      </c>
      <c r="EA133" s="230">
        <v>66400</v>
      </c>
      <c r="EB133" s="229">
        <v>5.1999999999999998E-3</v>
      </c>
      <c r="EC133" s="229">
        <v>1.09E-2</v>
      </c>
      <c r="ED133" s="228">
        <v>8.91</v>
      </c>
      <c r="EE133" s="229">
        <v>5.5999999999999999E-3</v>
      </c>
      <c r="EF133" s="230">
        <v>288777</v>
      </c>
      <c r="EG133" s="230">
        <v>169872</v>
      </c>
      <c r="EH133" s="229">
        <v>0.7</v>
      </c>
      <c r="EI133" s="229">
        <v>0.53900000000000003</v>
      </c>
      <c r="EJ133" s="231">
        <v>16234.82</v>
      </c>
      <c r="EK133" s="231">
        <v>5405.69</v>
      </c>
      <c r="EL133" s="231">
        <v>15257.85</v>
      </c>
      <c r="EM133" s="231">
        <v>1234</v>
      </c>
      <c r="EN133" s="231">
        <v>36898.36</v>
      </c>
      <c r="EO133" s="231">
        <v>46883.6</v>
      </c>
      <c r="EP133" s="231">
        <v>-9985.24</v>
      </c>
      <c r="EQ133" s="229">
        <v>-0.21299999999999999</v>
      </c>
      <c r="ER133" s="231">
        <v>20178</v>
      </c>
      <c r="ES133" s="231">
        <v>11518</v>
      </c>
      <c r="ET133" s="231">
        <v>94419</v>
      </c>
      <c r="EU133" s="231">
        <v>34712157</v>
      </c>
      <c r="EV133" s="231">
        <v>126115</v>
      </c>
      <c r="EW133" s="231">
        <v>124181</v>
      </c>
      <c r="EX133" s="231">
        <v>1934</v>
      </c>
      <c r="EY133" s="229">
        <v>1.5599999999999999E-2</v>
      </c>
      <c r="EZ133" s="229">
        <v>0.22770000000000001</v>
      </c>
      <c r="FA133" s="227" t="s">
        <v>567</v>
      </c>
      <c r="FB133" s="161">
        <f t="shared" si="2"/>
        <v>64800</v>
      </c>
    </row>
    <row r="134" spans="1:158" ht="17.25" hidden="1" thickBot="1" x14ac:dyDescent="0.3">
      <c r="A134" s="226">
        <v>45940</v>
      </c>
      <c r="B134" s="227" t="s">
        <v>181</v>
      </c>
      <c r="C134" s="227" t="s">
        <v>563</v>
      </c>
      <c r="D134" s="228">
        <v>140</v>
      </c>
      <c r="E134" s="231">
        <v>13216.55</v>
      </c>
      <c r="F134" s="231">
        <v>13100.75</v>
      </c>
      <c r="G134" s="228">
        <v>115.8</v>
      </c>
      <c r="H134" s="229">
        <v>8.8000000000000005E-3</v>
      </c>
      <c r="I134" s="231">
        <v>13149.55</v>
      </c>
      <c r="J134" s="231">
        <v>13034.55</v>
      </c>
      <c r="K134" s="228">
        <v>115</v>
      </c>
      <c r="L134" s="229">
        <v>8.8000000000000005E-3</v>
      </c>
      <c r="M134" s="231">
        <v>13216.55</v>
      </c>
      <c r="N134" s="231">
        <v>13100.75</v>
      </c>
      <c r="O134" s="228">
        <v>115.8</v>
      </c>
      <c r="P134" s="229">
        <v>8.8000000000000005E-3</v>
      </c>
      <c r="Q134" s="231">
        <v>13272.2</v>
      </c>
      <c r="R134" s="231">
        <v>13157.1</v>
      </c>
      <c r="S134" s="228">
        <v>115.1</v>
      </c>
      <c r="T134" s="229">
        <v>8.6999999999999994E-3</v>
      </c>
      <c r="U134" s="231">
        <v>13329.5</v>
      </c>
      <c r="V134" s="231">
        <v>13210.9</v>
      </c>
      <c r="W134" s="228">
        <v>118.6</v>
      </c>
      <c r="X134" s="229">
        <v>8.9999999999999993E-3</v>
      </c>
      <c r="Y134" s="228">
        <v>67</v>
      </c>
      <c r="Z134" s="228">
        <v>66.2</v>
      </c>
      <c r="AA134" s="228">
        <v>0.8</v>
      </c>
      <c r="AB134" s="229">
        <v>5.1000000000000004E-3</v>
      </c>
      <c r="AC134" s="228">
        <v>67</v>
      </c>
      <c r="AD134" s="228">
        <v>66.2</v>
      </c>
      <c r="AE134" s="228">
        <v>0.8</v>
      </c>
      <c r="AF134" s="229">
        <v>5.1000000000000004E-3</v>
      </c>
      <c r="AG134" s="228">
        <v>122.65</v>
      </c>
      <c r="AH134" s="228">
        <v>122.55</v>
      </c>
      <c r="AI134" s="228">
        <v>0.1</v>
      </c>
      <c r="AJ134" s="229">
        <v>9.2999999999999992E-3</v>
      </c>
      <c r="AK134" s="228">
        <v>179.95</v>
      </c>
      <c r="AL134" s="228">
        <v>176.35</v>
      </c>
      <c r="AM134" s="228">
        <v>3.6</v>
      </c>
      <c r="AN134" s="229">
        <v>1.37E-2</v>
      </c>
      <c r="AO134" s="231">
        <v>13208.43</v>
      </c>
      <c r="AP134" s="231">
        <v>13256.52</v>
      </c>
      <c r="AQ134" s="228">
        <v>0</v>
      </c>
      <c r="AR134" s="230">
        <v>513240</v>
      </c>
      <c r="AS134" s="230">
        <v>508900</v>
      </c>
      <c r="AT134" s="230">
        <v>4340</v>
      </c>
      <c r="AU134" s="229">
        <v>8.5000000000000006E-3</v>
      </c>
      <c r="AV134" s="230">
        <v>470120</v>
      </c>
      <c r="AW134" s="230">
        <v>477680</v>
      </c>
      <c r="AX134" s="230">
        <v>-7560</v>
      </c>
      <c r="AY134" s="229">
        <v>-1.5800000000000002E-2</v>
      </c>
      <c r="AZ134" s="230">
        <v>38780</v>
      </c>
      <c r="BA134" s="230">
        <v>28000</v>
      </c>
      <c r="BB134" s="230">
        <v>10780</v>
      </c>
      <c r="BC134" s="229">
        <v>0.38500000000000001</v>
      </c>
      <c r="BD134" s="230">
        <v>4340</v>
      </c>
      <c r="BE134" s="230">
        <v>3220</v>
      </c>
      <c r="BF134" s="230">
        <v>1120</v>
      </c>
      <c r="BG134" s="229">
        <v>0.3478</v>
      </c>
      <c r="BH134" s="230">
        <v>17254860</v>
      </c>
      <c r="BI134" s="230">
        <v>12897360</v>
      </c>
      <c r="BJ134" s="230">
        <v>4357500</v>
      </c>
      <c r="BK134" s="229">
        <v>0.33789999999999998</v>
      </c>
      <c r="BL134" s="230">
        <v>17874640</v>
      </c>
      <c r="BM134" s="230">
        <v>14163520</v>
      </c>
      <c r="BN134" s="230">
        <v>3711120</v>
      </c>
      <c r="BO134" s="229">
        <v>0.26200000000000001</v>
      </c>
      <c r="BP134" s="230">
        <v>35642740</v>
      </c>
      <c r="BQ134" s="230">
        <v>27569780</v>
      </c>
      <c r="BR134" s="230">
        <v>8072960</v>
      </c>
      <c r="BS134" s="229">
        <v>0.2928</v>
      </c>
      <c r="BT134" s="228">
        <v>0</v>
      </c>
      <c r="BU134" s="228">
        <v>0</v>
      </c>
      <c r="BV134" s="228">
        <v>0</v>
      </c>
      <c r="BW134" s="229">
        <v>0</v>
      </c>
      <c r="BX134" s="230">
        <v>2696960</v>
      </c>
      <c r="BY134" s="230">
        <v>2739380</v>
      </c>
      <c r="BZ134" s="230">
        <v>-42420</v>
      </c>
      <c r="CA134" s="229">
        <v>-1.55E-2</v>
      </c>
      <c r="CB134" s="230">
        <v>2602460</v>
      </c>
      <c r="CC134" s="230">
        <v>2644180</v>
      </c>
      <c r="CD134" s="230">
        <v>-41720</v>
      </c>
      <c r="CE134" s="229">
        <v>-1.5800000000000002E-2</v>
      </c>
      <c r="CF134" s="230">
        <v>89600</v>
      </c>
      <c r="CG134" s="230">
        <v>91700</v>
      </c>
      <c r="CH134" s="230">
        <v>-2100</v>
      </c>
      <c r="CI134" s="229">
        <v>-2.29E-2</v>
      </c>
      <c r="CJ134" s="230">
        <v>4900</v>
      </c>
      <c r="CK134" s="230">
        <v>3500</v>
      </c>
      <c r="CL134" s="230">
        <v>1400</v>
      </c>
      <c r="CM134" s="229">
        <v>0.4</v>
      </c>
      <c r="CN134" s="230">
        <v>5978000</v>
      </c>
      <c r="CO134" s="230">
        <v>5859980</v>
      </c>
      <c r="CP134" s="230">
        <v>118020</v>
      </c>
      <c r="CQ134" s="229">
        <v>2.01E-2</v>
      </c>
      <c r="CR134" s="230">
        <v>7685580</v>
      </c>
      <c r="CS134" s="230">
        <v>7341320</v>
      </c>
      <c r="CT134" s="230">
        <v>344260</v>
      </c>
      <c r="CU134" s="229">
        <v>4.6899999999999997E-2</v>
      </c>
      <c r="CV134" s="230">
        <v>16360540</v>
      </c>
      <c r="CW134" s="230">
        <v>15940680</v>
      </c>
      <c r="CX134" s="230">
        <v>419860</v>
      </c>
      <c r="CY134" s="229">
        <v>2.63E-2</v>
      </c>
      <c r="CZ134" s="228">
        <v>14.72</v>
      </c>
      <c r="DA134" s="228">
        <v>14.97</v>
      </c>
      <c r="DB134" s="228">
        <v>-0.25</v>
      </c>
      <c r="DC134" s="228">
        <v>-0.25</v>
      </c>
      <c r="DD134" s="228">
        <v>22.98</v>
      </c>
      <c r="DE134" s="228">
        <v>23.01</v>
      </c>
      <c r="DF134" s="228">
        <v>-8.26</v>
      </c>
      <c r="DG134" s="228">
        <v>-0.03</v>
      </c>
      <c r="DH134" s="228">
        <v>13.29</v>
      </c>
      <c r="DI134" s="228">
        <v>13.99</v>
      </c>
      <c r="DJ134" s="228">
        <v>-0.7</v>
      </c>
      <c r="DK134" s="228">
        <v>-0.7</v>
      </c>
      <c r="DL134" s="228">
        <v>16.100000000000001</v>
      </c>
      <c r="DM134" s="228">
        <v>15.86</v>
      </c>
      <c r="DN134" s="228">
        <v>0.24</v>
      </c>
      <c r="DO134" s="228">
        <v>0.24</v>
      </c>
      <c r="DP134" s="228">
        <v>1.29</v>
      </c>
      <c r="DQ134" s="228">
        <v>1.25</v>
      </c>
      <c r="DR134" s="228">
        <v>0.04</v>
      </c>
      <c r="DS134" s="229">
        <v>3.2000000000000001E-2</v>
      </c>
      <c r="DT134" s="231">
        <v>14000</v>
      </c>
      <c r="DU134" s="231">
        <v>13000</v>
      </c>
      <c r="DV134" s="228">
        <v>1.04</v>
      </c>
      <c r="DW134" s="228">
        <v>1.1000000000000001</v>
      </c>
      <c r="DX134" s="228">
        <v>-0.06</v>
      </c>
      <c r="DY134" s="229">
        <v>-5.45E-2</v>
      </c>
      <c r="DZ134" s="229">
        <v>3.5000000000000003E-2</v>
      </c>
      <c r="EA134" s="230">
        <v>95200</v>
      </c>
      <c r="EB134" s="229">
        <v>4.1999999999999997E-3</v>
      </c>
      <c r="EC134" s="229">
        <v>3.5000000000000003E-2</v>
      </c>
      <c r="ED134" s="228">
        <v>48.09</v>
      </c>
      <c r="EE134" s="229">
        <v>3.5999999999999999E-3</v>
      </c>
      <c r="EF134" s="228">
        <v>0</v>
      </c>
      <c r="EG134" s="228">
        <v>0</v>
      </c>
      <c r="EH134" s="229">
        <v>0</v>
      </c>
      <c r="EI134" s="229">
        <v>0</v>
      </c>
      <c r="EJ134" s="231">
        <v>2327744.3199999998</v>
      </c>
      <c r="EK134" s="231">
        <v>2295377.42</v>
      </c>
      <c r="EL134" s="231">
        <v>67814.210000000006</v>
      </c>
      <c r="EM134" s="228">
        <v>0</v>
      </c>
      <c r="EN134" s="231">
        <v>4690935.95</v>
      </c>
      <c r="EO134" s="231">
        <v>3606648.3</v>
      </c>
      <c r="EP134" s="231">
        <v>1084287.6499999999</v>
      </c>
      <c r="EQ134" s="229">
        <v>0.30059999999999998</v>
      </c>
      <c r="ER134" s="231">
        <v>796891</v>
      </c>
      <c r="ES134" s="231">
        <v>968727</v>
      </c>
      <c r="ET134" s="231">
        <v>356500</v>
      </c>
      <c r="EU134" s="228">
        <v>0</v>
      </c>
      <c r="EV134" s="231">
        <v>2122118</v>
      </c>
      <c r="EW134" s="231">
        <v>2057923</v>
      </c>
      <c r="EX134" s="231">
        <v>64195</v>
      </c>
      <c r="EY134" s="229">
        <v>3.1199999999999999E-2</v>
      </c>
      <c r="EZ134" s="229">
        <v>0</v>
      </c>
      <c r="FA134" s="227" t="s">
        <v>556</v>
      </c>
      <c r="FB134" s="161">
        <f t="shared" si="2"/>
        <v>94500</v>
      </c>
    </row>
    <row r="135" spans="1:158" ht="17.25" hidden="1" thickBot="1" x14ac:dyDescent="0.3">
      <c r="A135" s="226">
        <v>45940</v>
      </c>
      <c r="B135" s="227" t="s">
        <v>162</v>
      </c>
      <c r="C135" s="227" t="s">
        <v>559</v>
      </c>
      <c r="D135" s="228">
        <v>6150</v>
      </c>
      <c r="E135" s="228">
        <v>104.64</v>
      </c>
      <c r="F135" s="228">
        <v>103.91</v>
      </c>
      <c r="G135" s="228">
        <v>0.73</v>
      </c>
      <c r="H135" s="229">
        <v>7.0000000000000001E-3</v>
      </c>
      <c r="I135" s="228">
        <v>104.1</v>
      </c>
      <c r="J135" s="228">
        <v>103.44</v>
      </c>
      <c r="K135" s="228">
        <v>0.66</v>
      </c>
      <c r="L135" s="229">
        <v>6.4000000000000003E-3</v>
      </c>
      <c r="M135" s="228">
        <v>104.64</v>
      </c>
      <c r="N135" s="228">
        <v>103.91</v>
      </c>
      <c r="O135" s="228">
        <v>0.73</v>
      </c>
      <c r="P135" s="229">
        <v>7.0000000000000001E-3</v>
      </c>
      <c r="Q135" s="228">
        <v>105.28</v>
      </c>
      <c r="R135" s="228">
        <v>104.43</v>
      </c>
      <c r="S135" s="228">
        <v>0.85</v>
      </c>
      <c r="T135" s="229">
        <v>8.0999999999999996E-3</v>
      </c>
      <c r="U135" s="228">
        <v>105.8</v>
      </c>
      <c r="V135" s="228">
        <v>105.03</v>
      </c>
      <c r="W135" s="228">
        <v>0.77</v>
      </c>
      <c r="X135" s="229">
        <v>7.3000000000000001E-3</v>
      </c>
      <c r="Y135" s="228">
        <v>0.54</v>
      </c>
      <c r="Z135" s="228">
        <v>0.47</v>
      </c>
      <c r="AA135" s="228">
        <v>7.0000000000000007E-2</v>
      </c>
      <c r="AB135" s="229">
        <v>5.1999999999999998E-3</v>
      </c>
      <c r="AC135" s="228">
        <v>0.54</v>
      </c>
      <c r="AD135" s="228">
        <v>0.47</v>
      </c>
      <c r="AE135" s="228">
        <v>7.0000000000000007E-2</v>
      </c>
      <c r="AF135" s="229">
        <v>5.1999999999999998E-3</v>
      </c>
      <c r="AG135" s="228">
        <v>1.18</v>
      </c>
      <c r="AH135" s="228">
        <v>0.99</v>
      </c>
      <c r="AI135" s="228">
        <v>0.19</v>
      </c>
      <c r="AJ135" s="229">
        <v>1.1299999999999999E-2</v>
      </c>
      <c r="AK135" s="228">
        <v>1.7</v>
      </c>
      <c r="AL135" s="228">
        <v>1.59</v>
      </c>
      <c r="AM135" s="228">
        <v>0.11</v>
      </c>
      <c r="AN135" s="229">
        <v>1.6299999999999999E-2</v>
      </c>
      <c r="AO135" s="228">
        <v>104.72</v>
      </c>
      <c r="AP135" s="228">
        <v>105.21</v>
      </c>
      <c r="AQ135" s="228">
        <v>0</v>
      </c>
      <c r="AR135" s="230">
        <v>21481950</v>
      </c>
      <c r="AS135" s="230">
        <v>25725450</v>
      </c>
      <c r="AT135" s="230">
        <v>-4243500</v>
      </c>
      <c r="AU135" s="229">
        <v>-0.16500000000000001</v>
      </c>
      <c r="AV135" s="230">
        <v>20411850</v>
      </c>
      <c r="AW135" s="230">
        <v>23788200</v>
      </c>
      <c r="AX135" s="230">
        <v>-3376350</v>
      </c>
      <c r="AY135" s="229">
        <v>-0.1419</v>
      </c>
      <c r="AZ135" s="230">
        <v>928650</v>
      </c>
      <c r="BA135" s="230">
        <v>1789650</v>
      </c>
      <c r="BB135" s="230">
        <v>-861000</v>
      </c>
      <c r="BC135" s="229">
        <v>-0.48110000000000003</v>
      </c>
      <c r="BD135" s="230">
        <v>141450</v>
      </c>
      <c r="BE135" s="230">
        <v>147600</v>
      </c>
      <c r="BF135" s="230">
        <v>-6150</v>
      </c>
      <c r="BG135" s="229">
        <v>-4.1700000000000001E-2</v>
      </c>
      <c r="BH135" s="230">
        <v>48621900</v>
      </c>
      <c r="BI135" s="230">
        <v>50540700</v>
      </c>
      <c r="BJ135" s="230">
        <v>-1918800</v>
      </c>
      <c r="BK135" s="229">
        <v>-3.7999999999999999E-2</v>
      </c>
      <c r="BL135" s="230">
        <v>14083500</v>
      </c>
      <c r="BM135" s="230">
        <v>24360150</v>
      </c>
      <c r="BN135" s="230">
        <v>-10276650</v>
      </c>
      <c r="BO135" s="229">
        <v>-0.4219</v>
      </c>
      <c r="BP135" s="230">
        <v>84187350</v>
      </c>
      <c r="BQ135" s="230">
        <v>100626300</v>
      </c>
      <c r="BR135" s="230">
        <v>-16438950</v>
      </c>
      <c r="BS135" s="229">
        <v>-0.16339999999999999</v>
      </c>
      <c r="BT135" s="230">
        <v>10306119</v>
      </c>
      <c r="BU135" s="230">
        <v>14046051</v>
      </c>
      <c r="BV135" s="230">
        <v>-3739932</v>
      </c>
      <c r="BW135" s="229">
        <v>-0.26629999999999998</v>
      </c>
      <c r="BX135" s="230">
        <v>165637950</v>
      </c>
      <c r="BY135" s="230">
        <v>165275100</v>
      </c>
      <c r="BZ135" s="230">
        <v>362850</v>
      </c>
      <c r="CA135" s="229">
        <v>2.2000000000000001E-3</v>
      </c>
      <c r="CB135" s="230">
        <v>158811450</v>
      </c>
      <c r="CC135" s="230">
        <v>158553150</v>
      </c>
      <c r="CD135" s="230">
        <v>258300</v>
      </c>
      <c r="CE135" s="229">
        <v>1.6000000000000001E-3</v>
      </c>
      <c r="CF135" s="230">
        <v>6236100</v>
      </c>
      <c r="CG135" s="230">
        <v>6106950</v>
      </c>
      <c r="CH135" s="230">
        <v>129150</v>
      </c>
      <c r="CI135" s="229">
        <v>2.1100000000000001E-2</v>
      </c>
      <c r="CJ135" s="230">
        <v>590400</v>
      </c>
      <c r="CK135" s="230">
        <v>615000</v>
      </c>
      <c r="CL135" s="230">
        <v>-24600</v>
      </c>
      <c r="CM135" s="229">
        <v>-0.04</v>
      </c>
      <c r="CN135" s="230">
        <v>58154400</v>
      </c>
      <c r="CO135" s="230">
        <v>56782950</v>
      </c>
      <c r="CP135" s="230">
        <v>1371450</v>
      </c>
      <c r="CQ135" s="229">
        <v>2.4199999999999999E-2</v>
      </c>
      <c r="CR135" s="230">
        <v>30079650</v>
      </c>
      <c r="CS135" s="230">
        <v>29120250</v>
      </c>
      <c r="CT135" s="230">
        <v>959400</v>
      </c>
      <c r="CU135" s="229">
        <v>3.2899999999999999E-2</v>
      </c>
      <c r="CV135" s="230">
        <v>253872000</v>
      </c>
      <c r="CW135" s="230">
        <v>251178300</v>
      </c>
      <c r="CX135" s="230">
        <v>2693700</v>
      </c>
      <c r="CY135" s="229">
        <v>1.0699999999999999E-2</v>
      </c>
      <c r="CZ135" s="228">
        <v>31.49</v>
      </c>
      <c r="DA135" s="228">
        <v>32.58</v>
      </c>
      <c r="DB135" s="228">
        <v>-1.0900000000000001</v>
      </c>
      <c r="DC135" s="228">
        <v>-1.0900000000000001</v>
      </c>
      <c r="DD135" s="228">
        <v>41.32</v>
      </c>
      <c r="DE135" s="228">
        <v>41.41</v>
      </c>
      <c r="DF135" s="228">
        <v>-9.83</v>
      </c>
      <c r="DG135" s="228">
        <v>-0.09</v>
      </c>
      <c r="DH135" s="228">
        <v>31.74</v>
      </c>
      <c r="DI135" s="228">
        <v>32.61</v>
      </c>
      <c r="DJ135" s="228">
        <v>-0.87</v>
      </c>
      <c r="DK135" s="228">
        <v>-0.87</v>
      </c>
      <c r="DL135" s="228">
        <v>30.64</v>
      </c>
      <c r="DM135" s="228">
        <v>32.51</v>
      </c>
      <c r="DN135" s="228">
        <v>-1.87</v>
      </c>
      <c r="DO135" s="228">
        <v>-1.87</v>
      </c>
      <c r="DP135" s="228">
        <v>0.52</v>
      </c>
      <c r="DQ135" s="228">
        <v>0.51</v>
      </c>
      <c r="DR135" s="228">
        <v>0.01</v>
      </c>
      <c r="DS135" s="229">
        <v>1.9599999999999999E-2</v>
      </c>
      <c r="DT135" s="228">
        <v>110</v>
      </c>
      <c r="DU135" s="228">
        <v>100</v>
      </c>
      <c r="DV135" s="228">
        <v>0.28999999999999998</v>
      </c>
      <c r="DW135" s="228">
        <v>0.48</v>
      </c>
      <c r="DX135" s="228">
        <v>-0.19</v>
      </c>
      <c r="DY135" s="229">
        <v>-0.39579999999999999</v>
      </c>
      <c r="DZ135" s="229">
        <v>4.1200000000000001E-2</v>
      </c>
      <c r="EA135" s="230">
        <v>6721950</v>
      </c>
      <c r="EB135" s="229">
        <v>6.1000000000000004E-3</v>
      </c>
      <c r="EC135" s="229">
        <v>4.1200000000000001E-2</v>
      </c>
      <c r="ED135" s="228">
        <v>0.49</v>
      </c>
      <c r="EE135" s="229">
        <v>4.7000000000000002E-3</v>
      </c>
      <c r="EF135" s="230">
        <v>4451498</v>
      </c>
      <c r="EG135" s="230">
        <v>7698953</v>
      </c>
      <c r="EH135" s="229">
        <v>-0.42180000000000001</v>
      </c>
      <c r="EI135" s="229">
        <v>0.43190000000000001</v>
      </c>
      <c r="EJ135" s="231">
        <v>54014.89</v>
      </c>
      <c r="EK135" s="231">
        <v>14675.71</v>
      </c>
      <c r="EL135" s="231">
        <v>22502.85</v>
      </c>
      <c r="EM135" s="231">
        <v>3490</v>
      </c>
      <c r="EN135" s="231">
        <v>91193.45</v>
      </c>
      <c r="EO135" s="231">
        <v>106845.55</v>
      </c>
      <c r="EP135" s="231">
        <v>-15652.1</v>
      </c>
      <c r="EQ135" s="229">
        <v>-0.14649999999999999</v>
      </c>
      <c r="ER135" s="231">
        <v>64732</v>
      </c>
      <c r="ES135" s="231">
        <v>30716</v>
      </c>
      <c r="ET135" s="231">
        <v>173370</v>
      </c>
      <c r="EU135" s="231">
        <v>542522848</v>
      </c>
      <c r="EV135" s="231">
        <v>268818</v>
      </c>
      <c r="EW135" s="231">
        <v>264707</v>
      </c>
      <c r="EX135" s="231">
        <v>4111</v>
      </c>
      <c r="EY135" s="229">
        <v>1.55E-2</v>
      </c>
      <c r="EZ135" s="229">
        <v>0.46789999999999998</v>
      </c>
      <c r="FA135" s="227" t="s">
        <v>555</v>
      </c>
      <c r="FB135" s="161">
        <f t="shared" si="2"/>
        <v>6826500</v>
      </c>
    </row>
    <row r="136" spans="1:158" ht="17.25" hidden="1" thickBot="1" x14ac:dyDescent="0.3">
      <c r="A136" s="226">
        <v>45940</v>
      </c>
      <c r="B136" s="227" t="s">
        <v>221</v>
      </c>
      <c r="C136" s="227" t="s">
        <v>487</v>
      </c>
      <c r="D136" s="228">
        <v>275</v>
      </c>
      <c r="E136" s="231">
        <v>2794.9</v>
      </c>
      <c r="F136" s="231">
        <v>2822.6</v>
      </c>
      <c r="G136" s="228">
        <v>-27.7</v>
      </c>
      <c r="H136" s="229">
        <v>-9.7999999999999997E-3</v>
      </c>
      <c r="I136" s="231">
        <v>2783.2</v>
      </c>
      <c r="J136" s="231">
        <v>2807.2</v>
      </c>
      <c r="K136" s="228">
        <v>-24</v>
      </c>
      <c r="L136" s="229">
        <v>-8.5000000000000006E-3</v>
      </c>
      <c r="M136" s="231">
        <v>2794.9</v>
      </c>
      <c r="N136" s="231">
        <v>2822.6</v>
      </c>
      <c r="O136" s="228">
        <v>-27.7</v>
      </c>
      <c r="P136" s="229">
        <v>-9.7999999999999997E-3</v>
      </c>
      <c r="Q136" s="231">
        <v>2809.8</v>
      </c>
      <c r="R136" s="231">
        <v>2834.9</v>
      </c>
      <c r="S136" s="228">
        <v>-25.1</v>
      </c>
      <c r="T136" s="229">
        <v>-8.8999999999999999E-3</v>
      </c>
      <c r="U136" s="231">
        <v>2825.3</v>
      </c>
      <c r="V136" s="231">
        <v>2842.2</v>
      </c>
      <c r="W136" s="228">
        <v>-16.899999999999999</v>
      </c>
      <c r="X136" s="229">
        <v>-5.8999999999999999E-3</v>
      </c>
      <c r="Y136" s="228">
        <v>11.7</v>
      </c>
      <c r="Z136" s="228">
        <v>15.4</v>
      </c>
      <c r="AA136" s="228">
        <v>-3.7</v>
      </c>
      <c r="AB136" s="229">
        <v>4.1999999999999997E-3</v>
      </c>
      <c r="AC136" s="228">
        <v>11.7</v>
      </c>
      <c r="AD136" s="228">
        <v>15.4</v>
      </c>
      <c r="AE136" s="228">
        <v>-3.7</v>
      </c>
      <c r="AF136" s="229">
        <v>4.1999999999999997E-3</v>
      </c>
      <c r="AG136" s="228">
        <v>26.6</v>
      </c>
      <c r="AH136" s="228">
        <v>27.7</v>
      </c>
      <c r="AI136" s="228">
        <v>-1.1000000000000001</v>
      </c>
      <c r="AJ136" s="229">
        <v>9.5999999999999992E-3</v>
      </c>
      <c r="AK136" s="228">
        <v>42.1</v>
      </c>
      <c r="AL136" s="228">
        <v>35</v>
      </c>
      <c r="AM136" s="228">
        <v>7.1</v>
      </c>
      <c r="AN136" s="229">
        <v>1.5100000000000001E-2</v>
      </c>
      <c r="AO136" s="231">
        <v>2798.5</v>
      </c>
      <c r="AP136" s="231">
        <v>2815.95</v>
      </c>
      <c r="AQ136" s="228">
        <v>0</v>
      </c>
      <c r="AR136" s="230">
        <v>707850</v>
      </c>
      <c r="AS136" s="230">
        <v>814000</v>
      </c>
      <c r="AT136" s="230">
        <v>-106150</v>
      </c>
      <c r="AU136" s="229">
        <v>-0.13039999999999999</v>
      </c>
      <c r="AV136" s="230">
        <v>678700</v>
      </c>
      <c r="AW136" s="230">
        <v>791175</v>
      </c>
      <c r="AX136" s="230">
        <v>-112475</v>
      </c>
      <c r="AY136" s="229">
        <v>-0.14219999999999999</v>
      </c>
      <c r="AZ136" s="230">
        <v>27775</v>
      </c>
      <c r="BA136" s="230">
        <v>20075</v>
      </c>
      <c r="BB136" s="230">
        <v>7700</v>
      </c>
      <c r="BC136" s="229">
        <v>0.3836</v>
      </c>
      <c r="BD136" s="230">
        <v>1375</v>
      </c>
      <c r="BE136" s="230">
        <v>2750</v>
      </c>
      <c r="BF136" s="230">
        <v>-1375</v>
      </c>
      <c r="BG136" s="229">
        <v>-0.5</v>
      </c>
      <c r="BH136" s="230">
        <v>1359600</v>
      </c>
      <c r="BI136" s="230">
        <v>1245750</v>
      </c>
      <c r="BJ136" s="230">
        <v>113850</v>
      </c>
      <c r="BK136" s="229">
        <v>9.1399999999999995E-2</v>
      </c>
      <c r="BL136" s="230">
        <v>648450</v>
      </c>
      <c r="BM136" s="230">
        <v>425425</v>
      </c>
      <c r="BN136" s="230">
        <v>223025</v>
      </c>
      <c r="BO136" s="229">
        <v>0.5242</v>
      </c>
      <c r="BP136" s="230">
        <v>2715900</v>
      </c>
      <c r="BQ136" s="230">
        <v>2485175</v>
      </c>
      <c r="BR136" s="230">
        <v>230725</v>
      </c>
      <c r="BS136" s="229">
        <v>9.2799999999999994E-2</v>
      </c>
      <c r="BT136" s="230">
        <v>306255</v>
      </c>
      <c r="BU136" s="230">
        <v>481305</v>
      </c>
      <c r="BV136" s="230">
        <v>-175050</v>
      </c>
      <c r="BW136" s="229">
        <v>-0.36370000000000002</v>
      </c>
      <c r="BX136" s="230">
        <v>4284225</v>
      </c>
      <c r="BY136" s="230">
        <v>4247100</v>
      </c>
      <c r="BZ136" s="230">
        <v>37125</v>
      </c>
      <c r="CA136" s="229">
        <v>8.6999999999999994E-3</v>
      </c>
      <c r="CB136" s="230">
        <v>4221525</v>
      </c>
      <c r="CC136" s="230">
        <v>4190175</v>
      </c>
      <c r="CD136" s="230">
        <v>31350</v>
      </c>
      <c r="CE136" s="229">
        <v>7.4999999999999997E-3</v>
      </c>
      <c r="CF136" s="230">
        <v>60500</v>
      </c>
      <c r="CG136" s="230">
        <v>55000</v>
      </c>
      <c r="CH136" s="230">
        <v>5500</v>
      </c>
      <c r="CI136" s="229">
        <v>0.1</v>
      </c>
      <c r="CJ136" s="230">
        <v>2200</v>
      </c>
      <c r="CK136" s="230">
        <v>1925</v>
      </c>
      <c r="CL136" s="228">
        <v>275</v>
      </c>
      <c r="CM136" s="229">
        <v>0.1429</v>
      </c>
      <c r="CN136" s="230">
        <v>1081575</v>
      </c>
      <c r="CO136" s="230">
        <v>1051875</v>
      </c>
      <c r="CP136" s="230">
        <v>29700</v>
      </c>
      <c r="CQ136" s="229">
        <v>2.8199999999999999E-2</v>
      </c>
      <c r="CR136" s="230">
        <v>629200</v>
      </c>
      <c r="CS136" s="230">
        <v>634425</v>
      </c>
      <c r="CT136" s="230">
        <v>-5225</v>
      </c>
      <c r="CU136" s="229">
        <v>-8.2000000000000007E-3</v>
      </c>
      <c r="CV136" s="230">
        <v>5995000</v>
      </c>
      <c r="CW136" s="230">
        <v>5933400</v>
      </c>
      <c r="CX136" s="230">
        <v>61600</v>
      </c>
      <c r="CY136" s="229">
        <v>1.04E-2</v>
      </c>
      <c r="CZ136" s="228">
        <v>29.33</v>
      </c>
      <c r="DA136" s="228">
        <v>30.15</v>
      </c>
      <c r="DB136" s="228">
        <v>-0.82</v>
      </c>
      <c r="DC136" s="228">
        <v>-0.82</v>
      </c>
      <c r="DD136" s="228">
        <v>37.82</v>
      </c>
      <c r="DE136" s="228">
        <v>37.89</v>
      </c>
      <c r="DF136" s="228">
        <v>-8.49</v>
      </c>
      <c r="DG136" s="228">
        <v>-7.0000000000000007E-2</v>
      </c>
      <c r="DH136" s="228">
        <v>29.11</v>
      </c>
      <c r="DI136" s="228">
        <v>30.04</v>
      </c>
      <c r="DJ136" s="228">
        <v>-0.93</v>
      </c>
      <c r="DK136" s="228">
        <v>-0.93</v>
      </c>
      <c r="DL136" s="228">
        <v>29.8</v>
      </c>
      <c r="DM136" s="228">
        <v>30.46</v>
      </c>
      <c r="DN136" s="228">
        <v>-0.66</v>
      </c>
      <c r="DO136" s="228">
        <v>-0.66</v>
      </c>
      <c r="DP136" s="228">
        <v>0.57999999999999996</v>
      </c>
      <c r="DQ136" s="228">
        <v>0.6</v>
      </c>
      <c r="DR136" s="228">
        <v>-0.02</v>
      </c>
      <c r="DS136" s="229">
        <v>-3.3300000000000003E-2</v>
      </c>
      <c r="DT136" s="231">
        <v>2900</v>
      </c>
      <c r="DU136" s="231">
        <v>2600</v>
      </c>
      <c r="DV136" s="228">
        <v>0.48</v>
      </c>
      <c r="DW136" s="228">
        <v>0.34</v>
      </c>
      <c r="DX136" s="228">
        <v>0.14000000000000001</v>
      </c>
      <c r="DY136" s="229">
        <v>0.4118</v>
      </c>
      <c r="DZ136" s="229">
        <v>1.46E-2</v>
      </c>
      <c r="EA136" s="230">
        <v>56925</v>
      </c>
      <c r="EB136" s="229">
        <v>5.3E-3</v>
      </c>
      <c r="EC136" s="229">
        <v>1.46E-2</v>
      </c>
      <c r="ED136" s="228">
        <v>17.45</v>
      </c>
      <c r="EE136" s="229">
        <v>6.1999999999999998E-3</v>
      </c>
      <c r="EF136" s="230">
        <v>124962</v>
      </c>
      <c r="EG136" s="230">
        <v>309982</v>
      </c>
      <c r="EH136" s="229">
        <v>-0.59689999999999999</v>
      </c>
      <c r="EI136" s="229">
        <v>0.40799999999999997</v>
      </c>
      <c r="EJ136" s="231">
        <v>39804.22</v>
      </c>
      <c r="EK136" s="231">
        <v>17796.580000000002</v>
      </c>
      <c r="EL136" s="231">
        <v>19814.349999999999</v>
      </c>
      <c r="EM136" s="231">
        <v>3044</v>
      </c>
      <c r="EN136" s="231">
        <v>77415.149999999994</v>
      </c>
      <c r="EO136" s="231">
        <v>71761.710000000006</v>
      </c>
      <c r="EP136" s="231">
        <v>5653.44</v>
      </c>
      <c r="EQ136" s="229">
        <v>7.8799999999999995E-2</v>
      </c>
      <c r="ER136" s="231">
        <v>31790</v>
      </c>
      <c r="ES136" s="231">
        <v>16713</v>
      </c>
      <c r="ET136" s="231">
        <v>119749</v>
      </c>
      <c r="EU136" s="231">
        <v>14652855</v>
      </c>
      <c r="EV136" s="231">
        <v>168253</v>
      </c>
      <c r="EW136" s="231">
        <v>167681</v>
      </c>
      <c r="EX136" s="228">
        <v>572</v>
      </c>
      <c r="EY136" s="229">
        <v>3.3999999999999998E-3</v>
      </c>
      <c r="EZ136" s="229">
        <v>0.40910000000000002</v>
      </c>
      <c r="FA136" s="227" t="s">
        <v>567</v>
      </c>
      <c r="FB136" s="161">
        <f t="shared" si="2"/>
        <v>62700</v>
      </c>
    </row>
    <row r="137" spans="1:158" ht="17.25" hidden="1" thickBot="1" x14ac:dyDescent="0.3">
      <c r="A137" s="226">
        <v>45940</v>
      </c>
      <c r="B137" s="227" t="s">
        <v>175</v>
      </c>
      <c r="C137" s="227" t="s">
        <v>262</v>
      </c>
      <c r="D137" s="228">
        <v>275</v>
      </c>
      <c r="E137" s="231">
        <v>3175</v>
      </c>
      <c r="F137" s="231">
        <v>3254.5</v>
      </c>
      <c r="G137" s="228">
        <v>-79.5</v>
      </c>
      <c r="H137" s="229">
        <v>-2.4400000000000002E-2</v>
      </c>
      <c r="I137" s="231">
        <v>3156.9</v>
      </c>
      <c r="J137" s="231">
        <v>3249.5</v>
      </c>
      <c r="K137" s="228">
        <v>-92.6</v>
      </c>
      <c r="L137" s="229">
        <v>-2.8500000000000001E-2</v>
      </c>
      <c r="M137" s="231">
        <v>3175</v>
      </c>
      <c r="N137" s="231">
        <v>3254.5</v>
      </c>
      <c r="O137" s="228">
        <v>-79.5</v>
      </c>
      <c r="P137" s="229">
        <v>-2.4400000000000002E-2</v>
      </c>
      <c r="Q137" s="231">
        <v>3184.3</v>
      </c>
      <c r="R137" s="231">
        <v>3258.9</v>
      </c>
      <c r="S137" s="228">
        <v>-74.599999999999994</v>
      </c>
      <c r="T137" s="229">
        <v>-2.29E-2</v>
      </c>
      <c r="U137" s="231">
        <v>3191.1</v>
      </c>
      <c r="V137" s="231">
        <v>3260</v>
      </c>
      <c r="W137" s="228">
        <v>-68.900000000000006</v>
      </c>
      <c r="X137" s="229">
        <v>-2.1100000000000001E-2</v>
      </c>
      <c r="Y137" s="228">
        <v>18.100000000000001</v>
      </c>
      <c r="Z137" s="228">
        <v>5</v>
      </c>
      <c r="AA137" s="228">
        <v>13.1</v>
      </c>
      <c r="AB137" s="229">
        <v>5.7000000000000002E-3</v>
      </c>
      <c r="AC137" s="228">
        <v>18.100000000000001</v>
      </c>
      <c r="AD137" s="228">
        <v>5</v>
      </c>
      <c r="AE137" s="228">
        <v>13.1</v>
      </c>
      <c r="AF137" s="229">
        <v>5.7000000000000002E-3</v>
      </c>
      <c r="AG137" s="228">
        <v>27.4</v>
      </c>
      <c r="AH137" s="228">
        <v>9.4</v>
      </c>
      <c r="AI137" s="228">
        <v>18</v>
      </c>
      <c r="AJ137" s="229">
        <v>8.6999999999999994E-3</v>
      </c>
      <c r="AK137" s="228">
        <v>34.200000000000003</v>
      </c>
      <c r="AL137" s="228">
        <v>10.5</v>
      </c>
      <c r="AM137" s="228">
        <v>23.7</v>
      </c>
      <c r="AN137" s="229">
        <v>1.0800000000000001E-2</v>
      </c>
      <c r="AO137" s="231">
        <v>3190.06</v>
      </c>
      <c r="AP137" s="231">
        <v>3198.58</v>
      </c>
      <c r="AQ137" s="228">
        <v>0</v>
      </c>
      <c r="AR137" s="230">
        <v>1269125</v>
      </c>
      <c r="AS137" s="230">
        <v>559075</v>
      </c>
      <c r="AT137" s="230">
        <v>710050</v>
      </c>
      <c r="AU137" s="229">
        <v>1.27</v>
      </c>
      <c r="AV137" s="230">
        <v>1186900</v>
      </c>
      <c r="AW137" s="230">
        <v>523050</v>
      </c>
      <c r="AX137" s="230">
        <v>663850</v>
      </c>
      <c r="AY137" s="229">
        <v>1.2692000000000001</v>
      </c>
      <c r="AZ137" s="230">
        <v>70400</v>
      </c>
      <c r="BA137" s="230">
        <v>32175</v>
      </c>
      <c r="BB137" s="230">
        <v>38225</v>
      </c>
      <c r="BC137" s="229">
        <v>1.1879999999999999</v>
      </c>
      <c r="BD137" s="230">
        <v>11825</v>
      </c>
      <c r="BE137" s="230">
        <v>3850</v>
      </c>
      <c r="BF137" s="230">
        <v>7975</v>
      </c>
      <c r="BG137" s="229">
        <v>2.0714000000000001</v>
      </c>
      <c r="BH137" s="230">
        <v>4230875</v>
      </c>
      <c r="BI137" s="230">
        <v>1737725</v>
      </c>
      <c r="BJ137" s="230">
        <v>2493150</v>
      </c>
      <c r="BK137" s="229">
        <v>1.4347000000000001</v>
      </c>
      <c r="BL137" s="230">
        <v>2673000</v>
      </c>
      <c r="BM137" s="230">
        <v>1157750</v>
      </c>
      <c r="BN137" s="230">
        <v>1515250</v>
      </c>
      <c r="BO137" s="229">
        <v>1.3088</v>
      </c>
      <c r="BP137" s="230">
        <v>8173000</v>
      </c>
      <c r="BQ137" s="230">
        <v>3454550</v>
      </c>
      <c r="BR137" s="230">
        <v>4718450</v>
      </c>
      <c r="BS137" s="229">
        <v>1.3658999999999999</v>
      </c>
      <c r="BT137" s="230">
        <v>571507</v>
      </c>
      <c r="BU137" s="230">
        <v>373406</v>
      </c>
      <c r="BV137" s="230">
        <v>198101</v>
      </c>
      <c r="BW137" s="229">
        <v>0.53049999999999997</v>
      </c>
      <c r="BX137" s="230">
        <v>2720300</v>
      </c>
      <c r="BY137" s="230">
        <v>2715900</v>
      </c>
      <c r="BZ137" s="230">
        <v>4400</v>
      </c>
      <c r="CA137" s="229">
        <v>1.6000000000000001E-3</v>
      </c>
      <c r="CB137" s="230">
        <v>2599300</v>
      </c>
      <c r="CC137" s="230">
        <v>2585550</v>
      </c>
      <c r="CD137" s="230">
        <v>13750</v>
      </c>
      <c r="CE137" s="229">
        <v>5.3E-3</v>
      </c>
      <c r="CF137" s="230">
        <v>97900</v>
      </c>
      <c r="CG137" s="230">
        <v>105875</v>
      </c>
      <c r="CH137" s="230">
        <v>-7975</v>
      </c>
      <c r="CI137" s="229">
        <v>-7.5300000000000006E-2</v>
      </c>
      <c r="CJ137" s="230">
        <v>23100</v>
      </c>
      <c r="CK137" s="230">
        <v>24475</v>
      </c>
      <c r="CL137" s="230">
        <v>-1375</v>
      </c>
      <c r="CM137" s="229">
        <v>-5.62E-2</v>
      </c>
      <c r="CN137" s="230">
        <v>2214025</v>
      </c>
      <c r="CO137" s="230">
        <v>2016025</v>
      </c>
      <c r="CP137" s="230">
        <v>198000</v>
      </c>
      <c r="CQ137" s="229">
        <v>9.8199999999999996E-2</v>
      </c>
      <c r="CR137" s="230">
        <v>1371975</v>
      </c>
      <c r="CS137" s="230">
        <v>1426700</v>
      </c>
      <c r="CT137" s="230">
        <v>-54725</v>
      </c>
      <c r="CU137" s="229">
        <v>-3.8399999999999997E-2</v>
      </c>
      <c r="CV137" s="230">
        <v>6306300</v>
      </c>
      <c r="CW137" s="230">
        <v>6158625</v>
      </c>
      <c r="CX137" s="230">
        <v>147675</v>
      </c>
      <c r="CY137" s="229">
        <v>2.4E-2</v>
      </c>
      <c r="CZ137" s="228">
        <v>26.09</v>
      </c>
      <c r="DA137" s="228">
        <v>25.9</v>
      </c>
      <c r="DB137" s="228">
        <v>0.19</v>
      </c>
      <c r="DC137" s="228">
        <v>0.19</v>
      </c>
      <c r="DD137" s="228">
        <v>36.29</v>
      </c>
      <c r="DE137" s="228">
        <v>36.22</v>
      </c>
      <c r="DF137" s="228">
        <v>-10.199999999999999</v>
      </c>
      <c r="DG137" s="228">
        <v>7.0000000000000007E-2</v>
      </c>
      <c r="DH137" s="228">
        <v>25.97</v>
      </c>
      <c r="DI137" s="228">
        <v>25.04</v>
      </c>
      <c r="DJ137" s="228">
        <v>0.93</v>
      </c>
      <c r="DK137" s="228">
        <v>0.93</v>
      </c>
      <c r="DL137" s="228">
        <v>26.28</v>
      </c>
      <c r="DM137" s="228">
        <v>27.2</v>
      </c>
      <c r="DN137" s="228">
        <v>-0.92</v>
      </c>
      <c r="DO137" s="228">
        <v>-0.92</v>
      </c>
      <c r="DP137" s="228">
        <v>0.62</v>
      </c>
      <c r="DQ137" s="228">
        <v>0.71</v>
      </c>
      <c r="DR137" s="228">
        <v>-0.09</v>
      </c>
      <c r="DS137" s="229">
        <v>-0.1268</v>
      </c>
      <c r="DT137" s="231">
        <v>3200</v>
      </c>
      <c r="DU137" s="231">
        <v>3200</v>
      </c>
      <c r="DV137" s="228">
        <v>0.63</v>
      </c>
      <c r="DW137" s="228">
        <v>0.67</v>
      </c>
      <c r="DX137" s="228">
        <v>-0.04</v>
      </c>
      <c r="DY137" s="229">
        <v>-5.9700000000000003E-2</v>
      </c>
      <c r="DZ137" s="229">
        <v>4.4499999999999998E-2</v>
      </c>
      <c r="EA137" s="230">
        <v>130350</v>
      </c>
      <c r="EB137" s="229">
        <v>2.8999999999999998E-3</v>
      </c>
      <c r="EC137" s="229">
        <v>4.4499999999999998E-2</v>
      </c>
      <c r="ED137" s="228">
        <v>8.52</v>
      </c>
      <c r="EE137" s="229">
        <v>2.7000000000000001E-3</v>
      </c>
      <c r="EF137" s="230">
        <v>281243</v>
      </c>
      <c r="EG137" s="230">
        <v>208994</v>
      </c>
      <c r="EH137" s="229">
        <v>0.34570000000000001</v>
      </c>
      <c r="EI137" s="229">
        <v>0.49209999999999998</v>
      </c>
      <c r="EJ137" s="231">
        <v>141489.79</v>
      </c>
      <c r="EK137" s="231">
        <v>84354.51</v>
      </c>
      <c r="EL137" s="231">
        <v>40493.21</v>
      </c>
      <c r="EM137" s="231">
        <v>2665</v>
      </c>
      <c r="EN137" s="231">
        <v>266337.51</v>
      </c>
      <c r="EO137" s="231">
        <v>114125.23</v>
      </c>
      <c r="EP137" s="231">
        <v>152212.28</v>
      </c>
      <c r="EQ137" s="229">
        <v>1.3337000000000001</v>
      </c>
      <c r="ER137" s="231">
        <v>71469</v>
      </c>
      <c r="ES137" s="231">
        <v>41648</v>
      </c>
      <c r="ET137" s="231">
        <v>86382</v>
      </c>
      <c r="EU137" s="231">
        <v>16050690</v>
      </c>
      <c r="EV137" s="231">
        <v>199499</v>
      </c>
      <c r="EW137" s="231">
        <v>197043</v>
      </c>
      <c r="EX137" s="231">
        <v>2456</v>
      </c>
      <c r="EY137" s="229">
        <v>1.2500000000000001E-2</v>
      </c>
      <c r="EZ137" s="229">
        <v>0.39290000000000003</v>
      </c>
      <c r="FA137" s="227" t="s">
        <v>567</v>
      </c>
      <c r="FB137" s="161">
        <f t="shared" si="2"/>
        <v>121000</v>
      </c>
    </row>
    <row r="138" spans="1:158" ht="17.25" hidden="1" thickBot="1" x14ac:dyDescent="0.3">
      <c r="A138" s="226">
        <v>45940</v>
      </c>
      <c r="B138" s="227" t="s">
        <v>227</v>
      </c>
      <c r="C138" s="227" t="s">
        <v>263</v>
      </c>
      <c r="D138" s="228">
        <v>3750</v>
      </c>
      <c r="E138" s="228">
        <v>225.25</v>
      </c>
      <c r="F138" s="228">
        <v>230.75</v>
      </c>
      <c r="G138" s="228">
        <v>-5.5</v>
      </c>
      <c r="H138" s="229">
        <v>-2.3800000000000002E-2</v>
      </c>
      <c r="I138" s="228">
        <v>224.3</v>
      </c>
      <c r="J138" s="228">
        <v>229.55</v>
      </c>
      <c r="K138" s="228">
        <v>-5.25</v>
      </c>
      <c r="L138" s="229">
        <v>-2.29E-2</v>
      </c>
      <c r="M138" s="228">
        <v>225.25</v>
      </c>
      <c r="N138" s="228">
        <v>230.75</v>
      </c>
      <c r="O138" s="228">
        <v>-5.5</v>
      </c>
      <c r="P138" s="229">
        <v>-2.3800000000000002E-2</v>
      </c>
      <c r="Q138" s="228">
        <v>225.36</v>
      </c>
      <c r="R138" s="228">
        <v>231.13</v>
      </c>
      <c r="S138" s="228">
        <v>-5.77</v>
      </c>
      <c r="T138" s="229">
        <v>-2.5000000000000001E-2</v>
      </c>
      <c r="U138" s="228">
        <v>226.13</v>
      </c>
      <c r="V138" s="228">
        <v>231.54</v>
      </c>
      <c r="W138" s="228">
        <v>-5.41</v>
      </c>
      <c r="X138" s="229">
        <v>-2.3400000000000001E-2</v>
      </c>
      <c r="Y138" s="228">
        <v>0.95</v>
      </c>
      <c r="Z138" s="228">
        <v>1.2</v>
      </c>
      <c r="AA138" s="228">
        <v>-0.25</v>
      </c>
      <c r="AB138" s="229">
        <v>4.1999999999999997E-3</v>
      </c>
      <c r="AC138" s="228">
        <v>0.95</v>
      </c>
      <c r="AD138" s="228">
        <v>1.2</v>
      </c>
      <c r="AE138" s="228">
        <v>-0.25</v>
      </c>
      <c r="AF138" s="229">
        <v>4.1999999999999997E-3</v>
      </c>
      <c r="AG138" s="228">
        <v>1.06</v>
      </c>
      <c r="AH138" s="228">
        <v>1.58</v>
      </c>
      <c r="AI138" s="228">
        <v>-0.52</v>
      </c>
      <c r="AJ138" s="229">
        <v>4.7000000000000002E-3</v>
      </c>
      <c r="AK138" s="228">
        <v>1.83</v>
      </c>
      <c r="AL138" s="228">
        <v>1.99</v>
      </c>
      <c r="AM138" s="228">
        <v>-0.16</v>
      </c>
      <c r="AN138" s="229">
        <v>8.2000000000000007E-3</v>
      </c>
      <c r="AO138" s="228">
        <v>225.94</v>
      </c>
      <c r="AP138" s="228">
        <v>226.13</v>
      </c>
      <c r="AQ138" s="228">
        <v>0</v>
      </c>
      <c r="AR138" s="230">
        <v>22661250</v>
      </c>
      <c r="AS138" s="230">
        <v>34166250</v>
      </c>
      <c r="AT138" s="230">
        <v>-11505000</v>
      </c>
      <c r="AU138" s="229">
        <v>-0.3367</v>
      </c>
      <c r="AV138" s="230">
        <v>20756250</v>
      </c>
      <c r="AW138" s="230">
        <v>31447500</v>
      </c>
      <c r="AX138" s="230">
        <v>-10691250</v>
      </c>
      <c r="AY138" s="229">
        <v>-0.34</v>
      </c>
      <c r="AZ138" s="230">
        <v>1725000</v>
      </c>
      <c r="BA138" s="230">
        <v>2388750</v>
      </c>
      <c r="BB138" s="230">
        <v>-663750</v>
      </c>
      <c r="BC138" s="229">
        <v>-0.27789999999999998</v>
      </c>
      <c r="BD138" s="230">
        <v>180000</v>
      </c>
      <c r="BE138" s="230">
        <v>330000</v>
      </c>
      <c r="BF138" s="230">
        <v>-150000</v>
      </c>
      <c r="BG138" s="229">
        <v>-0.45450000000000002</v>
      </c>
      <c r="BH138" s="230">
        <v>57558750</v>
      </c>
      <c r="BI138" s="230">
        <v>129896250</v>
      </c>
      <c r="BJ138" s="230">
        <v>-72337500</v>
      </c>
      <c r="BK138" s="229">
        <v>-0.55689999999999995</v>
      </c>
      <c r="BL138" s="230">
        <v>31203750</v>
      </c>
      <c r="BM138" s="230">
        <v>71831250</v>
      </c>
      <c r="BN138" s="230">
        <v>-40627500</v>
      </c>
      <c r="BO138" s="229">
        <v>-0.56559999999999999</v>
      </c>
      <c r="BP138" s="230">
        <v>111423750</v>
      </c>
      <c r="BQ138" s="230">
        <v>235893750</v>
      </c>
      <c r="BR138" s="230">
        <v>-124470000</v>
      </c>
      <c r="BS138" s="229">
        <v>-0.52769999999999995</v>
      </c>
      <c r="BT138" s="230">
        <v>10142827</v>
      </c>
      <c r="BU138" s="230">
        <v>22910262</v>
      </c>
      <c r="BV138" s="230">
        <v>-12767435</v>
      </c>
      <c r="BW138" s="229">
        <v>-0.55730000000000002</v>
      </c>
      <c r="BX138" s="230">
        <v>80801250</v>
      </c>
      <c r="BY138" s="230">
        <v>79507500</v>
      </c>
      <c r="BZ138" s="230">
        <v>1293750</v>
      </c>
      <c r="CA138" s="229">
        <v>1.6299999999999999E-2</v>
      </c>
      <c r="CB138" s="230">
        <v>77475000</v>
      </c>
      <c r="CC138" s="230">
        <v>76687500</v>
      </c>
      <c r="CD138" s="230">
        <v>787500</v>
      </c>
      <c r="CE138" s="229">
        <v>1.03E-2</v>
      </c>
      <c r="CF138" s="230">
        <v>2943750</v>
      </c>
      <c r="CG138" s="230">
        <v>2527500</v>
      </c>
      <c r="CH138" s="230">
        <v>416250</v>
      </c>
      <c r="CI138" s="229">
        <v>0.16470000000000001</v>
      </c>
      <c r="CJ138" s="230">
        <v>382500</v>
      </c>
      <c r="CK138" s="230">
        <v>292500</v>
      </c>
      <c r="CL138" s="230">
        <v>90000</v>
      </c>
      <c r="CM138" s="229">
        <v>0.30769999999999997</v>
      </c>
      <c r="CN138" s="230">
        <v>31818750</v>
      </c>
      <c r="CO138" s="230">
        <v>29193750</v>
      </c>
      <c r="CP138" s="230">
        <v>2625000</v>
      </c>
      <c r="CQ138" s="229">
        <v>8.9899999999999994E-2</v>
      </c>
      <c r="CR138" s="230">
        <v>25188750</v>
      </c>
      <c r="CS138" s="230">
        <v>26088750</v>
      </c>
      <c r="CT138" s="230">
        <v>-900000</v>
      </c>
      <c r="CU138" s="229">
        <v>-3.4500000000000003E-2</v>
      </c>
      <c r="CV138" s="230">
        <v>137808750</v>
      </c>
      <c r="CW138" s="230">
        <v>134790000</v>
      </c>
      <c r="CX138" s="230">
        <v>3018750</v>
      </c>
      <c r="CY138" s="229">
        <v>2.24E-2</v>
      </c>
      <c r="CZ138" s="228">
        <v>31.91</v>
      </c>
      <c r="DA138" s="228">
        <v>31.42</v>
      </c>
      <c r="DB138" s="228">
        <v>0.49</v>
      </c>
      <c r="DC138" s="228">
        <v>0.49</v>
      </c>
      <c r="DD138" s="228">
        <v>48.07</v>
      </c>
      <c r="DE138" s="228">
        <v>48.09</v>
      </c>
      <c r="DF138" s="228">
        <v>-16.16</v>
      </c>
      <c r="DG138" s="228">
        <v>-0.02</v>
      </c>
      <c r="DH138" s="228">
        <v>31.94</v>
      </c>
      <c r="DI138" s="228">
        <v>30.92</v>
      </c>
      <c r="DJ138" s="228">
        <v>1.02</v>
      </c>
      <c r="DK138" s="228">
        <v>1.02</v>
      </c>
      <c r="DL138" s="228">
        <v>31.84</v>
      </c>
      <c r="DM138" s="228">
        <v>32.340000000000003</v>
      </c>
      <c r="DN138" s="228">
        <v>-0.5</v>
      </c>
      <c r="DO138" s="228">
        <v>-0.5</v>
      </c>
      <c r="DP138" s="228">
        <v>0.79</v>
      </c>
      <c r="DQ138" s="228">
        <v>0.89</v>
      </c>
      <c r="DR138" s="228">
        <v>-0.1</v>
      </c>
      <c r="DS138" s="229">
        <v>-0.1124</v>
      </c>
      <c r="DT138" s="228">
        <v>230</v>
      </c>
      <c r="DU138" s="228">
        <v>220</v>
      </c>
      <c r="DV138" s="228">
        <v>0.54</v>
      </c>
      <c r="DW138" s="228">
        <v>0.55000000000000004</v>
      </c>
      <c r="DX138" s="228">
        <v>-0.01</v>
      </c>
      <c r="DY138" s="229">
        <v>-1.8200000000000001E-2</v>
      </c>
      <c r="DZ138" s="229">
        <v>4.1200000000000001E-2</v>
      </c>
      <c r="EA138" s="230">
        <v>2820000</v>
      </c>
      <c r="EB138" s="229">
        <v>5.0000000000000001E-4</v>
      </c>
      <c r="EC138" s="229">
        <v>4.1200000000000001E-2</v>
      </c>
      <c r="ED138" s="228">
        <v>0.19</v>
      </c>
      <c r="EE138" s="229">
        <v>8.0000000000000004E-4</v>
      </c>
      <c r="EF138" s="230">
        <v>3789599</v>
      </c>
      <c r="EG138" s="230">
        <v>6311960</v>
      </c>
      <c r="EH138" s="229">
        <v>-0.39960000000000001</v>
      </c>
      <c r="EI138" s="229">
        <v>0.37359999999999999</v>
      </c>
      <c r="EJ138" s="231">
        <v>136365.57</v>
      </c>
      <c r="EK138" s="231">
        <v>70388.639999999999</v>
      </c>
      <c r="EL138" s="231">
        <v>51205.55</v>
      </c>
      <c r="EM138" s="231">
        <v>7797</v>
      </c>
      <c r="EN138" s="231">
        <v>257959.76</v>
      </c>
      <c r="EO138" s="231">
        <v>551213.06000000006</v>
      </c>
      <c r="EP138" s="231">
        <v>-293253.3</v>
      </c>
      <c r="EQ138" s="229">
        <v>-0.53200000000000003</v>
      </c>
      <c r="ER138" s="231">
        <v>73101</v>
      </c>
      <c r="ES138" s="231">
        <v>53921</v>
      </c>
      <c r="ET138" s="231">
        <v>182011</v>
      </c>
      <c r="EU138" s="231">
        <v>134225816</v>
      </c>
      <c r="EV138" s="231">
        <v>309033</v>
      </c>
      <c r="EW138" s="231">
        <v>306265</v>
      </c>
      <c r="EX138" s="231">
        <v>2768</v>
      </c>
      <c r="EY138" s="229">
        <v>8.9999999999999993E-3</v>
      </c>
      <c r="EZ138" s="229">
        <v>1.0266999999999999</v>
      </c>
      <c r="FA138" s="227" t="s">
        <v>567</v>
      </c>
      <c r="FB138" s="161">
        <f t="shared" si="2"/>
        <v>3326250</v>
      </c>
    </row>
    <row r="139" spans="1:158" ht="17.25" hidden="1" thickBot="1" x14ac:dyDescent="0.3">
      <c r="A139" s="226">
        <v>45940</v>
      </c>
      <c r="B139" s="227" t="s">
        <v>616</v>
      </c>
      <c r="C139" s="227" t="s">
        <v>264</v>
      </c>
      <c r="D139" s="228">
        <v>375</v>
      </c>
      <c r="E139" s="231">
        <v>1339.4</v>
      </c>
      <c r="F139" s="231">
        <v>1351.8</v>
      </c>
      <c r="G139" s="228">
        <v>-12.4</v>
      </c>
      <c r="H139" s="229">
        <v>-9.1999999999999998E-3</v>
      </c>
      <c r="I139" s="231">
        <v>1333.1</v>
      </c>
      <c r="J139" s="231">
        <v>1346.5</v>
      </c>
      <c r="K139" s="228">
        <v>-13.4</v>
      </c>
      <c r="L139" s="229">
        <v>-0.01</v>
      </c>
      <c r="M139" s="231">
        <v>1339.4</v>
      </c>
      <c r="N139" s="231">
        <v>1351.8</v>
      </c>
      <c r="O139" s="228">
        <v>-12.4</v>
      </c>
      <c r="P139" s="229">
        <v>-9.1999999999999998E-3</v>
      </c>
      <c r="Q139" s="231">
        <v>1345.6</v>
      </c>
      <c r="R139" s="231">
        <v>1355.8</v>
      </c>
      <c r="S139" s="228">
        <v>-10.199999999999999</v>
      </c>
      <c r="T139" s="229">
        <v>-7.4999999999999997E-3</v>
      </c>
      <c r="U139" s="231">
        <v>1351</v>
      </c>
      <c r="V139" s="231">
        <v>1362.7</v>
      </c>
      <c r="W139" s="228">
        <v>-11.7</v>
      </c>
      <c r="X139" s="229">
        <v>-8.6E-3</v>
      </c>
      <c r="Y139" s="228">
        <v>6.3</v>
      </c>
      <c r="Z139" s="228">
        <v>5.3</v>
      </c>
      <c r="AA139" s="228">
        <v>1</v>
      </c>
      <c r="AB139" s="229">
        <v>4.7000000000000002E-3</v>
      </c>
      <c r="AC139" s="228">
        <v>6.3</v>
      </c>
      <c r="AD139" s="228">
        <v>5.3</v>
      </c>
      <c r="AE139" s="228">
        <v>1</v>
      </c>
      <c r="AF139" s="229">
        <v>4.7000000000000002E-3</v>
      </c>
      <c r="AG139" s="228">
        <v>12.5</v>
      </c>
      <c r="AH139" s="228">
        <v>9.3000000000000007</v>
      </c>
      <c r="AI139" s="228">
        <v>3.2</v>
      </c>
      <c r="AJ139" s="229">
        <v>9.4000000000000004E-3</v>
      </c>
      <c r="AK139" s="228">
        <v>17.899999999999999</v>
      </c>
      <c r="AL139" s="228">
        <v>16.2</v>
      </c>
      <c r="AM139" s="228">
        <v>1.7</v>
      </c>
      <c r="AN139" s="229">
        <v>1.34E-2</v>
      </c>
      <c r="AO139" s="231">
        <v>1345.28</v>
      </c>
      <c r="AP139" s="231">
        <v>1350.85</v>
      </c>
      <c r="AQ139" s="228">
        <v>0</v>
      </c>
      <c r="AR139" s="230">
        <v>956250</v>
      </c>
      <c r="AS139" s="230">
        <v>2695875</v>
      </c>
      <c r="AT139" s="230">
        <v>-1739625</v>
      </c>
      <c r="AU139" s="229">
        <v>-0.64529999999999998</v>
      </c>
      <c r="AV139" s="230">
        <v>887250</v>
      </c>
      <c r="AW139" s="230">
        <v>2607375</v>
      </c>
      <c r="AX139" s="230">
        <v>-1720125</v>
      </c>
      <c r="AY139" s="229">
        <v>-0.65969999999999995</v>
      </c>
      <c r="AZ139" s="230">
        <v>63375</v>
      </c>
      <c r="BA139" s="230">
        <v>78375</v>
      </c>
      <c r="BB139" s="230">
        <v>-15000</v>
      </c>
      <c r="BC139" s="229">
        <v>-0.19139999999999999</v>
      </c>
      <c r="BD139" s="230">
        <v>5625</v>
      </c>
      <c r="BE139" s="230">
        <v>10125</v>
      </c>
      <c r="BF139" s="230">
        <v>-4500</v>
      </c>
      <c r="BG139" s="229">
        <v>-0.44440000000000002</v>
      </c>
      <c r="BH139" s="230">
        <v>1656375</v>
      </c>
      <c r="BI139" s="230">
        <v>5682000</v>
      </c>
      <c r="BJ139" s="230">
        <v>-4025625</v>
      </c>
      <c r="BK139" s="229">
        <v>-0.70850000000000002</v>
      </c>
      <c r="BL139" s="230">
        <v>520125</v>
      </c>
      <c r="BM139" s="230">
        <v>2538750</v>
      </c>
      <c r="BN139" s="230">
        <v>-2018625</v>
      </c>
      <c r="BO139" s="229">
        <v>-0.79510000000000003</v>
      </c>
      <c r="BP139" s="230">
        <v>3132750</v>
      </c>
      <c r="BQ139" s="230">
        <v>10916625</v>
      </c>
      <c r="BR139" s="230">
        <v>-7783875</v>
      </c>
      <c r="BS139" s="229">
        <v>-0.71299999999999997</v>
      </c>
      <c r="BT139" s="230">
        <v>475625</v>
      </c>
      <c r="BU139" s="230">
        <v>2248841</v>
      </c>
      <c r="BV139" s="230">
        <v>-1773216</v>
      </c>
      <c r="BW139" s="229">
        <v>-0.78849999999999998</v>
      </c>
      <c r="BX139" s="230">
        <v>10423500</v>
      </c>
      <c r="BY139" s="230">
        <v>10267875</v>
      </c>
      <c r="BZ139" s="230">
        <v>155625</v>
      </c>
      <c r="CA139" s="229">
        <v>1.52E-2</v>
      </c>
      <c r="CB139" s="230">
        <v>10284000</v>
      </c>
      <c r="CC139" s="230">
        <v>10158750</v>
      </c>
      <c r="CD139" s="230">
        <v>125250</v>
      </c>
      <c r="CE139" s="229">
        <v>1.23E-2</v>
      </c>
      <c r="CF139" s="230">
        <v>121500</v>
      </c>
      <c r="CG139" s="230">
        <v>94875</v>
      </c>
      <c r="CH139" s="230">
        <v>26625</v>
      </c>
      <c r="CI139" s="229">
        <v>0.28060000000000002</v>
      </c>
      <c r="CJ139" s="230">
        <v>18000</v>
      </c>
      <c r="CK139" s="230">
        <v>14250</v>
      </c>
      <c r="CL139" s="230">
        <v>3750</v>
      </c>
      <c r="CM139" s="229">
        <v>0.26319999999999999</v>
      </c>
      <c r="CN139" s="230">
        <v>2035125</v>
      </c>
      <c r="CO139" s="230">
        <v>1902750</v>
      </c>
      <c r="CP139" s="230">
        <v>132375</v>
      </c>
      <c r="CQ139" s="229">
        <v>6.9599999999999995E-2</v>
      </c>
      <c r="CR139" s="230">
        <v>1108125</v>
      </c>
      <c r="CS139" s="230">
        <v>1088625</v>
      </c>
      <c r="CT139" s="230">
        <v>19500</v>
      </c>
      <c r="CU139" s="229">
        <v>1.7899999999999999E-2</v>
      </c>
      <c r="CV139" s="230">
        <v>13566750</v>
      </c>
      <c r="CW139" s="230">
        <v>13259250</v>
      </c>
      <c r="CX139" s="230">
        <v>307500</v>
      </c>
      <c r="CY139" s="229">
        <v>2.3199999999999998E-2</v>
      </c>
      <c r="CZ139" s="228">
        <v>27.75</v>
      </c>
      <c r="DA139" s="228">
        <v>27.46</v>
      </c>
      <c r="DB139" s="228">
        <v>0.28999999999999998</v>
      </c>
      <c r="DC139" s="228">
        <v>0.28999999999999998</v>
      </c>
      <c r="DD139" s="228">
        <v>38.42</v>
      </c>
      <c r="DE139" s="228">
        <v>38.5</v>
      </c>
      <c r="DF139" s="228">
        <v>-10.67</v>
      </c>
      <c r="DG139" s="228">
        <v>-0.08</v>
      </c>
      <c r="DH139" s="228">
        <v>27.96</v>
      </c>
      <c r="DI139" s="228">
        <v>27.45</v>
      </c>
      <c r="DJ139" s="228">
        <v>0.51</v>
      </c>
      <c r="DK139" s="228">
        <v>0.51</v>
      </c>
      <c r="DL139" s="228">
        <v>27.07</v>
      </c>
      <c r="DM139" s="228">
        <v>27.49</v>
      </c>
      <c r="DN139" s="228">
        <v>-0.42</v>
      </c>
      <c r="DO139" s="228">
        <v>-0.42</v>
      </c>
      <c r="DP139" s="228">
        <v>0.54</v>
      </c>
      <c r="DQ139" s="228">
        <v>0.56999999999999995</v>
      </c>
      <c r="DR139" s="228">
        <v>-0.03</v>
      </c>
      <c r="DS139" s="229">
        <v>-5.2600000000000001E-2</v>
      </c>
      <c r="DT139" s="231">
        <v>1400</v>
      </c>
      <c r="DU139" s="231">
        <v>1340</v>
      </c>
      <c r="DV139" s="228">
        <v>0.31</v>
      </c>
      <c r="DW139" s="228">
        <v>0.45</v>
      </c>
      <c r="DX139" s="228">
        <v>-0.14000000000000001</v>
      </c>
      <c r="DY139" s="229">
        <v>-0.31109999999999999</v>
      </c>
      <c r="DZ139" s="229">
        <v>1.34E-2</v>
      </c>
      <c r="EA139" s="230">
        <v>109125</v>
      </c>
      <c r="EB139" s="229">
        <v>4.5999999999999999E-3</v>
      </c>
      <c r="EC139" s="229">
        <v>1.34E-2</v>
      </c>
      <c r="ED139" s="228">
        <v>5.57</v>
      </c>
      <c r="EE139" s="229">
        <v>4.1000000000000003E-3</v>
      </c>
      <c r="EF139" s="230">
        <v>247633</v>
      </c>
      <c r="EG139" s="230">
        <v>1315722</v>
      </c>
      <c r="EH139" s="229">
        <v>-0.81179999999999997</v>
      </c>
      <c r="EI139" s="229">
        <v>0.52059999999999995</v>
      </c>
      <c r="EJ139" s="231">
        <v>23301.21</v>
      </c>
      <c r="EK139" s="231">
        <v>6919.5</v>
      </c>
      <c r="EL139" s="231">
        <v>12868.48</v>
      </c>
      <c r="EM139" s="231">
        <v>3125</v>
      </c>
      <c r="EN139" s="231">
        <v>43089.19</v>
      </c>
      <c r="EO139" s="231">
        <v>151609.04</v>
      </c>
      <c r="EP139" s="231">
        <v>-108519.85</v>
      </c>
      <c r="EQ139" s="229">
        <v>-0.71579999999999999</v>
      </c>
      <c r="ER139" s="231">
        <v>28794</v>
      </c>
      <c r="ES139" s="231">
        <v>14666</v>
      </c>
      <c r="ET139" s="231">
        <v>139622</v>
      </c>
      <c r="EU139" s="231">
        <v>60530911</v>
      </c>
      <c r="EV139" s="231">
        <v>183083</v>
      </c>
      <c r="EW139" s="231">
        <v>180208</v>
      </c>
      <c r="EX139" s="231">
        <v>2875</v>
      </c>
      <c r="EY139" s="229">
        <v>1.6E-2</v>
      </c>
      <c r="EZ139" s="229">
        <v>0.22409999999999999</v>
      </c>
      <c r="FA139" s="227" t="s">
        <v>567</v>
      </c>
      <c r="FB139" s="161">
        <f>BX139-CB139</f>
        <v>139500</v>
      </c>
    </row>
    <row r="140" spans="1:158" ht="17.25" hidden="1" thickBot="1" x14ac:dyDescent="0.3">
      <c r="A140" s="226">
        <v>45940</v>
      </c>
      <c r="B140" s="227" t="s">
        <v>206</v>
      </c>
      <c r="C140" s="227" t="s">
        <v>550</v>
      </c>
      <c r="D140" s="228">
        <v>6500</v>
      </c>
      <c r="E140" s="228">
        <v>113.27</v>
      </c>
      <c r="F140" s="228">
        <v>114.34</v>
      </c>
      <c r="G140" s="228">
        <v>-1.07</v>
      </c>
      <c r="H140" s="229">
        <v>-9.4000000000000004E-3</v>
      </c>
      <c r="I140" s="228">
        <v>112.66</v>
      </c>
      <c r="J140" s="228">
        <v>113.65</v>
      </c>
      <c r="K140" s="228">
        <v>-0.99</v>
      </c>
      <c r="L140" s="229">
        <v>-8.6999999999999994E-3</v>
      </c>
      <c r="M140" s="228">
        <v>113.27</v>
      </c>
      <c r="N140" s="228">
        <v>114.34</v>
      </c>
      <c r="O140" s="228">
        <v>-1.07</v>
      </c>
      <c r="P140" s="229">
        <v>-9.4000000000000004E-3</v>
      </c>
      <c r="Q140" s="228">
        <v>113.99</v>
      </c>
      <c r="R140" s="228">
        <v>114.93</v>
      </c>
      <c r="S140" s="228">
        <v>-0.94</v>
      </c>
      <c r="T140" s="229">
        <v>-8.2000000000000007E-3</v>
      </c>
      <c r="U140" s="228">
        <v>115.02</v>
      </c>
      <c r="V140" s="228">
        <v>115.88</v>
      </c>
      <c r="W140" s="228">
        <v>-0.86</v>
      </c>
      <c r="X140" s="229">
        <v>-7.4000000000000003E-3</v>
      </c>
      <c r="Y140" s="228">
        <v>0.61</v>
      </c>
      <c r="Z140" s="228">
        <v>0.69</v>
      </c>
      <c r="AA140" s="228">
        <v>-0.08</v>
      </c>
      <c r="AB140" s="229">
        <v>5.4000000000000003E-3</v>
      </c>
      <c r="AC140" s="228">
        <v>0.61</v>
      </c>
      <c r="AD140" s="228">
        <v>0.69</v>
      </c>
      <c r="AE140" s="228">
        <v>-0.08</v>
      </c>
      <c r="AF140" s="229">
        <v>5.4000000000000003E-3</v>
      </c>
      <c r="AG140" s="228">
        <v>1.33</v>
      </c>
      <c r="AH140" s="228">
        <v>1.28</v>
      </c>
      <c r="AI140" s="228">
        <v>0.05</v>
      </c>
      <c r="AJ140" s="229">
        <v>1.18E-2</v>
      </c>
      <c r="AK140" s="228">
        <v>2.36</v>
      </c>
      <c r="AL140" s="228">
        <v>2.23</v>
      </c>
      <c r="AM140" s="228">
        <v>0.13</v>
      </c>
      <c r="AN140" s="229">
        <v>2.0899999999999998E-2</v>
      </c>
      <c r="AO140" s="228">
        <v>114.59</v>
      </c>
      <c r="AP140" s="228">
        <v>115.31</v>
      </c>
      <c r="AQ140" s="228">
        <v>0</v>
      </c>
      <c r="AR140" s="230">
        <v>12597000</v>
      </c>
      <c r="AS140" s="230">
        <v>12421500</v>
      </c>
      <c r="AT140" s="230">
        <v>175500</v>
      </c>
      <c r="AU140" s="229">
        <v>1.41E-2</v>
      </c>
      <c r="AV140" s="230">
        <v>11121500</v>
      </c>
      <c r="AW140" s="230">
        <v>11609000</v>
      </c>
      <c r="AX140" s="230">
        <v>-487500</v>
      </c>
      <c r="AY140" s="229">
        <v>-4.2000000000000003E-2</v>
      </c>
      <c r="AZ140" s="230">
        <v>1339000</v>
      </c>
      <c r="BA140" s="230">
        <v>734500</v>
      </c>
      <c r="BB140" s="230">
        <v>604500</v>
      </c>
      <c r="BC140" s="229">
        <v>0.82299999999999995</v>
      </c>
      <c r="BD140" s="230">
        <v>136500</v>
      </c>
      <c r="BE140" s="230">
        <v>78000</v>
      </c>
      <c r="BF140" s="230">
        <v>58500</v>
      </c>
      <c r="BG140" s="229">
        <v>0.75</v>
      </c>
      <c r="BH140" s="230">
        <v>32019000</v>
      </c>
      <c r="BI140" s="230">
        <v>44473000</v>
      </c>
      <c r="BJ140" s="230">
        <v>-12454000</v>
      </c>
      <c r="BK140" s="229">
        <v>-0.28000000000000003</v>
      </c>
      <c r="BL140" s="230">
        <v>9139000</v>
      </c>
      <c r="BM140" s="230">
        <v>7670000</v>
      </c>
      <c r="BN140" s="230">
        <v>1469000</v>
      </c>
      <c r="BO140" s="229">
        <v>0.1915</v>
      </c>
      <c r="BP140" s="230">
        <v>53755000</v>
      </c>
      <c r="BQ140" s="230">
        <v>64564500</v>
      </c>
      <c r="BR140" s="230">
        <v>-10809500</v>
      </c>
      <c r="BS140" s="229">
        <v>-0.16739999999999999</v>
      </c>
      <c r="BT140" s="230">
        <v>9323649</v>
      </c>
      <c r="BU140" s="230">
        <v>9775760</v>
      </c>
      <c r="BV140" s="230">
        <v>-452111</v>
      </c>
      <c r="BW140" s="229">
        <v>-4.6199999999999998E-2</v>
      </c>
      <c r="BX140" s="230">
        <v>62042500</v>
      </c>
      <c r="BY140" s="230">
        <v>61347000</v>
      </c>
      <c r="BZ140" s="230">
        <v>695500</v>
      </c>
      <c r="CA140" s="229">
        <v>1.1299999999999999E-2</v>
      </c>
      <c r="CB140" s="230">
        <v>59767500</v>
      </c>
      <c r="CC140" s="230">
        <v>59403500</v>
      </c>
      <c r="CD140" s="230">
        <v>364000</v>
      </c>
      <c r="CE140" s="229">
        <v>6.1000000000000004E-3</v>
      </c>
      <c r="CF140" s="230">
        <v>2099500</v>
      </c>
      <c r="CG140" s="230">
        <v>1768000</v>
      </c>
      <c r="CH140" s="230">
        <v>331500</v>
      </c>
      <c r="CI140" s="229">
        <v>0.1875</v>
      </c>
      <c r="CJ140" s="230">
        <v>175500</v>
      </c>
      <c r="CK140" s="230">
        <v>175500</v>
      </c>
      <c r="CL140" s="228">
        <v>0</v>
      </c>
      <c r="CM140" s="229">
        <v>0</v>
      </c>
      <c r="CN140" s="230">
        <v>29269500</v>
      </c>
      <c r="CO140" s="230">
        <v>28093000</v>
      </c>
      <c r="CP140" s="230">
        <v>1176500</v>
      </c>
      <c r="CQ140" s="229">
        <v>4.19E-2</v>
      </c>
      <c r="CR140" s="230">
        <v>14495000</v>
      </c>
      <c r="CS140" s="230">
        <v>12603500</v>
      </c>
      <c r="CT140" s="230">
        <v>1891500</v>
      </c>
      <c r="CU140" s="229">
        <v>0.15010000000000001</v>
      </c>
      <c r="CV140" s="230">
        <v>105807000</v>
      </c>
      <c r="CW140" s="230">
        <v>102043500</v>
      </c>
      <c r="CX140" s="230">
        <v>3763500</v>
      </c>
      <c r="CY140" s="229">
        <v>3.6900000000000002E-2</v>
      </c>
      <c r="CZ140" s="228">
        <v>35.520000000000003</v>
      </c>
      <c r="DA140" s="228">
        <v>36.380000000000003</v>
      </c>
      <c r="DB140" s="228">
        <v>-0.86</v>
      </c>
      <c r="DC140" s="228">
        <v>-0.86</v>
      </c>
      <c r="DD140" s="228">
        <v>53.02</v>
      </c>
      <c r="DE140" s="228">
        <v>53.13</v>
      </c>
      <c r="DF140" s="228">
        <v>-17.5</v>
      </c>
      <c r="DG140" s="228">
        <v>-0.11</v>
      </c>
      <c r="DH140" s="228">
        <v>35.97</v>
      </c>
      <c r="DI140" s="228">
        <v>36.31</v>
      </c>
      <c r="DJ140" s="228">
        <v>-0.34</v>
      </c>
      <c r="DK140" s="228">
        <v>-0.34</v>
      </c>
      <c r="DL140" s="228">
        <v>33.950000000000003</v>
      </c>
      <c r="DM140" s="228">
        <v>36.75</v>
      </c>
      <c r="DN140" s="228">
        <v>-2.8</v>
      </c>
      <c r="DO140" s="228">
        <v>-2.8</v>
      </c>
      <c r="DP140" s="228">
        <v>0.5</v>
      </c>
      <c r="DQ140" s="228">
        <v>0.45</v>
      </c>
      <c r="DR140" s="228">
        <v>0.05</v>
      </c>
      <c r="DS140" s="229">
        <v>0.1111</v>
      </c>
      <c r="DT140" s="228">
        <v>115</v>
      </c>
      <c r="DU140" s="228">
        <v>110</v>
      </c>
      <c r="DV140" s="228">
        <v>0.28999999999999998</v>
      </c>
      <c r="DW140" s="228">
        <v>0.17</v>
      </c>
      <c r="DX140" s="228">
        <v>0.12</v>
      </c>
      <c r="DY140" s="229">
        <v>0.70589999999999997</v>
      </c>
      <c r="DZ140" s="229">
        <v>3.6700000000000003E-2</v>
      </c>
      <c r="EA140" s="230">
        <v>1943500</v>
      </c>
      <c r="EB140" s="229">
        <v>6.4000000000000003E-3</v>
      </c>
      <c r="EC140" s="229">
        <v>3.6700000000000003E-2</v>
      </c>
      <c r="ED140" s="228">
        <v>0.72</v>
      </c>
      <c r="EE140" s="229">
        <v>6.3E-3</v>
      </c>
      <c r="EF140" s="230">
        <v>3630325</v>
      </c>
      <c r="EG140" s="230">
        <v>4653344</v>
      </c>
      <c r="EH140" s="229">
        <v>-0.2198</v>
      </c>
      <c r="EI140" s="229">
        <v>0.38940000000000002</v>
      </c>
      <c r="EJ140" s="231">
        <v>38376.39</v>
      </c>
      <c r="EK140" s="231">
        <v>10185.370000000001</v>
      </c>
      <c r="EL140" s="231">
        <v>14446.26</v>
      </c>
      <c r="EM140" s="231">
        <v>1680</v>
      </c>
      <c r="EN140" s="231">
        <v>63008.02</v>
      </c>
      <c r="EO140" s="231">
        <v>75221.960000000006</v>
      </c>
      <c r="EP140" s="231">
        <v>-12213.94</v>
      </c>
      <c r="EQ140" s="229">
        <v>-0.16239999999999999</v>
      </c>
      <c r="ER140" s="231">
        <v>34171</v>
      </c>
      <c r="ES140" s="231">
        <v>15650</v>
      </c>
      <c r="ET140" s="231">
        <v>70294</v>
      </c>
      <c r="EU140" s="231">
        <v>154894704</v>
      </c>
      <c r="EV140" s="231">
        <v>120115</v>
      </c>
      <c r="EW140" s="231">
        <v>116463</v>
      </c>
      <c r="EX140" s="231">
        <v>3652</v>
      </c>
      <c r="EY140" s="229">
        <v>3.1399999999999997E-2</v>
      </c>
      <c r="EZ140" s="229">
        <v>0.68310000000000004</v>
      </c>
      <c r="FA140" s="227" t="s">
        <v>567</v>
      </c>
      <c r="FB140" s="161">
        <f>BX140-CB140</f>
        <v>2275000</v>
      </c>
    </row>
    <row r="141" spans="1:158" ht="17.25" hidden="1" thickBot="1" x14ac:dyDescent="0.3">
      <c r="A141" s="226">
        <v>45940</v>
      </c>
      <c r="B141" s="227" t="s">
        <v>215</v>
      </c>
      <c r="C141" s="227" t="s">
        <v>592</v>
      </c>
      <c r="D141" s="228">
        <v>2700</v>
      </c>
      <c r="E141" s="228">
        <v>211.88</v>
      </c>
      <c r="F141" s="228">
        <v>210.94</v>
      </c>
      <c r="G141" s="228">
        <v>0.94</v>
      </c>
      <c r="H141" s="229">
        <v>4.4999999999999997E-3</v>
      </c>
      <c r="I141" s="228">
        <v>210.78</v>
      </c>
      <c r="J141" s="228">
        <v>209.61</v>
      </c>
      <c r="K141" s="228">
        <v>1.17</v>
      </c>
      <c r="L141" s="229">
        <v>5.5999999999999999E-3</v>
      </c>
      <c r="M141" s="228">
        <v>211.88</v>
      </c>
      <c r="N141" s="228">
        <v>210.94</v>
      </c>
      <c r="O141" s="228">
        <v>0.94</v>
      </c>
      <c r="P141" s="229">
        <v>4.4999999999999997E-3</v>
      </c>
      <c r="Q141" s="228">
        <v>212.88</v>
      </c>
      <c r="R141" s="228">
        <v>211.98</v>
      </c>
      <c r="S141" s="228">
        <v>0.9</v>
      </c>
      <c r="T141" s="229">
        <v>4.1999999999999997E-3</v>
      </c>
      <c r="U141" s="228">
        <v>214.27</v>
      </c>
      <c r="V141" s="228">
        <v>213.04</v>
      </c>
      <c r="W141" s="228">
        <v>1.23</v>
      </c>
      <c r="X141" s="229">
        <v>5.7999999999999996E-3</v>
      </c>
      <c r="Y141" s="228">
        <v>1.1000000000000001</v>
      </c>
      <c r="Z141" s="228">
        <v>1.33</v>
      </c>
      <c r="AA141" s="228">
        <v>-0.23</v>
      </c>
      <c r="AB141" s="229">
        <v>5.1999999999999998E-3</v>
      </c>
      <c r="AC141" s="228">
        <v>1.1000000000000001</v>
      </c>
      <c r="AD141" s="228">
        <v>1.33</v>
      </c>
      <c r="AE141" s="228">
        <v>-0.23</v>
      </c>
      <c r="AF141" s="229">
        <v>5.1999999999999998E-3</v>
      </c>
      <c r="AG141" s="228">
        <v>2.1</v>
      </c>
      <c r="AH141" s="228">
        <v>2.37</v>
      </c>
      <c r="AI141" s="228">
        <v>-0.27</v>
      </c>
      <c r="AJ141" s="229">
        <v>0.01</v>
      </c>
      <c r="AK141" s="228">
        <v>3.49</v>
      </c>
      <c r="AL141" s="228">
        <v>3.43</v>
      </c>
      <c r="AM141" s="228">
        <v>0.06</v>
      </c>
      <c r="AN141" s="229">
        <v>1.66E-2</v>
      </c>
      <c r="AO141" s="228">
        <v>212.44</v>
      </c>
      <c r="AP141" s="228">
        <v>213.45</v>
      </c>
      <c r="AQ141" s="228">
        <v>0</v>
      </c>
      <c r="AR141" s="230">
        <v>2438100</v>
      </c>
      <c r="AS141" s="230">
        <v>2700000</v>
      </c>
      <c r="AT141" s="230">
        <v>-261900</v>
      </c>
      <c r="AU141" s="229">
        <v>-9.7000000000000003E-2</v>
      </c>
      <c r="AV141" s="230">
        <v>2214000</v>
      </c>
      <c r="AW141" s="230">
        <v>2427300</v>
      </c>
      <c r="AX141" s="230">
        <v>-213300</v>
      </c>
      <c r="AY141" s="229">
        <v>-8.7900000000000006E-2</v>
      </c>
      <c r="AZ141" s="230">
        <v>180900</v>
      </c>
      <c r="BA141" s="230">
        <v>229500</v>
      </c>
      <c r="BB141" s="230">
        <v>-48600</v>
      </c>
      <c r="BC141" s="229">
        <v>-0.21179999999999999</v>
      </c>
      <c r="BD141" s="230">
        <v>43200</v>
      </c>
      <c r="BE141" s="230">
        <v>43200</v>
      </c>
      <c r="BF141" s="228">
        <v>0</v>
      </c>
      <c r="BG141" s="229">
        <v>0</v>
      </c>
      <c r="BH141" s="230">
        <v>5302800</v>
      </c>
      <c r="BI141" s="230">
        <v>3474900</v>
      </c>
      <c r="BJ141" s="230">
        <v>1827900</v>
      </c>
      <c r="BK141" s="229">
        <v>0.52600000000000002</v>
      </c>
      <c r="BL141" s="230">
        <v>1417500</v>
      </c>
      <c r="BM141" s="230">
        <v>2030400</v>
      </c>
      <c r="BN141" s="230">
        <v>-612900</v>
      </c>
      <c r="BO141" s="229">
        <v>-0.3019</v>
      </c>
      <c r="BP141" s="230">
        <v>9158400</v>
      </c>
      <c r="BQ141" s="230">
        <v>8205300</v>
      </c>
      <c r="BR141" s="230">
        <v>953100</v>
      </c>
      <c r="BS141" s="229">
        <v>0.1162</v>
      </c>
      <c r="BT141" s="230">
        <v>1231013</v>
      </c>
      <c r="BU141" s="230">
        <v>1658448</v>
      </c>
      <c r="BV141" s="230">
        <v>-427435</v>
      </c>
      <c r="BW141" s="229">
        <v>-0.25769999999999998</v>
      </c>
      <c r="BX141" s="230">
        <v>18270900</v>
      </c>
      <c r="BY141" s="230">
        <v>18354600</v>
      </c>
      <c r="BZ141" s="230">
        <v>-83700</v>
      </c>
      <c r="CA141" s="229">
        <v>-4.5999999999999999E-3</v>
      </c>
      <c r="CB141" s="230">
        <v>17342100</v>
      </c>
      <c r="CC141" s="230">
        <v>17428500</v>
      </c>
      <c r="CD141" s="230">
        <v>-86400</v>
      </c>
      <c r="CE141" s="229">
        <v>-5.0000000000000001E-3</v>
      </c>
      <c r="CF141" s="230">
        <v>866700</v>
      </c>
      <c r="CG141" s="230">
        <v>855900</v>
      </c>
      <c r="CH141" s="230">
        <v>10800</v>
      </c>
      <c r="CI141" s="229">
        <v>1.26E-2</v>
      </c>
      <c r="CJ141" s="230">
        <v>62100</v>
      </c>
      <c r="CK141" s="230">
        <v>70200</v>
      </c>
      <c r="CL141" s="230">
        <v>-8100</v>
      </c>
      <c r="CM141" s="229">
        <v>-0.1154</v>
      </c>
      <c r="CN141" s="230">
        <v>6277500</v>
      </c>
      <c r="CO141" s="230">
        <v>5875200</v>
      </c>
      <c r="CP141" s="230">
        <v>402300</v>
      </c>
      <c r="CQ141" s="229">
        <v>6.8500000000000005E-2</v>
      </c>
      <c r="CR141" s="230">
        <v>3699000</v>
      </c>
      <c r="CS141" s="230">
        <v>3750300</v>
      </c>
      <c r="CT141" s="230">
        <v>-51300</v>
      </c>
      <c r="CU141" s="229">
        <v>-1.37E-2</v>
      </c>
      <c r="CV141" s="230">
        <v>28247400</v>
      </c>
      <c r="CW141" s="230">
        <v>27980100</v>
      </c>
      <c r="CX141" s="230">
        <v>267300</v>
      </c>
      <c r="CY141" s="229">
        <v>9.5999999999999992E-3</v>
      </c>
      <c r="CZ141" s="228">
        <v>25.89</v>
      </c>
      <c r="DA141" s="228">
        <v>26.99</v>
      </c>
      <c r="DB141" s="228">
        <v>-1.1000000000000001</v>
      </c>
      <c r="DC141" s="228">
        <v>-1.1000000000000001</v>
      </c>
      <c r="DD141" s="228">
        <v>47.43</v>
      </c>
      <c r="DE141" s="228">
        <v>47.54</v>
      </c>
      <c r="DF141" s="228">
        <v>-21.54</v>
      </c>
      <c r="DG141" s="228">
        <v>-0.11</v>
      </c>
      <c r="DH141" s="228">
        <v>25.78</v>
      </c>
      <c r="DI141" s="228">
        <v>27.09</v>
      </c>
      <c r="DJ141" s="228">
        <v>-1.31</v>
      </c>
      <c r="DK141" s="228">
        <v>-1.31</v>
      </c>
      <c r="DL141" s="228">
        <v>26.32</v>
      </c>
      <c r="DM141" s="228">
        <v>26.81</v>
      </c>
      <c r="DN141" s="228">
        <v>-0.49</v>
      </c>
      <c r="DO141" s="228">
        <v>-0.49</v>
      </c>
      <c r="DP141" s="228">
        <v>0.59</v>
      </c>
      <c r="DQ141" s="228">
        <v>0.64</v>
      </c>
      <c r="DR141" s="228">
        <v>-0.05</v>
      </c>
      <c r="DS141" s="229">
        <v>-7.8100000000000003E-2</v>
      </c>
      <c r="DT141" s="228">
        <v>210</v>
      </c>
      <c r="DU141" s="228">
        <v>210</v>
      </c>
      <c r="DV141" s="228">
        <v>0.27</v>
      </c>
      <c r="DW141" s="228">
        <v>0.57999999999999996</v>
      </c>
      <c r="DX141" s="228">
        <v>-0.31</v>
      </c>
      <c r="DY141" s="229">
        <v>-0.53449999999999998</v>
      </c>
      <c r="DZ141" s="229">
        <v>5.0799999999999998E-2</v>
      </c>
      <c r="EA141" s="230">
        <v>926100</v>
      </c>
      <c r="EB141" s="229">
        <v>4.7000000000000002E-3</v>
      </c>
      <c r="EC141" s="229">
        <v>5.0799999999999998E-2</v>
      </c>
      <c r="ED141" s="228">
        <v>1.01</v>
      </c>
      <c r="EE141" s="229">
        <v>4.7999999999999996E-3</v>
      </c>
      <c r="EF141" s="230">
        <v>601449</v>
      </c>
      <c r="EG141" s="230">
        <v>757705</v>
      </c>
      <c r="EH141" s="229">
        <v>-0.20619999999999999</v>
      </c>
      <c r="EI141" s="229">
        <v>0.48859999999999998</v>
      </c>
      <c r="EJ141" s="231">
        <v>11600.85</v>
      </c>
      <c r="EK141" s="231">
        <v>3009.87</v>
      </c>
      <c r="EL141" s="231">
        <v>5182.34</v>
      </c>
      <c r="EM141" s="228">
        <v>813</v>
      </c>
      <c r="EN141" s="231">
        <v>19793.060000000001</v>
      </c>
      <c r="EO141" s="231">
        <v>17488.47</v>
      </c>
      <c r="EP141" s="231">
        <v>2304.59</v>
      </c>
      <c r="EQ141" s="229">
        <v>0.1318</v>
      </c>
      <c r="ER141" s="231">
        <v>13661</v>
      </c>
      <c r="ES141" s="231">
        <v>7710</v>
      </c>
      <c r="ET141" s="231">
        <v>38723</v>
      </c>
      <c r="EU141" s="231">
        <v>72342848</v>
      </c>
      <c r="EV141" s="231">
        <v>60093</v>
      </c>
      <c r="EW141" s="231">
        <v>59305</v>
      </c>
      <c r="EX141" s="228">
        <v>788</v>
      </c>
      <c r="EY141" s="229">
        <v>1.3299999999999999E-2</v>
      </c>
      <c r="EZ141" s="229">
        <v>0.39050000000000001</v>
      </c>
      <c r="FA141" s="227" t="s">
        <v>556</v>
      </c>
      <c r="FB141" s="161">
        <f>BX216-CB216</f>
        <v>801000</v>
      </c>
    </row>
    <row r="142" spans="1:158" ht="17.25" hidden="1" thickBot="1" x14ac:dyDescent="0.3">
      <c r="A142" s="226">
        <v>45940</v>
      </c>
      <c r="B142" s="227" t="s">
        <v>168</v>
      </c>
      <c r="C142" s="227" t="s">
        <v>265</v>
      </c>
      <c r="D142" s="228">
        <v>500</v>
      </c>
      <c r="E142" s="231">
        <v>1202.5999999999999</v>
      </c>
      <c r="F142" s="231">
        <v>1191</v>
      </c>
      <c r="G142" s="228">
        <v>11.6</v>
      </c>
      <c r="H142" s="229">
        <v>9.7000000000000003E-3</v>
      </c>
      <c r="I142" s="231">
        <v>1199.5</v>
      </c>
      <c r="J142" s="231">
        <v>1187.8</v>
      </c>
      <c r="K142" s="228">
        <v>11.7</v>
      </c>
      <c r="L142" s="229">
        <v>9.9000000000000008E-3</v>
      </c>
      <c r="M142" s="231">
        <v>1202.5999999999999</v>
      </c>
      <c r="N142" s="231">
        <v>1191</v>
      </c>
      <c r="O142" s="228">
        <v>11.6</v>
      </c>
      <c r="P142" s="229">
        <v>9.7000000000000003E-3</v>
      </c>
      <c r="Q142" s="231">
        <v>1208.9000000000001</v>
      </c>
      <c r="R142" s="231">
        <v>1196.8</v>
      </c>
      <c r="S142" s="228">
        <v>12.1</v>
      </c>
      <c r="T142" s="229">
        <v>1.01E-2</v>
      </c>
      <c r="U142" s="231">
        <v>1216.5</v>
      </c>
      <c r="V142" s="231">
        <v>1202</v>
      </c>
      <c r="W142" s="228">
        <v>14.5</v>
      </c>
      <c r="X142" s="229">
        <v>1.21E-2</v>
      </c>
      <c r="Y142" s="228">
        <v>3.1</v>
      </c>
      <c r="Z142" s="228">
        <v>3.2</v>
      </c>
      <c r="AA142" s="228">
        <v>-0.1</v>
      </c>
      <c r="AB142" s="229">
        <v>2.5999999999999999E-3</v>
      </c>
      <c r="AC142" s="228">
        <v>3.1</v>
      </c>
      <c r="AD142" s="228">
        <v>3.2</v>
      </c>
      <c r="AE142" s="228">
        <v>-0.1</v>
      </c>
      <c r="AF142" s="229">
        <v>2.5999999999999999E-3</v>
      </c>
      <c r="AG142" s="228">
        <v>9.4</v>
      </c>
      <c r="AH142" s="228">
        <v>9</v>
      </c>
      <c r="AI142" s="228">
        <v>0.4</v>
      </c>
      <c r="AJ142" s="229">
        <v>7.7999999999999996E-3</v>
      </c>
      <c r="AK142" s="228">
        <v>17</v>
      </c>
      <c r="AL142" s="228">
        <v>14.2</v>
      </c>
      <c r="AM142" s="228">
        <v>2.8</v>
      </c>
      <c r="AN142" s="229">
        <v>1.4200000000000001E-2</v>
      </c>
      <c r="AO142" s="231">
        <v>1199.31</v>
      </c>
      <c r="AP142" s="231">
        <v>1204.23</v>
      </c>
      <c r="AQ142" s="228">
        <v>0</v>
      </c>
      <c r="AR142" s="230">
        <v>2147500</v>
      </c>
      <c r="AS142" s="230">
        <v>1574000</v>
      </c>
      <c r="AT142" s="230">
        <v>573500</v>
      </c>
      <c r="AU142" s="229">
        <v>0.3644</v>
      </c>
      <c r="AV142" s="230">
        <v>2017000</v>
      </c>
      <c r="AW142" s="230">
        <v>1508000</v>
      </c>
      <c r="AX142" s="230">
        <v>509000</v>
      </c>
      <c r="AY142" s="229">
        <v>0.33750000000000002</v>
      </c>
      <c r="AZ142" s="230">
        <v>102500</v>
      </c>
      <c r="BA142" s="230">
        <v>64000</v>
      </c>
      <c r="BB142" s="230">
        <v>38500</v>
      </c>
      <c r="BC142" s="229">
        <v>0.60160000000000002</v>
      </c>
      <c r="BD142" s="230">
        <v>28000</v>
      </c>
      <c r="BE142" s="230">
        <v>2000</v>
      </c>
      <c r="BF142" s="230">
        <v>26000</v>
      </c>
      <c r="BG142" s="229">
        <v>13</v>
      </c>
      <c r="BH142" s="230">
        <v>4217500</v>
      </c>
      <c r="BI142" s="230">
        <v>2372000</v>
      </c>
      <c r="BJ142" s="230">
        <v>1845500</v>
      </c>
      <c r="BK142" s="229">
        <v>0.77800000000000002</v>
      </c>
      <c r="BL142" s="230">
        <v>2235500</v>
      </c>
      <c r="BM142" s="230">
        <v>1162000</v>
      </c>
      <c r="BN142" s="230">
        <v>1073500</v>
      </c>
      <c r="BO142" s="229">
        <v>0.92379999999999995</v>
      </c>
      <c r="BP142" s="230">
        <v>8600500</v>
      </c>
      <c r="BQ142" s="230">
        <v>5108000</v>
      </c>
      <c r="BR142" s="230">
        <v>3492500</v>
      </c>
      <c r="BS142" s="229">
        <v>0.68369999999999997</v>
      </c>
      <c r="BT142" s="230">
        <v>1176068</v>
      </c>
      <c r="BU142" s="230">
        <v>1078290</v>
      </c>
      <c r="BV142" s="230">
        <v>97778</v>
      </c>
      <c r="BW142" s="229">
        <v>9.0700000000000003E-2</v>
      </c>
      <c r="BX142" s="230">
        <v>18628500</v>
      </c>
      <c r="BY142" s="230">
        <v>18011000</v>
      </c>
      <c r="BZ142" s="230">
        <v>617500</v>
      </c>
      <c r="CA142" s="229">
        <v>3.4299999999999997E-2</v>
      </c>
      <c r="CB142" s="230">
        <v>18243000</v>
      </c>
      <c r="CC142" s="230">
        <v>17667000</v>
      </c>
      <c r="CD142" s="230">
        <v>576000</v>
      </c>
      <c r="CE142" s="229">
        <v>3.2599999999999997E-2</v>
      </c>
      <c r="CF142" s="230">
        <v>359000</v>
      </c>
      <c r="CG142" s="230">
        <v>329000</v>
      </c>
      <c r="CH142" s="230">
        <v>30000</v>
      </c>
      <c r="CI142" s="229">
        <v>9.1200000000000003E-2</v>
      </c>
      <c r="CJ142" s="230">
        <v>26500</v>
      </c>
      <c r="CK142" s="230">
        <v>15000</v>
      </c>
      <c r="CL142" s="230">
        <v>11500</v>
      </c>
      <c r="CM142" s="229">
        <v>0.76670000000000005</v>
      </c>
      <c r="CN142" s="230">
        <v>3283000</v>
      </c>
      <c r="CO142" s="230">
        <v>3032500</v>
      </c>
      <c r="CP142" s="230">
        <v>250500</v>
      </c>
      <c r="CQ142" s="229">
        <v>8.2600000000000007E-2</v>
      </c>
      <c r="CR142" s="230">
        <v>2722500</v>
      </c>
      <c r="CS142" s="230">
        <v>2351000</v>
      </c>
      <c r="CT142" s="230">
        <v>371500</v>
      </c>
      <c r="CU142" s="229">
        <v>0.158</v>
      </c>
      <c r="CV142" s="230">
        <v>24634000</v>
      </c>
      <c r="CW142" s="230">
        <v>23394500</v>
      </c>
      <c r="CX142" s="230">
        <v>1239500</v>
      </c>
      <c r="CY142" s="229">
        <v>5.2999999999999999E-2</v>
      </c>
      <c r="CZ142" s="228">
        <v>20.63</v>
      </c>
      <c r="DA142" s="228">
        <v>20.260000000000002</v>
      </c>
      <c r="DB142" s="228">
        <v>0.37</v>
      </c>
      <c r="DC142" s="228">
        <v>0.37</v>
      </c>
      <c r="DD142" s="228">
        <v>23.41</v>
      </c>
      <c r="DE142" s="228">
        <v>23.43</v>
      </c>
      <c r="DF142" s="228">
        <v>-2.78</v>
      </c>
      <c r="DG142" s="228">
        <v>-0.02</v>
      </c>
      <c r="DH142" s="228">
        <v>20.21</v>
      </c>
      <c r="DI142" s="228">
        <v>19.82</v>
      </c>
      <c r="DJ142" s="228">
        <v>0.39</v>
      </c>
      <c r="DK142" s="228">
        <v>0.39</v>
      </c>
      <c r="DL142" s="228">
        <v>21.42</v>
      </c>
      <c r="DM142" s="228">
        <v>21.16</v>
      </c>
      <c r="DN142" s="228">
        <v>0.26</v>
      </c>
      <c r="DO142" s="228">
        <v>0.26</v>
      </c>
      <c r="DP142" s="228">
        <v>0.83</v>
      </c>
      <c r="DQ142" s="228">
        <v>0.78</v>
      </c>
      <c r="DR142" s="228">
        <v>0.05</v>
      </c>
      <c r="DS142" s="229">
        <v>6.4100000000000004E-2</v>
      </c>
      <c r="DT142" s="231">
        <v>1200</v>
      </c>
      <c r="DU142" s="231">
        <v>1180</v>
      </c>
      <c r="DV142" s="228">
        <v>0.53</v>
      </c>
      <c r="DW142" s="228">
        <v>0.49</v>
      </c>
      <c r="DX142" s="228">
        <v>0.04</v>
      </c>
      <c r="DY142" s="229">
        <v>8.1600000000000006E-2</v>
      </c>
      <c r="DZ142" s="229">
        <v>2.07E-2</v>
      </c>
      <c r="EA142" s="230">
        <v>344000</v>
      </c>
      <c r="EB142" s="229">
        <v>5.1999999999999998E-3</v>
      </c>
      <c r="EC142" s="229">
        <v>2.07E-2</v>
      </c>
      <c r="ED142" s="228">
        <v>4.92</v>
      </c>
      <c r="EE142" s="229">
        <v>4.1000000000000003E-3</v>
      </c>
      <c r="EF142" s="230">
        <v>663440</v>
      </c>
      <c r="EG142" s="230">
        <v>629206</v>
      </c>
      <c r="EH142" s="229">
        <v>5.4399999999999997E-2</v>
      </c>
      <c r="EI142" s="229">
        <v>0.56410000000000005</v>
      </c>
      <c r="EJ142" s="231">
        <v>51856.9</v>
      </c>
      <c r="EK142" s="231">
        <v>26750.48</v>
      </c>
      <c r="EL142" s="231">
        <v>25764.080000000002</v>
      </c>
      <c r="EM142" s="231">
        <v>2956</v>
      </c>
      <c r="EN142" s="231">
        <v>104371.46</v>
      </c>
      <c r="EO142" s="231">
        <v>61307.1</v>
      </c>
      <c r="EP142" s="231">
        <v>43064.36</v>
      </c>
      <c r="EQ142" s="229">
        <v>0.70240000000000002</v>
      </c>
      <c r="ER142" s="231">
        <v>39832</v>
      </c>
      <c r="ES142" s="231">
        <v>31410</v>
      </c>
      <c r="ET142" s="231">
        <v>224053</v>
      </c>
      <c r="EU142" s="231">
        <v>71801274</v>
      </c>
      <c r="EV142" s="231">
        <v>295294</v>
      </c>
      <c r="EW142" s="231">
        <v>278221</v>
      </c>
      <c r="EX142" s="231">
        <v>17073</v>
      </c>
      <c r="EY142" s="229">
        <v>6.1400000000000003E-2</v>
      </c>
      <c r="EZ142" s="229">
        <v>0.34310000000000002</v>
      </c>
      <c r="FA142" s="227" t="s">
        <v>555</v>
      </c>
      <c r="FB142" s="161">
        <f t="shared" ref="FB142:FB161" si="3">BX217-CB217</f>
        <v>0</v>
      </c>
    </row>
    <row r="143" spans="1:158" ht="17.25" hidden="1" thickBot="1" x14ac:dyDescent="0.3">
      <c r="A143" s="226">
        <v>45940</v>
      </c>
      <c r="B143" s="227" t="s">
        <v>161</v>
      </c>
      <c r="C143" s="227" t="s">
        <v>586</v>
      </c>
      <c r="D143" s="228">
        <v>6400</v>
      </c>
      <c r="E143" s="228">
        <v>87.39</v>
      </c>
      <c r="F143" s="228">
        <v>87.16</v>
      </c>
      <c r="G143" s="228">
        <v>0.23</v>
      </c>
      <c r="H143" s="229">
        <v>2.5999999999999999E-3</v>
      </c>
      <c r="I143" s="228">
        <v>86.94</v>
      </c>
      <c r="J143" s="228">
        <v>86.67</v>
      </c>
      <c r="K143" s="228">
        <v>0.27</v>
      </c>
      <c r="L143" s="229">
        <v>3.0999999999999999E-3</v>
      </c>
      <c r="M143" s="228">
        <v>87.39</v>
      </c>
      <c r="N143" s="228">
        <v>87.16</v>
      </c>
      <c r="O143" s="228">
        <v>0.23</v>
      </c>
      <c r="P143" s="229">
        <v>2.5999999999999999E-3</v>
      </c>
      <c r="Q143" s="228">
        <v>87.77</v>
      </c>
      <c r="R143" s="228">
        <v>87.56</v>
      </c>
      <c r="S143" s="228">
        <v>0.21</v>
      </c>
      <c r="T143" s="229">
        <v>2.3999999999999998E-3</v>
      </c>
      <c r="U143" s="228">
        <v>88.46</v>
      </c>
      <c r="V143" s="228">
        <v>88.18</v>
      </c>
      <c r="W143" s="228">
        <v>0.28000000000000003</v>
      </c>
      <c r="X143" s="229">
        <v>3.2000000000000002E-3</v>
      </c>
      <c r="Y143" s="228">
        <v>0.45</v>
      </c>
      <c r="Z143" s="228">
        <v>0.49</v>
      </c>
      <c r="AA143" s="228">
        <v>-0.04</v>
      </c>
      <c r="AB143" s="229">
        <v>5.1999999999999998E-3</v>
      </c>
      <c r="AC143" s="228">
        <v>0.45</v>
      </c>
      <c r="AD143" s="228">
        <v>0.49</v>
      </c>
      <c r="AE143" s="228">
        <v>-0.04</v>
      </c>
      <c r="AF143" s="229">
        <v>5.1999999999999998E-3</v>
      </c>
      <c r="AG143" s="228">
        <v>0.83</v>
      </c>
      <c r="AH143" s="228">
        <v>0.89</v>
      </c>
      <c r="AI143" s="228">
        <v>-0.06</v>
      </c>
      <c r="AJ143" s="229">
        <v>9.4999999999999998E-3</v>
      </c>
      <c r="AK143" s="228">
        <v>1.52</v>
      </c>
      <c r="AL143" s="228">
        <v>1.51</v>
      </c>
      <c r="AM143" s="228">
        <v>0.01</v>
      </c>
      <c r="AN143" s="229">
        <v>1.7500000000000002E-2</v>
      </c>
      <c r="AO143" s="228">
        <v>87.4</v>
      </c>
      <c r="AP143" s="228">
        <v>87.86</v>
      </c>
      <c r="AQ143" s="228">
        <v>0</v>
      </c>
      <c r="AR143" s="230">
        <v>5184000</v>
      </c>
      <c r="AS143" s="230">
        <v>11443200</v>
      </c>
      <c r="AT143" s="230">
        <v>-6259200</v>
      </c>
      <c r="AU143" s="229">
        <v>-0.54700000000000004</v>
      </c>
      <c r="AV143" s="230">
        <v>4723200</v>
      </c>
      <c r="AW143" s="230">
        <v>10572800</v>
      </c>
      <c r="AX143" s="230">
        <v>-5849600</v>
      </c>
      <c r="AY143" s="229">
        <v>-0.55330000000000001</v>
      </c>
      <c r="AZ143" s="230">
        <v>377600</v>
      </c>
      <c r="BA143" s="230">
        <v>800000</v>
      </c>
      <c r="BB143" s="230">
        <v>-422400</v>
      </c>
      <c r="BC143" s="229">
        <v>-0.52800000000000002</v>
      </c>
      <c r="BD143" s="230">
        <v>83200</v>
      </c>
      <c r="BE143" s="230">
        <v>70400</v>
      </c>
      <c r="BF143" s="230">
        <v>12800</v>
      </c>
      <c r="BG143" s="229">
        <v>0.18179999999999999</v>
      </c>
      <c r="BH143" s="230">
        <v>8774400</v>
      </c>
      <c r="BI143" s="230">
        <v>16460800</v>
      </c>
      <c r="BJ143" s="230">
        <v>-7686400</v>
      </c>
      <c r="BK143" s="229">
        <v>-0.46700000000000003</v>
      </c>
      <c r="BL143" s="230">
        <v>4921600</v>
      </c>
      <c r="BM143" s="230">
        <v>9542400</v>
      </c>
      <c r="BN143" s="230">
        <v>-4620800</v>
      </c>
      <c r="BO143" s="229">
        <v>-0.48420000000000002</v>
      </c>
      <c r="BP143" s="230">
        <v>18880000</v>
      </c>
      <c r="BQ143" s="230">
        <v>37446400</v>
      </c>
      <c r="BR143" s="230">
        <v>-18566400</v>
      </c>
      <c r="BS143" s="229">
        <v>-0.49580000000000002</v>
      </c>
      <c r="BT143" s="230">
        <v>7787368</v>
      </c>
      <c r="BU143" s="230">
        <v>13794467</v>
      </c>
      <c r="BV143" s="230">
        <v>-6007099</v>
      </c>
      <c r="BW143" s="229">
        <v>-0.4355</v>
      </c>
      <c r="BX143" s="230">
        <v>47622400</v>
      </c>
      <c r="BY143" s="230">
        <v>48051200</v>
      </c>
      <c r="BZ143" s="230">
        <v>-428800</v>
      </c>
      <c r="CA143" s="229">
        <v>-8.8999999999999999E-3</v>
      </c>
      <c r="CB143" s="230">
        <v>45849600</v>
      </c>
      <c r="CC143" s="230">
        <v>46336000</v>
      </c>
      <c r="CD143" s="230">
        <v>-486400</v>
      </c>
      <c r="CE143" s="229">
        <v>-1.0500000000000001E-2</v>
      </c>
      <c r="CF143" s="230">
        <v>1542400</v>
      </c>
      <c r="CG143" s="230">
        <v>1542400</v>
      </c>
      <c r="CH143" s="228">
        <v>0</v>
      </c>
      <c r="CI143" s="229">
        <v>0</v>
      </c>
      <c r="CJ143" s="230">
        <v>230400</v>
      </c>
      <c r="CK143" s="230">
        <v>172800</v>
      </c>
      <c r="CL143" s="230">
        <v>57600</v>
      </c>
      <c r="CM143" s="229">
        <v>0.33329999999999999</v>
      </c>
      <c r="CN143" s="230">
        <v>16857600</v>
      </c>
      <c r="CO143" s="230">
        <v>16460800</v>
      </c>
      <c r="CP143" s="230">
        <v>396800</v>
      </c>
      <c r="CQ143" s="229">
        <v>2.41E-2</v>
      </c>
      <c r="CR143" s="230">
        <v>9401600</v>
      </c>
      <c r="CS143" s="230">
        <v>8390400</v>
      </c>
      <c r="CT143" s="230">
        <v>1011200</v>
      </c>
      <c r="CU143" s="229">
        <v>0.1205</v>
      </c>
      <c r="CV143" s="230">
        <v>73881600</v>
      </c>
      <c r="CW143" s="230">
        <v>72902400</v>
      </c>
      <c r="CX143" s="230">
        <v>979200</v>
      </c>
      <c r="CY143" s="229">
        <v>1.34E-2</v>
      </c>
      <c r="CZ143" s="228">
        <v>27.37</v>
      </c>
      <c r="DA143" s="228">
        <v>28</v>
      </c>
      <c r="DB143" s="228">
        <v>-0.63</v>
      </c>
      <c r="DC143" s="228">
        <v>-0.63</v>
      </c>
      <c r="DD143" s="228">
        <v>39.96</v>
      </c>
      <c r="DE143" s="228">
        <v>40.06</v>
      </c>
      <c r="DF143" s="228">
        <v>-12.59</v>
      </c>
      <c r="DG143" s="228">
        <v>-0.1</v>
      </c>
      <c r="DH143" s="228">
        <v>27.77</v>
      </c>
      <c r="DI143" s="228">
        <v>28.49</v>
      </c>
      <c r="DJ143" s="228">
        <v>-0.72</v>
      </c>
      <c r="DK143" s="228">
        <v>-0.72</v>
      </c>
      <c r="DL143" s="228">
        <v>26.64</v>
      </c>
      <c r="DM143" s="228">
        <v>27.14</v>
      </c>
      <c r="DN143" s="228">
        <v>-0.5</v>
      </c>
      <c r="DO143" s="228">
        <v>-0.5</v>
      </c>
      <c r="DP143" s="228">
        <v>0.56000000000000005</v>
      </c>
      <c r="DQ143" s="228">
        <v>0.51</v>
      </c>
      <c r="DR143" s="228">
        <v>0.05</v>
      </c>
      <c r="DS143" s="229">
        <v>9.8000000000000004E-2</v>
      </c>
      <c r="DT143" s="228">
        <v>90</v>
      </c>
      <c r="DU143" s="228">
        <v>85</v>
      </c>
      <c r="DV143" s="228">
        <v>0.56000000000000005</v>
      </c>
      <c r="DW143" s="228">
        <v>0.57999999999999996</v>
      </c>
      <c r="DX143" s="228">
        <v>-0.02</v>
      </c>
      <c r="DY143" s="229">
        <v>-3.4500000000000003E-2</v>
      </c>
      <c r="DZ143" s="229">
        <v>3.7199999999999997E-2</v>
      </c>
      <c r="EA143" s="230">
        <v>1715200</v>
      </c>
      <c r="EB143" s="229">
        <v>4.3E-3</v>
      </c>
      <c r="EC143" s="229">
        <v>3.7199999999999997E-2</v>
      </c>
      <c r="ED143" s="228">
        <v>0.46</v>
      </c>
      <c r="EE143" s="229">
        <v>5.3E-3</v>
      </c>
      <c r="EF143" s="230">
        <v>4554028</v>
      </c>
      <c r="EG143" s="230">
        <v>7807830</v>
      </c>
      <c r="EH143" s="229">
        <v>-0.41670000000000001</v>
      </c>
      <c r="EI143" s="229">
        <v>0.58479999999999999</v>
      </c>
      <c r="EJ143" s="231">
        <v>8015.33</v>
      </c>
      <c r="EK143" s="231">
        <v>4116.2299999999996</v>
      </c>
      <c r="EL143" s="231">
        <v>4533.4399999999996</v>
      </c>
      <c r="EM143" s="231">
        <v>1089</v>
      </c>
      <c r="EN143" s="231">
        <v>16665</v>
      </c>
      <c r="EO143" s="231">
        <v>33042.230000000003</v>
      </c>
      <c r="EP143" s="231">
        <v>-16377.23</v>
      </c>
      <c r="EQ143" s="229">
        <v>-0.49559999999999998</v>
      </c>
      <c r="ER143" s="231">
        <v>15277</v>
      </c>
      <c r="ES143" s="231">
        <v>7884</v>
      </c>
      <c r="ET143" s="231">
        <v>41626</v>
      </c>
      <c r="EU143" s="231">
        <v>398201603</v>
      </c>
      <c r="EV143" s="231">
        <v>64786</v>
      </c>
      <c r="EW143" s="231">
        <v>63808</v>
      </c>
      <c r="EX143" s="228">
        <v>978</v>
      </c>
      <c r="EY143" s="229">
        <v>1.5299999999999999E-2</v>
      </c>
      <c r="EZ143" s="229">
        <v>0.1855</v>
      </c>
      <c r="FA143" s="227" t="s">
        <v>556</v>
      </c>
      <c r="FB143" s="161">
        <f t="shared" si="3"/>
        <v>0</v>
      </c>
    </row>
    <row r="144" spans="1:158" ht="17.25" hidden="1" thickBot="1" x14ac:dyDescent="0.3">
      <c r="A144" s="226">
        <v>45940</v>
      </c>
      <c r="B144" s="227" t="s">
        <v>181</v>
      </c>
      <c r="C144" s="227" t="s">
        <v>266</v>
      </c>
      <c r="D144" s="228">
        <v>75</v>
      </c>
      <c r="E144" s="231">
        <v>25411</v>
      </c>
      <c r="F144" s="231">
        <v>25273.8</v>
      </c>
      <c r="G144" s="228">
        <v>137.19999999999999</v>
      </c>
      <c r="H144" s="229">
        <v>5.4000000000000003E-3</v>
      </c>
      <c r="I144" s="231">
        <v>25285.35</v>
      </c>
      <c r="J144" s="231">
        <v>25181.8</v>
      </c>
      <c r="K144" s="228">
        <v>103.55</v>
      </c>
      <c r="L144" s="229">
        <v>4.1000000000000003E-3</v>
      </c>
      <c r="M144" s="231">
        <v>25411</v>
      </c>
      <c r="N144" s="231">
        <v>25273.8</v>
      </c>
      <c r="O144" s="228">
        <v>137.19999999999999</v>
      </c>
      <c r="P144" s="229">
        <v>5.4000000000000003E-3</v>
      </c>
      <c r="Q144" s="231">
        <v>25540.1</v>
      </c>
      <c r="R144" s="231">
        <v>25403</v>
      </c>
      <c r="S144" s="228">
        <v>137.1</v>
      </c>
      <c r="T144" s="229">
        <v>5.4000000000000003E-3</v>
      </c>
      <c r="U144" s="231">
        <v>25701.9</v>
      </c>
      <c r="V144" s="231">
        <v>25561.4</v>
      </c>
      <c r="W144" s="228">
        <v>140.5</v>
      </c>
      <c r="X144" s="229">
        <v>5.4999999999999997E-3</v>
      </c>
      <c r="Y144" s="228">
        <v>125.65</v>
      </c>
      <c r="Z144" s="228">
        <v>92</v>
      </c>
      <c r="AA144" s="228">
        <v>33.65</v>
      </c>
      <c r="AB144" s="229">
        <v>5.0000000000000001E-3</v>
      </c>
      <c r="AC144" s="228">
        <v>125.65</v>
      </c>
      <c r="AD144" s="228">
        <v>92</v>
      </c>
      <c r="AE144" s="228">
        <v>33.65</v>
      </c>
      <c r="AF144" s="229">
        <v>5.0000000000000001E-3</v>
      </c>
      <c r="AG144" s="228">
        <v>254.75</v>
      </c>
      <c r="AH144" s="228">
        <v>221.2</v>
      </c>
      <c r="AI144" s="228">
        <v>33.549999999999997</v>
      </c>
      <c r="AJ144" s="229">
        <v>1.01E-2</v>
      </c>
      <c r="AK144" s="228">
        <v>416.55</v>
      </c>
      <c r="AL144" s="228">
        <v>379.6</v>
      </c>
      <c r="AM144" s="228">
        <v>36.950000000000003</v>
      </c>
      <c r="AN144" s="229">
        <v>1.6500000000000001E-2</v>
      </c>
      <c r="AO144" s="231">
        <v>25396.17</v>
      </c>
      <c r="AP144" s="231">
        <v>25525.919999999998</v>
      </c>
      <c r="AQ144" s="228">
        <v>0</v>
      </c>
      <c r="AR144" s="230">
        <v>4960800</v>
      </c>
      <c r="AS144" s="230">
        <v>5404050</v>
      </c>
      <c r="AT144" s="230">
        <v>-443250</v>
      </c>
      <c r="AU144" s="229">
        <v>-8.2000000000000003E-2</v>
      </c>
      <c r="AV144" s="230">
        <v>4421850</v>
      </c>
      <c r="AW144" s="230">
        <v>5046225</v>
      </c>
      <c r="AX144" s="230">
        <v>-624375</v>
      </c>
      <c r="AY144" s="229">
        <v>-0.1237</v>
      </c>
      <c r="AZ144" s="230">
        <v>403125</v>
      </c>
      <c r="BA144" s="230">
        <v>247650</v>
      </c>
      <c r="BB144" s="230">
        <v>155475</v>
      </c>
      <c r="BC144" s="229">
        <v>0.62780000000000002</v>
      </c>
      <c r="BD144" s="230">
        <v>135825</v>
      </c>
      <c r="BE144" s="230">
        <v>110175</v>
      </c>
      <c r="BF144" s="230">
        <v>25650</v>
      </c>
      <c r="BG144" s="229">
        <v>0.23280000000000001</v>
      </c>
      <c r="BH144" s="230">
        <v>3809176350</v>
      </c>
      <c r="BI144" s="230">
        <v>2671865925</v>
      </c>
      <c r="BJ144" s="230">
        <v>1137310425</v>
      </c>
      <c r="BK144" s="229">
        <v>0.42570000000000002</v>
      </c>
      <c r="BL144" s="230">
        <v>3559538400</v>
      </c>
      <c r="BM144" s="230">
        <v>2389761750</v>
      </c>
      <c r="BN144" s="230">
        <v>1169776650</v>
      </c>
      <c r="BO144" s="229">
        <v>0.48949999999999999</v>
      </c>
      <c r="BP144" s="230">
        <v>7373675550</v>
      </c>
      <c r="BQ144" s="230">
        <v>5067031725</v>
      </c>
      <c r="BR144" s="230">
        <v>2306643825</v>
      </c>
      <c r="BS144" s="229">
        <v>0.45519999999999999</v>
      </c>
      <c r="BT144" s="228">
        <v>0</v>
      </c>
      <c r="BU144" s="228">
        <v>0</v>
      </c>
      <c r="BV144" s="228">
        <v>0</v>
      </c>
      <c r="BW144" s="229">
        <v>0</v>
      </c>
      <c r="BX144" s="230">
        <v>18820050</v>
      </c>
      <c r="BY144" s="230">
        <v>18916500</v>
      </c>
      <c r="BZ144" s="230">
        <v>-96450</v>
      </c>
      <c r="CA144" s="229">
        <v>-5.1000000000000004E-3</v>
      </c>
      <c r="CB144" s="230">
        <v>17289075</v>
      </c>
      <c r="CC144" s="230">
        <v>17510175</v>
      </c>
      <c r="CD144" s="230">
        <v>-221100</v>
      </c>
      <c r="CE144" s="229">
        <v>-1.26E-2</v>
      </c>
      <c r="CF144" s="230">
        <v>1245375</v>
      </c>
      <c r="CG144" s="230">
        <v>1147050</v>
      </c>
      <c r="CH144" s="230">
        <v>98325</v>
      </c>
      <c r="CI144" s="229">
        <v>8.5699999999999998E-2</v>
      </c>
      <c r="CJ144" s="230">
        <v>285600</v>
      </c>
      <c r="CK144" s="230">
        <v>259275</v>
      </c>
      <c r="CL144" s="230">
        <v>26325</v>
      </c>
      <c r="CM144" s="229">
        <v>0.10150000000000001</v>
      </c>
      <c r="CN144" s="230">
        <v>240430650</v>
      </c>
      <c r="CO144" s="230">
        <v>233699725</v>
      </c>
      <c r="CP144" s="230">
        <v>6730925</v>
      </c>
      <c r="CQ144" s="229">
        <v>2.8799999999999999E-2</v>
      </c>
      <c r="CR144" s="230">
        <v>317308250</v>
      </c>
      <c r="CS144" s="230">
        <v>247388650</v>
      </c>
      <c r="CT144" s="230">
        <v>69919600</v>
      </c>
      <c r="CU144" s="229">
        <v>0.28260000000000002</v>
      </c>
      <c r="CV144" s="230">
        <v>576558950</v>
      </c>
      <c r="CW144" s="230">
        <v>500004875</v>
      </c>
      <c r="CX144" s="230">
        <v>76554075</v>
      </c>
      <c r="CY144" s="229">
        <v>0.15310000000000001</v>
      </c>
      <c r="CZ144" s="228">
        <v>9.58</v>
      </c>
      <c r="DA144" s="228">
        <v>9.57</v>
      </c>
      <c r="DB144" s="228">
        <v>0.01</v>
      </c>
      <c r="DC144" s="228">
        <v>0.01</v>
      </c>
      <c r="DD144" s="228">
        <v>15.13</v>
      </c>
      <c r="DE144" s="228">
        <v>15.16</v>
      </c>
      <c r="DF144" s="228">
        <v>-5.55</v>
      </c>
      <c r="DG144" s="228">
        <v>-0.03</v>
      </c>
      <c r="DH144" s="228">
        <v>8.61</v>
      </c>
      <c r="DI144" s="228">
        <v>8.83</v>
      </c>
      <c r="DJ144" s="228">
        <v>-0.22</v>
      </c>
      <c r="DK144" s="228">
        <v>-0.22</v>
      </c>
      <c r="DL144" s="228">
        <v>10.64</v>
      </c>
      <c r="DM144" s="228">
        <v>10.39</v>
      </c>
      <c r="DN144" s="228">
        <v>0.25</v>
      </c>
      <c r="DO144" s="228">
        <v>0.25</v>
      </c>
      <c r="DP144" s="228">
        <v>1.32</v>
      </c>
      <c r="DQ144" s="228">
        <v>1.06</v>
      </c>
      <c r="DR144" s="228">
        <v>0.26</v>
      </c>
      <c r="DS144" s="229">
        <v>0.24529999999999999</v>
      </c>
      <c r="DT144" s="231">
        <v>26000</v>
      </c>
      <c r="DU144" s="231">
        <v>25200</v>
      </c>
      <c r="DV144" s="228">
        <v>0.93</v>
      </c>
      <c r="DW144" s="228">
        <v>0.89</v>
      </c>
      <c r="DX144" s="228">
        <v>0.04</v>
      </c>
      <c r="DY144" s="229">
        <v>4.4900000000000002E-2</v>
      </c>
      <c r="DZ144" s="229">
        <v>8.1299999999999997E-2</v>
      </c>
      <c r="EA144" s="230">
        <v>1406325</v>
      </c>
      <c r="EB144" s="229">
        <v>5.1000000000000004E-3</v>
      </c>
      <c r="EC144" s="229">
        <v>8.1299999999999997E-2</v>
      </c>
      <c r="ED144" s="228">
        <v>129.75</v>
      </c>
      <c r="EE144" s="229">
        <v>5.1000000000000004E-3</v>
      </c>
      <c r="EF144" s="228">
        <v>0</v>
      </c>
      <c r="EG144" s="228">
        <v>0</v>
      </c>
      <c r="EH144" s="229">
        <v>0</v>
      </c>
      <c r="EI144" s="229">
        <v>0</v>
      </c>
      <c r="EJ144" s="231">
        <v>973057084.37</v>
      </c>
      <c r="EK144" s="231">
        <v>888868952.46000004</v>
      </c>
      <c r="EL144" s="231">
        <v>1260764.7</v>
      </c>
      <c r="EM144" s="231">
        <v>73560</v>
      </c>
      <c r="EN144" s="231">
        <v>1863186801.53</v>
      </c>
      <c r="EO144" s="231">
        <v>1275784586.05</v>
      </c>
      <c r="EP144" s="231">
        <v>587402215.48000002</v>
      </c>
      <c r="EQ144" s="229">
        <v>0.46039999999999998</v>
      </c>
      <c r="ER144" s="231">
        <v>61906853</v>
      </c>
      <c r="ES144" s="231">
        <v>77907693</v>
      </c>
      <c r="ET144" s="231">
        <v>4784801</v>
      </c>
      <c r="EU144" s="228">
        <v>0</v>
      </c>
      <c r="EV144" s="231">
        <v>144599347</v>
      </c>
      <c r="EW144" s="231">
        <v>125396201</v>
      </c>
      <c r="EX144" s="231">
        <v>19203146</v>
      </c>
      <c r="EY144" s="229">
        <v>0.15310000000000001</v>
      </c>
      <c r="EZ144" s="229">
        <v>0</v>
      </c>
      <c r="FA144" s="227" t="s">
        <v>556</v>
      </c>
      <c r="FB144" s="161">
        <f t="shared" si="3"/>
        <v>0</v>
      </c>
    </row>
    <row r="145" spans="1:158" ht="17.25" hidden="1" thickBot="1" x14ac:dyDescent="0.3">
      <c r="A145" s="226">
        <v>45940</v>
      </c>
      <c r="B145" s="227" t="s">
        <v>181</v>
      </c>
      <c r="C145" s="227" t="s">
        <v>566</v>
      </c>
      <c r="D145" s="228">
        <v>25</v>
      </c>
      <c r="E145" s="231">
        <v>68958.600000000006</v>
      </c>
      <c r="F145" s="231">
        <v>68778</v>
      </c>
      <c r="G145" s="228">
        <v>180.6</v>
      </c>
      <c r="H145" s="229">
        <v>2.5999999999999999E-3</v>
      </c>
      <c r="I145" s="231">
        <v>68687.25</v>
      </c>
      <c r="J145" s="231">
        <v>68520.25</v>
      </c>
      <c r="K145" s="228">
        <v>167</v>
      </c>
      <c r="L145" s="229">
        <v>2.3999999999999998E-3</v>
      </c>
      <c r="M145" s="231">
        <v>68958.600000000006</v>
      </c>
      <c r="N145" s="231">
        <v>68778</v>
      </c>
      <c r="O145" s="228">
        <v>180.6</v>
      </c>
      <c r="P145" s="229">
        <v>2.5999999999999999E-3</v>
      </c>
      <c r="Q145" s="231">
        <v>69401</v>
      </c>
      <c r="R145" s="231">
        <v>69149.8</v>
      </c>
      <c r="S145" s="228">
        <v>251.2</v>
      </c>
      <c r="T145" s="229">
        <v>3.5999999999999999E-3</v>
      </c>
      <c r="U145" s="231">
        <v>69500</v>
      </c>
      <c r="V145" s="231">
        <v>69500</v>
      </c>
      <c r="W145" s="228">
        <v>0</v>
      </c>
      <c r="X145" s="229">
        <v>0</v>
      </c>
      <c r="Y145" s="228">
        <v>271.35000000000002</v>
      </c>
      <c r="Z145" s="228">
        <v>257.75</v>
      </c>
      <c r="AA145" s="228">
        <v>13.6</v>
      </c>
      <c r="AB145" s="229">
        <v>4.0000000000000001E-3</v>
      </c>
      <c r="AC145" s="228">
        <v>271.35000000000002</v>
      </c>
      <c r="AD145" s="228">
        <v>257.75</v>
      </c>
      <c r="AE145" s="228">
        <v>13.6</v>
      </c>
      <c r="AF145" s="229">
        <v>4.0000000000000001E-3</v>
      </c>
      <c r="AG145" s="228">
        <v>713.75</v>
      </c>
      <c r="AH145" s="228">
        <v>629.54999999999995</v>
      </c>
      <c r="AI145" s="228">
        <v>84.2</v>
      </c>
      <c r="AJ145" s="229">
        <v>1.04E-2</v>
      </c>
      <c r="AK145" s="228">
        <v>812.75</v>
      </c>
      <c r="AL145" s="228">
        <v>979.75</v>
      </c>
      <c r="AM145" s="228">
        <v>-167</v>
      </c>
      <c r="AN145" s="229">
        <v>1.18E-2</v>
      </c>
      <c r="AO145" s="231">
        <v>69031.520000000004</v>
      </c>
      <c r="AP145" s="231">
        <v>69493.91</v>
      </c>
      <c r="AQ145" s="228">
        <v>0</v>
      </c>
      <c r="AR145" s="230">
        <v>8125</v>
      </c>
      <c r="AS145" s="230">
        <v>4225</v>
      </c>
      <c r="AT145" s="230">
        <v>3900</v>
      </c>
      <c r="AU145" s="229">
        <v>0.92310000000000003</v>
      </c>
      <c r="AV145" s="230">
        <v>7550</v>
      </c>
      <c r="AW145" s="230">
        <v>4075</v>
      </c>
      <c r="AX145" s="230">
        <v>3475</v>
      </c>
      <c r="AY145" s="229">
        <v>0.8528</v>
      </c>
      <c r="AZ145" s="228">
        <v>575</v>
      </c>
      <c r="BA145" s="228">
        <v>150</v>
      </c>
      <c r="BB145" s="228">
        <v>425</v>
      </c>
      <c r="BC145" s="229">
        <v>2.8332999999999999</v>
      </c>
      <c r="BD145" s="228">
        <v>0</v>
      </c>
      <c r="BE145" s="228">
        <v>0</v>
      </c>
      <c r="BF145" s="228">
        <v>0</v>
      </c>
      <c r="BG145" s="229">
        <v>0</v>
      </c>
      <c r="BH145" s="230">
        <v>6700</v>
      </c>
      <c r="BI145" s="230">
        <v>4100</v>
      </c>
      <c r="BJ145" s="230">
        <v>2600</v>
      </c>
      <c r="BK145" s="229">
        <v>0.6341</v>
      </c>
      <c r="BL145" s="230">
        <v>1875</v>
      </c>
      <c r="BM145" s="230">
        <v>2575</v>
      </c>
      <c r="BN145" s="228">
        <v>-700</v>
      </c>
      <c r="BO145" s="229">
        <v>-0.27179999999999999</v>
      </c>
      <c r="BP145" s="230">
        <v>16700</v>
      </c>
      <c r="BQ145" s="230">
        <v>10900</v>
      </c>
      <c r="BR145" s="230">
        <v>5800</v>
      </c>
      <c r="BS145" s="229">
        <v>0.53210000000000002</v>
      </c>
      <c r="BT145" s="228">
        <v>0</v>
      </c>
      <c r="BU145" s="228">
        <v>0</v>
      </c>
      <c r="BV145" s="228">
        <v>0</v>
      </c>
      <c r="BW145" s="229">
        <v>0</v>
      </c>
      <c r="BX145" s="230">
        <v>23800</v>
      </c>
      <c r="BY145" s="230">
        <v>24900</v>
      </c>
      <c r="BZ145" s="230">
        <v>-1100</v>
      </c>
      <c r="CA145" s="229">
        <v>-4.4200000000000003E-2</v>
      </c>
      <c r="CB145" s="230">
        <v>20600</v>
      </c>
      <c r="CC145" s="230">
        <v>21925</v>
      </c>
      <c r="CD145" s="230">
        <v>-1325</v>
      </c>
      <c r="CE145" s="229">
        <v>-6.0400000000000002E-2</v>
      </c>
      <c r="CF145" s="230">
        <v>3125</v>
      </c>
      <c r="CG145" s="230">
        <v>2900</v>
      </c>
      <c r="CH145" s="228">
        <v>225</v>
      </c>
      <c r="CI145" s="229">
        <v>7.7600000000000002E-2</v>
      </c>
      <c r="CJ145" s="228">
        <v>75</v>
      </c>
      <c r="CK145" s="228">
        <v>75</v>
      </c>
      <c r="CL145" s="228">
        <v>0</v>
      </c>
      <c r="CM145" s="229">
        <v>0</v>
      </c>
      <c r="CN145" s="230">
        <v>6375</v>
      </c>
      <c r="CO145" s="230">
        <v>4700</v>
      </c>
      <c r="CP145" s="230">
        <v>1675</v>
      </c>
      <c r="CQ145" s="229">
        <v>0.35639999999999999</v>
      </c>
      <c r="CR145" s="230">
        <v>2175</v>
      </c>
      <c r="CS145" s="230">
        <v>2050</v>
      </c>
      <c r="CT145" s="228">
        <v>125</v>
      </c>
      <c r="CU145" s="229">
        <v>6.0999999999999999E-2</v>
      </c>
      <c r="CV145" s="230">
        <v>32350</v>
      </c>
      <c r="CW145" s="230">
        <v>31650</v>
      </c>
      <c r="CX145" s="228">
        <v>700</v>
      </c>
      <c r="CY145" s="229">
        <v>2.2100000000000002E-2</v>
      </c>
      <c r="CZ145" s="228">
        <v>13.08</v>
      </c>
      <c r="DA145" s="228">
        <v>12.42</v>
      </c>
      <c r="DB145" s="228">
        <v>0.66</v>
      </c>
      <c r="DC145" s="228">
        <v>0.66</v>
      </c>
      <c r="DD145" s="228">
        <v>21.38</v>
      </c>
      <c r="DE145" s="228">
        <v>21.44</v>
      </c>
      <c r="DF145" s="228">
        <v>-8.3000000000000007</v>
      </c>
      <c r="DG145" s="228">
        <v>-0.06</v>
      </c>
      <c r="DH145" s="228">
        <v>13.44</v>
      </c>
      <c r="DI145" s="228">
        <v>12.29</v>
      </c>
      <c r="DJ145" s="228">
        <v>1.1499999999999999</v>
      </c>
      <c r="DK145" s="228">
        <v>1.1499999999999999</v>
      </c>
      <c r="DL145" s="228">
        <v>11.78</v>
      </c>
      <c r="DM145" s="228">
        <v>12.64</v>
      </c>
      <c r="DN145" s="228">
        <v>-0.86</v>
      </c>
      <c r="DO145" s="228">
        <v>-0.86</v>
      </c>
      <c r="DP145" s="228">
        <v>0.34</v>
      </c>
      <c r="DQ145" s="228">
        <v>0.44</v>
      </c>
      <c r="DR145" s="228">
        <v>-0.1</v>
      </c>
      <c r="DS145" s="229">
        <v>-0.2273</v>
      </c>
      <c r="DT145" s="231">
        <v>68000</v>
      </c>
      <c r="DU145" s="231">
        <v>67500</v>
      </c>
      <c r="DV145" s="228">
        <v>0.28000000000000003</v>
      </c>
      <c r="DW145" s="228">
        <v>0.63</v>
      </c>
      <c r="DX145" s="228">
        <v>-0.35</v>
      </c>
      <c r="DY145" s="229">
        <v>-0.55559999999999998</v>
      </c>
      <c r="DZ145" s="229">
        <v>0.13450000000000001</v>
      </c>
      <c r="EA145" s="230">
        <v>2975</v>
      </c>
      <c r="EB145" s="229">
        <v>6.4000000000000003E-3</v>
      </c>
      <c r="EC145" s="229">
        <v>0.13450000000000001</v>
      </c>
      <c r="ED145" s="228">
        <v>462.39</v>
      </c>
      <c r="EE145" s="229">
        <v>6.7000000000000002E-3</v>
      </c>
      <c r="EF145" s="228">
        <v>0</v>
      </c>
      <c r="EG145" s="228">
        <v>0</v>
      </c>
      <c r="EH145" s="229">
        <v>0</v>
      </c>
      <c r="EI145" s="229">
        <v>0</v>
      </c>
      <c r="EJ145" s="231">
        <v>4664.03</v>
      </c>
      <c r="EK145" s="231">
        <v>1291.78</v>
      </c>
      <c r="EL145" s="231">
        <v>5611.47</v>
      </c>
      <c r="EM145" s="228">
        <v>0</v>
      </c>
      <c r="EN145" s="231">
        <v>11567.28</v>
      </c>
      <c r="EO145" s="231">
        <v>7518.96</v>
      </c>
      <c r="EP145" s="231">
        <v>4048.32</v>
      </c>
      <c r="EQ145" s="229">
        <v>0.53839999999999999</v>
      </c>
      <c r="ER145" s="231">
        <v>4352</v>
      </c>
      <c r="ES145" s="231">
        <v>1471</v>
      </c>
      <c r="ET145" s="231">
        <v>16426</v>
      </c>
      <c r="EU145" s="228">
        <v>0</v>
      </c>
      <c r="EV145" s="231">
        <v>22250</v>
      </c>
      <c r="EW145" s="231">
        <v>21731</v>
      </c>
      <c r="EX145" s="228">
        <v>519</v>
      </c>
      <c r="EY145" s="229">
        <v>2.3900000000000001E-2</v>
      </c>
      <c r="EZ145" s="229">
        <v>0</v>
      </c>
      <c r="FA145" s="227" t="s">
        <v>556</v>
      </c>
      <c r="FB145" s="161">
        <f t="shared" si="3"/>
        <v>0</v>
      </c>
    </row>
    <row r="146" spans="1:158" ht="17.25" hidden="1" thickBot="1" x14ac:dyDescent="0.3">
      <c r="A146" s="226">
        <v>45940</v>
      </c>
      <c r="B146" s="227" t="s">
        <v>227</v>
      </c>
      <c r="C146" s="227" t="s">
        <v>267</v>
      </c>
      <c r="D146" s="228">
        <v>13500</v>
      </c>
      <c r="E146" s="228">
        <v>77.36</v>
      </c>
      <c r="F146" s="228">
        <v>79.11</v>
      </c>
      <c r="G146" s="228">
        <v>-1.75</v>
      </c>
      <c r="H146" s="229">
        <v>-2.2100000000000002E-2</v>
      </c>
      <c r="I146" s="228">
        <v>77.13</v>
      </c>
      <c r="J146" s="228">
        <v>78.8</v>
      </c>
      <c r="K146" s="228">
        <v>-1.67</v>
      </c>
      <c r="L146" s="229">
        <v>-2.12E-2</v>
      </c>
      <c r="M146" s="228">
        <v>77.36</v>
      </c>
      <c r="N146" s="228">
        <v>79.11</v>
      </c>
      <c r="O146" s="228">
        <v>-1.75</v>
      </c>
      <c r="P146" s="229">
        <v>-2.2100000000000002E-2</v>
      </c>
      <c r="Q146" s="228">
        <v>77.790000000000006</v>
      </c>
      <c r="R146" s="228">
        <v>79.55</v>
      </c>
      <c r="S146" s="228">
        <v>-1.76</v>
      </c>
      <c r="T146" s="229">
        <v>-2.2100000000000002E-2</v>
      </c>
      <c r="U146" s="228">
        <v>78.290000000000006</v>
      </c>
      <c r="V146" s="228">
        <v>79.98</v>
      </c>
      <c r="W146" s="228">
        <v>-1.69</v>
      </c>
      <c r="X146" s="229">
        <v>-2.1100000000000001E-2</v>
      </c>
      <c r="Y146" s="228">
        <v>0.23</v>
      </c>
      <c r="Z146" s="228">
        <v>0.31</v>
      </c>
      <c r="AA146" s="228">
        <v>-0.08</v>
      </c>
      <c r="AB146" s="229">
        <v>3.0000000000000001E-3</v>
      </c>
      <c r="AC146" s="228">
        <v>0.23</v>
      </c>
      <c r="AD146" s="228">
        <v>0.31</v>
      </c>
      <c r="AE146" s="228">
        <v>-0.08</v>
      </c>
      <c r="AF146" s="229">
        <v>3.0000000000000001E-3</v>
      </c>
      <c r="AG146" s="228">
        <v>0.66</v>
      </c>
      <c r="AH146" s="228">
        <v>0.75</v>
      </c>
      <c r="AI146" s="228">
        <v>-0.09</v>
      </c>
      <c r="AJ146" s="229">
        <v>8.6E-3</v>
      </c>
      <c r="AK146" s="228">
        <v>1.1599999999999999</v>
      </c>
      <c r="AL146" s="228">
        <v>1.18</v>
      </c>
      <c r="AM146" s="228">
        <v>-0.02</v>
      </c>
      <c r="AN146" s="229">
        <v>1.4999999999999999E-2</v>
      </c>
      <c r="AO146" s="228">
        <v>77.45</v>
      </c>
      <c r="AP146" s="228">
        <v>77.86</v>
      </c>
      <c r="AQ146" s="228">
        <v>0</v>
      </c>
      <c r="AR146" s="230">
        <v>57402000</v>
      </c>
      <c r="AS146" s="230">
        <v>67783500</v>
      </c>
      <c r="AT146" s="230">
        <v>-10381500</v>
      </c>
      <c r="AU146" s="229">
        <v>-0.1532</v>
      </c>
      <c r="AV146" s="230">
        <v>47479500</v>
      </c>
      <c r="AW146" s="230">
        <v>58144500</v>
      </c>
      <c r="AX146" s="230">
        <v>-10665000</v>
      </c>
      <c r="AY146" s="229">
        <v>-0.18340000000000001</v>
      </c>
      <c r="AZ146" s="230">
        <v>8559000</v>
      </c>
      <c r="BA146" s="230">
        <v>8073000</v>
      </c>
      <c r="BB146" s="230">
        <v>486000</v>
      </c>
      <c r="BC146" s="229">
        <v>6.0199999999999997E-2</v>
      </c>
      <c r="BD146" s="230">
        <v>1363500</v>
      </c>
      <c r="BE146" s="230">
        <v>1566000</v>
      </c>
      <c r="BF146" s="230">
        <v>-202500</v>
      </c>
      <c r="BG146" s="229">
        <v>-0.1293</v>
      </c>
      <c r="BH146" s="230">
        <v>186907500</v>
      </c>
      <c r="BI146" s="230">
        <v>248940000</v>
      </c>
      <c r="BJ146" s="230">
        <v>-62032500</v>
      </c>
      <c r="BK146" s="229">
        <v>-0.2492</v>
      </c>
      <c r="BL146" s="230">
        <v>84766500</v>
      </c>
      <c r="BM146" s="230">
        <v>115033500</v>
      </c>
      <c r="BN146" s="230">
        <v>-30267000</v>
      </c>
      <c r="BO146" s="229">
        <v>-0.2631</v>
      </c>
      <c r="BP146" s="230">
        <v>329076000</v>
      </c>
      <c r="BQ146" s="230">
        <v>431757000</v>
      </c>
      <c r="BR146" s="230">
        <v>-102681000</v>
      </c>
      <c r="BS146" s="229">
        <v>-0.23780000000000001</v>
      </c>
      <c r="BT146" s="230">
        <v>25527364</v>
      </c>
      <c r="BU146" s="230">
        <v>37777554</v>
      </c>
      <c r="BV146" s="230">
        <v>-12250190</v>
      </c>
      <c r="BW146" s="229">
        <v>-0.32429999999999998</v>
      </c>
      <c r="BX146" s="230">
        <v>287374500</v>
      </c>
      <c r="BY146" s="230">
        <v>281043000</v>
      </c>
      <c r="BZ146" s="230">
        <v>6331500</v>
      </c>
      <c r="CA146" s="229">
        <v>2.2499999999999999E-2</v>
      </c>
      <c r="CB146" s="230">
        <v>273888000</v>
      </c>
      <c r="CC146" s="230">
        <v>272133000</v>
      </c>
      <c r="CD146" s="230">
        <v>1755000</v>
      </c>
      <c r="CE146" s="229">
        <v>6.4000000000000003E-3</v>
      </c>
      <c r="CF146" s="230">
        <v>12001500</v>
      </c>
      <c r="CG146" s="230">
        <v>7911000</v>
      </c>
      <c r="CH146" s="230">
        <v>4090500</v>
      </c>
      <c r="CI146" s="229">
        <v>0.5171</v>
      </c>
      <c r="CJ146" s="230">
        <v>1485000</v>
      </c>
      <c r="CK146" s="230">
        <v>999000</v>
      </c>
      <c r="CL146" s="230">
        <v>486000</v>
      </c>
      <c r="CM146" s="229">
        <v>0.48649999999999999</v>
      </c>
      <c r="CN146" s="230">
        <v>131989500</v>
      </c>
      <c r="CO146" s="230">
        <v>112225500</v>
      </c>
      <c r="CP146" s="230">
        <v>19764000</v>
      </c>
      <c r="CQ146" s="229">
        <v>0.17610000000000001</v>
      </c>
      <c r="CR146" s="230">
        <v>75681000</v>
      </c>
      <c r="CS146" s="230">
        <v>77409000</v>
      </c>
      <c r="CT146" s="230">
        <v>-1728000</v>
      </c>
      <c r="CU146" s="229">
        <v>-2.23E-2</v>
      </c>
      <c r="CV146" s="230">
        <v>495045000</v>
      </c>
      <c r="CW146" s="230">
        <v>470677500</v>
      </c>
      <c r="CX146" s="230">
        <v>24367500</v>
      </c>
      <c r="CY146" s="229">
        <v>5.1799999999999999E-2</v>
      </c>
      <c r="CZ146" s="228">
        <v>29.76</v>
      </c>
      <c r="DA146" s="228">
        <v>27.75</v>
      </c>
      <c r="DB146" s="228">
        <v>2.0099999999999998</v>
      </c>
      <c r="DC146" s="228">
        <v>2.0099999999999998</v>
      </c>
      <c r="DD146" s="228">
        <v>39.880000000000003</v>
      </c>
      <c r="DE146" s="228">
        <v>39.869999999999997</v>
      </c>
      <c r="DF146" s="228">
        <v>-10.119999999999999</v>
      </c>
      <c r="DG146" s="228">
        <v>0.01</v>
      </c>
      <c r="DH146" s="228">
        <v>30.01</v>
      </c>
      <c r="DI146" s="228">
        <v>27.3</v>
      </c>
      <c r="DJ146" s="228">
        <v>2.71</v>
      </c>
      <c r="DK146" s="228">
        <v>2.71</v>
      </c>
      <c r="DL146" s="228">
        <v>29.2</v>
      </c>
      <c r="DM146" s="228">
        <v>28.72</v>
      </c>
      <c r="DN146" s="228">
        <v>0.48</v>
      </c>
      <c r="DO146" s="228">
        <v>0.48</v>
      </c>
      <c r="DP146" s="228">
        <v>0.56999999999999995</v>
      </c>
      <c r="DQ146" s="228">
        <v>0.69</v>
      </c>
      <c r="DR146" s="228">
        <v>-0.12</v>
      </c>
      <c r="DS146" s="229">
        <v>-0.1739</v>
      </c>
      <c r="DT146" s="228">
        <v>80</v>
      </c>
      <c r="DU146" s="228">
        <v>70</v>
      </c>
      <c r="DV146" s="228">
        <v>0.45</v>
      </c>
      <c r="DW146" s="228">
        <v>0.46</v>
      </c>
      <c r="DX146" s="228">
        <v>-0.01</v>
      </c>
      <c r="DY146" s="229">
        <v>-2.1700000000000001E-2</v>
      </c>
      <c r="DZ146" s="229">
        <v>4.6899999999999997E-2</v>
      </c>
      <c r="EA146" s="230">
        <v>8910000</v>
      </c>
      <c r="EB146" s="229">
        <v>5.5999999999999999E-3</v>
      </c>
      <c r="EC146" s="229">
        <v>4.6899999999999997E-2</v>
      </c>
      <c r="ED146" s="228">
        <v>0.41</v>
      </c>
      <c r="EE146" s="229">
        <v>5.3E-3</v>
      </c>
      <c r="EF146" s="230">
        <v>10427984</v>
      </c>
      <c r="EG146" s="230">
        <v>15947046</v>
      </c>
      <c r="EH146" s="229">
        <v>-0.34610000000000002</v>
      </c>
      <c r="EI146" s="229">
        <v>0.40849999999999997</v>
      </c>
      <c r="EJ146" s="231">
        <v>151884.45000000001</v>
      </c>
      <c r="EK146" s="231">
        <v>65436.93</v>
      </c>
      <c r="EL146" s="231">
        <v>44503.12</v>
      </c>
      <c r="EM146" s="231">
        <v>2986</v>
      </c>
      <c r="EN146" s="231">
        <v>261824.5</v>
      </c>
      <c r="EO146" s="231">
        <v>345168.81</v>
      </c>
      <c r="EP146" s="231">
        <v>-83344.31</v>
      </c>
      <c r="EQ146" s="229">
        <v>-0.24149999999999999</v>
      </c>
      <c r="ER146" s="231">
        <v>105844</v>
      </c>
      <c r="ES146" s="231">
        <v>56625</v>
      </c>
      <c r="ET146" s="231">
        <v>222378</v>
      </c>
      <c r="EU146" s="231">
        <v>517037525</v>
      </c>
      <c r="EV146" s="231">
        <v>384847</v>
      </c>
      <c r="EW146" s="231">
        <v>370240</v>
      </c>
      <c r="EX146" s="231">
        <v>14607</v>
      </c>
      <c r="EY146" s="229">
        <v>3.95E-2</v>
      </c>
      <c r="EZ146" s="229">
        <v>0.95750000000000002</v>
      </c>
      <c r="FA146" s="227" t="s">
        <v>567</v>
      </c>
      <c r="FB146" s="161">
        <f t="shared" si="3"/>
        <v>0</v>
      </c>
    </row>
    <row r="147" spans="1:158" ht="17.25" hidden="1" thickBot="1" x14ac:dyDescent="0.3">
      <c r="A147" s="226">
        <v>45940</v>
      </c>
      <c r="B147" s="227" t="s">
        <v>161</v>
      </c>
      <c r="C147" s="227" t="s">
        <v>268</v>
      </c>
      <c r="D147" s="228">
        <v>1500</v>
      </c>
      <c r="E147" s="228">
        <v>340.7</v>
      </c>
      <c r="F147" s="228">
        <v>336.6</v>
      </c>
      <c r="G147" s="228">
        <v>4.0999999999999996</v>
      </c>
      <c r="H147" s="229">
        <v>1.2200000000000001E-2</v>
      </c>
      <c r="I147" s="228">
        <v>339.7</v>
      </c>
      <c r="J147" s="228">
        <v>335.85</v>
      </c>
      <c r="K147" s="228">
        <v>3.85</v>
      </c>
      <c r="L147" s="229">
        <v>1.15E-2</v>
      </c>
      <c r="M147" s="228">
        <v>340.7</v>
      </c>
      <c r="N147" s="228">
        <v>336.6</v>
      </c>
      <c r="O147" s="228">
        <v>4.0999999999999996</v>
      </c>
      <c r="P147" s="229">
        <v>1.2200000000000001E-2</v>
      </c>
      <c r="Q147" s="228">
        <v>340.3</v>
      </c>
      <c r="R147" s="228">
        <v>336.15</v>
      </c>
      <c r="S147" s="228">
        <v>4.1500000000000004</v>
      </c>
      <c r="T147" s="229">
        <v>1.23E-2</v>
      </c>
      <c r="U147" s="228">
        <v>342.9</v>
      </c>
      <c r="V147" s="228">
        <v>338.45</v>
      </c>
      <c r="W147" s="228">
        <v>4.45</v>
      </c>
      <c r="X147" s="229">
        <v>1.3100000000000001E-2</v>
      </c>
      <c r="Y147" s="228">
        <v>1</v>
      </c>
      <c r="Z147" s="228">
        <v>0.75</v>
      </c>
      <c r="AA147" s="228">
        <v>0.25</v>
      </c>
      <c r="AB147" s="229">
        <v>2.8999999999999998E-3</v>
      </c>
      <c r="AC147" s="228">
        <v>1</v>
      </c>
      <c r="AD147" s="228">
        <v>0.75</v>
      </c>
      <c r="AE147" s="228">
        <v>0.25</v>
      </c>
      <c r="AF147" s="229">
        <v>2.8999999999999998E-3</v>
      </c>
      <c r="AG147" s="228">
        <v>0.6</v>
      </c>
      <c r="AH147" s="228">
        <v>0.3</v>
      </c>
      <c r="AI147" s="228">
        <v>0.3</v>
      </c>
      <c r="AJ147" s="229">
        <v>1.8E-3</v>
      </c>
      <c r="AK147" s="228">
        <v>3.2</v>
      </c>
      <c r="AL147" s="228">
        <v>2.6</v>
      </c>
      <c r="AM147" s="228">
        <v>0.6</v>
      </c>
      <c r="AN147" s="229">
        <v>9.4000000000000004E-3</v>
      </c>
      <c r="AO147" s="228">
        <v>341.32</v>
      </c>
      <c r="AP147" s="228">
        <v>341.05</v>
      </c>
      <c r="AQ147" s="228">
        <v>0</v>
      </c>
      <c r="AR147" s="230">
        <v>12750000</v>
      </c>
      <c r="AS147" s="230">
        <v>8175000</v>
      </c>
      <c r="AT147" s="230">
        <v>4575000</v>
      </c>
      <c r="AU147" s="229">
        <v>0.55959999999999999</v>
      </c>
      <c r="AV147" s="230">
        <v>11077500</v>
      </c>
      <c r="AW147" s="230">
        <v>7410000</v>
      </c>
      <c r="AX147" s="230">
        <v>3667500</v>
      </c>
      <c r="AY147" s="229">
        <v>0.49490000000000001</v>
      </c>
      <c r="AZ147" s="230">
        <v>1420500</v>
      </c>
      <c r="BA147" s="230">
        <v>697500</v>
      </c>
      <c r="BB147" s="230">
        <v>723000</v>
      </c>
      <c r="BC147" s="229">
        <v>1.0366</v>
      </c>
      <c r="BD147" s="230">
        <v>252000</v>
      </c>
      <c r="BE147" s="230">
        <v>67500</v>
      </c>
      <c r="BF147" s="230">
        <v>184500</v>
      </c>
      <c r="BG147" s="229">
        <v>2.7332999999999998</v>
      </c>
      <c r="BH147" s="230">
        <v>55360500</v>
      </c>
      <c r="BI147" s="230">
        <v>36193500</v>
      </c>
      <c r="BJ147" s="230">
        <v>19167000</v>
      </c>
      <c r="BK147" s="229">
        <v>0.52959999999999996</v>
      </c>
      <c r="BL147" s="230">
        <v>28306500</v>
      </c>
      <c r="BM147" s="230">
        <v>16540500</v>
      </c>
      <c r="BN147" s="230">
        <v>11766000</v>
      </c>
      <c r="BO147" s="229">
        <v>0.71130000000000004</v>
      </c>
      <c r="BP147" s="230">
        <v>96417000</v>
      </c>
      <c r="BQ147" s="230">
        <v>60909000</v>
      </c>
      <c r="BR147" s="230">
        <v>35508000</v>
      </c>
      <c r="BS147" s="229">
        <v>0.58299999999999996</v>
      </c>
      <c r="BT147" s="230">
        <v>9439960</v>
      </c>
      <c r="BU147" s="230">
        <v>7158406</v>
      </c>
      <c r="BV147" s="230">
        <v>2281554</v>
      </c>
      <c r="BW147" s="229">
        <v>0.31869999999999998</v>
      </c>
      <c r="BX147" s="230">
        <v>99270000</v>
      </c>
      <c r="BY147" s="230">
        <v>99579000</v>
      </c>
      <c r="BZ147" s="230">
        <v>-309000</v>
      </c>
      <c r="CA147" s="229">
        <v>-3.0999999999999999E-3</v>
      </c>
      <c r="CB147" s="230">
        <v>94357500</v>
      </c>
      <c r="CC147" s="230">
        <v>94743000</v>
      </c>
      <c r="CD147" s="230">
        <v>-385500</v>
      </c>
      <c r="CE147" s="229">
        <v>-4.1000000000000003E-3</v>
      </c>
      <c r="CF147" s="230">
        <v>4504500</v>
      </c>
      <c r="CG147" s="230">
        <v>4554000</v>
      </c>
      <c r="CH147" s="230">
        <v>-49500</v>
      </c>
      <c r="CI147" s="229">
        <v>-1.09E-2</v>
      </c>
      <c r="CJ147" s="230">
        <v>408000</v>
      </c>
      <c r="CK147" s="230">
        <v>282000</v>
      </c>
      <c r="CL147" s="230">
        <v>126000</v>
      </c>
      <c r="CM147" s="229">
        <v>0.44679999999999997</v>
      </c>
      <c r="CN147" s="230">
        <v>37315500</v>
      </c>
      <c r="CO147" s="230">
        <v>35503500</v>
      </c>
      <c r="CP147" s="230">
        <v>1812000</v>
      </c>
      <c r="CQ147" s="229">
        <v>5.0999999999999997E-2</v>
      </c>
      <c r="CR147" s="230">
        <v>17278500</v>
      </c>
      <c r="CS147" s="230">
        <v>17590500</v>
      </c>
      <c r="CT147" s="230">
        <v>-312000</v>
      </c>
      <c r="CU147" s="229">
        <v>-1.77E-2</v>
      </c>
      <c r="CV147" s="230">
        <v>153864000</v>
      </c>
      <c r="CW147" s="230">
        <v>152673000</v>
      </c>
      <c r="CX147" s="230">
        <v>1191000</v>
      </c>
      <c r="CY147" s="229">
        <v>7.7999999999999996E-3</v>
      </c>
      <c r="CZ147" s="228">
        <v>15.49</v>
      </c>
      <c r="DA147" s="228">
        <v>16.899999999999999</v>
      </c>
      <c r="DB147" s="228">
        <v>-1.41</v>
      </c>
      <c r="DC147" s="228">
        <v>-1.41</v>
      </c>
      <c r="DD147" s="228">
        <v>28.89</v>
      </c>
      <c r="DE147" s="228">
        <v>28.92</v>
      </c>
      <c r="DF147" s="228">
        <v>-13.4</v>
      </c>
      <c r="DG147" s="228">
        <v>-0.03</v>
      </c>
      <c r="DH147" s="228">
        <v>15.31</v>
      </c>
      <c r="DI147" s="228">
        <v>16.739999999999998</v>
      </c>
      <c r="DJ147" s="228">
        <v>-1.43</v>
      </c>
      <c r="DK147" s="228">
        <v>-1.43</v>
      </c>
      <c r="DL147" s="228">
        <v>15.85</v>
      </c>
      <c r="DM147" s="228">
        <v>17.260000000000002</v>
      </c>
      <c r="DN147" s="228">
        <v>-1.41</v>
      </c>
      <c r="DO147" s="228">
        <v>-1.41</v>
      </c>
      <c r="DP147" s="228">
        <v>0.46</v>
      </c>
      <c r="DQ147" s="228">
        <v>0.5</v>
      </c>
      <c r="DR147" s="228">
        <v>-0.04</v>
      </c>
      <c r="DS147" s="229">
        <v>-0.08</v>
      </c>
      <c r="DT147" s="228">
        <v>345</v>
      </c>
      <c r="DU147" s="228">
        <v>380</v>
      </c>
      <c r="DV147" s="228">
        <v>0.51</v>
      </c>
      <c r="DW147" s="228">
        <v>0.46</v>
      </c>
      <c r="DX147" s="228">
        <v>0.05</v>
      </c>
      <c r="DY147" s="229">
        <v>0.1087</v>
      </c>
      <c r="DZ147" s="229">
        <v>4.9500000000000002E-2</v>
      </c>
      <c r="EA147" s="230">
        <v>4836000</v>
      </c>
      <c r="EB147" s="229">
        <v>-1.1999999999999999E-3</v>
      </c>
      <c r="EC147" s="229">
        <v>4.9500000000000002E-2</v>
      </c>
      <c r="ED147" s="228">
        <v>-0.27</v>
      </c>
      <c r="EE147" s="229">
        <v>-8.0000000000000004E-4</v>
      </c>
      <c r="EF147" s="230">
        <v>6313886</v>
      </c>
      <c r="EG147" s="230">
        <v>3984998</v>
      </c>
      <c r="EH147" s="229">
        <v>0.58440000000000003</v>
      </c>
      <c r="EI147" s="229">
        <v>0.66879999999999995</v>
      </c>
      <c r="EJ147" s="231">
        <v>193451.58</v>
      </c>
      <c r="EK147" s="231">
        <v>96160.2</v>
      </c>
      <c r="EL147" s="231">
        <v>43518.53</v>
      </c>
      <c r="EM147" s="231">
        <v>6170</v>
      </c>
      <c r="EN147" s="231">
        <v>333130.31</v>
      </c>
      <c r="EO147" s="231">
        <v>207785.95</v>
      </c>
      <c r="EP147" s="231">
        <v>125344.36</v>
      </c>
      <c r="EQ147" s="229">
        <v>0.60319999999999996</v>
      </c>
      <c r="ER147" s="231">
        <v>131111</v>
      </c>
      <c r="ES147" s="231">
        <v>58384</v>
      </c>
      <c r="ET147" s="231">
        <v>338204</v>
      </c>
      <c r="EU147" s="231">
        <v>572782298</v>
      </c>
      <c r="EV147" s="231">
        <v>527699</v>
      </c>
      <c r="EW147" s="231">
        <v>519132</v>
      </c>
      <c r="EX147" s="231">
        <v>8567</v>
      </c>
      <c r="EY147" s="229">
        <v>1.6500000000000001E-2</v>
      </c>
      <c r="EZ147" s="229">
        <v>0.26860000000000001</v>
      </c>
      <c r="FA147" s="227" t="s">
        <v>556</v>
      </c>
      <c r="FB147" s="161">
        <f t="shared" si="3"/>
        <v>0</v>
      </c>
    </row>
    <row r="148" spans="1:158" ht="17.25" hidden="1" thickBot="1" x14ac:dyDescent="0.3">
      <c r="A148" s="226">
        <v>45940</v>
      </c>
      <c r="B148" s="227" t="s">
        <v>175</v>
      </c>
      <c r="C148" s="227" t="s">
        <v>687</v>
      </c>
      <c r="D148" s="228">
        <v>75</v>
      </c>
      <c r="E148" s="231">
        <v>7246.5</v>
      </c>
      <c r="F148" s="231">
        <v>7170</v>
      </c>
      <c r="G148" s="228">
        <v>76.5</v>
      </c>
      <c r="H148" s="229">
        <v>1.0699999999999999E-2</v>
      </c>
      <c r="I148" s="231">
        <v>7235.5</v>
      </c>
      <c r="J148" s="231">
        <v>7127</v>
      </c>
      <c r="K148" s="228">
        <v>108.5</v>
      </c>
      <c r="L148" s="229">
        <v>1.52E-2</v>
      </c>
      <c r="M148" s="231">
        <v>7246.5</v>
      </c>
      <c r="N148" s="231">
        <v>7170</v>
      </c>
      <c r="O148" s="228">
        <v>76.5</v>
      </c>
      <c r="P148" s="229">
        <v>1.0699999999999999E-2</v>
      </c>
      <c r="Q148" s="231">
        <v>7217.5</v>
      </c>
      <c r="R148" s="231">
        <v>7142</v>
      </c>
      <c r="S148" s="228">
        <v>75.5</v>
      </c>
      <c r="T148" s="229">
        <v>1.06E-2</v>
      </c>
      <c r="U148" s="231">
        <v>7260</v>
      </c>
      <c r="V148" s="231">
        <v>7000</v>
      </c>
      <c r="W148" s="228">
        <v>260</v>
      </c>
      <c r="X148" s="229">
        <v>3.7100000000000001E-2</v>
      </c>
      <c r="Y148" s="228">
        <v>11</v>
      </c>
      <c r="Z148" s="228">
        <v>43</v>
      </c>
      <c r="AA148" s="228">
        <v>-32</v>
      </c>
      <c r="AB148" s="229">
        <v>1.5E-3</v>
      </c>
      <c r="AC148" s="228">
        <v>11</v>
      </c>
      <c r="AD148" s="228">
        <v>43</v>
      </c>
      <c r="AE148" s="228">
        <v>-32</v>
      </c>
      <c r="AF148" s="229">
        <v>1.5E-3</v>
      </c>
      <c r="AG148" s="228">
        <v>-18</v>
      </c>
      <c r="AH148" s="228">
        <v>15</v>
      </c>
      <c r="AI148" s="228">
        <v>-33</v>
      </c>
      <c r="AJ148" s="229">
        <v>-2.5000000000000001E-3</v>
      </c>
      <c r="AK148" s="228">
        <v>24.5</v>
      </c>
      <c r="AL148" s="228">
        <v>-127</v>
      </c>
      <c r="AM148" s="228">
        <v>151.5</v>
      </c>
      <c r="AN148" s="229">
        <v>3.3999999999999998E-3</v>
      </c>
      <c r="AO148" s="231">
        <v>7280.04</v>
      </c>
      <c r="AP148" s="231">
        <v>7239.1</v>
      </c>
      <c r="AQ148" s="228">
        <v>0</v>
      </c>
      <c r="AR148" s="230">
        <v>114150</v>
      </c>
      <c r="AS148" s="230">
        <v>117075</v>
      </c>
      <c r="AT148" s="230">
        <v>-2925</v>
      </c>
      <c r="AU148" s="229">
        <v>-2.5000000000000001E-2</v>
      </c>
      <c r="AV148" s="230">
        <v>108525</v>
      </c>
      <c r="AW148" s="230">
        <v>109575</v>
      </c>
      <c r="AX148" s="230">
        <v>-1050</v>
      </c>
      <c r="AY148" s="229">
        <v>-9.5999999999999992E-3</v>
      </c>
      <c r="AZ148" s="230">
        <v>5550</v>
      </c>
      <c r="BA148" s="230">
        <v>7500</v>
      </c>
      <c r="BB148" s="230">
        <v>-1950</v>
      </c>
      <c r="BC148" s="229">
        <v>-0.26</v>
      </c>
      <c r="BD148" s="228">
        <v>75</v>
      </c>
      <c r="BE148" s="228">
        <v>0</v>
      </c>
      <c r="BF148" s="228">
        <v>75</v>
      </c>
      <c r="BG148" s="229">
        <v>0</v>
      </c>
      <c r="BH148" s="230">
        <v>517350</v>
      </c>
      <c r="BI148" s="230">
        <v>331650</v>
      </c>
      <c r="BJ148" s="230">
        <v>185700</v>
      </c>
      <c r="BK148" s="229">
        <v>0.55989999999999995</v>
      </c>
      <c r="BL148" s="230">
        <v>278400</v>
      </c>
      <c r="BM148" s="230">
        <v>189600</v>
      </c>
      <c r="BN148" s="230">
        <v>88800</v>
      </c>
      <c r="BO148" s="229">
        <v>0.46839999999999998</v>
      </c>
      <c r="BP148" s="230">
        <v>909900</v>
      </c>
      <c r="BQ148" s="230">
        <v>638325</v>
      </c>
      <c r="BR148" s="230">
        <v>271575</v>
      </c>
      <c r="BS148" s="229">
        <v>0.4254</v>
      </c>
      <c r="BT148" s="230">
        <v>157651</v>
      </c>
      <c r="BU148" s="230">
        <v>99452</v>
      </c>
      <c r="BV148" s="230">
        <v>58199</v>
      </c>
      <c r="BW148" s="229">
        <v>0.58520000000000005</v>
      </c>
      <c r="BX148" s="230">
        <v>341400</v>
      </c>
      <c r="BY148" s="230">
        <v>336825</v>
      </c>
      <c r="BZ148" s="230">
        <v>4575</v>
      </c>
      <c r="CA148" s="229">
        <v>1.3599999999999999E-2</v>
      </c>
      <c r="CB148" s="230">
        <v>317400</v>
      </c>
      <c r="CC148" s="230">
        <v>312675</v>
      </c>
      <c r="CD148" s="230">
        <v>4725</v>
      </c>
      <c r="CE148" s="229">
        <v>1.5100000000000001E-2</v>
      </c>
      <c r="CF148" s="230">
        <v>23175</v>
      </c>
      <c r="CG148" s="230">
        <v>23325</v>
      </c>
      <c r="CH148" s="228">
        <v>-150</v>
      </c>
      <c r="CI148" s="229">
        <v>-6.4000000000000003E-3</v>
      </c>
      <c r="CJ148" s="228">
        <v>825</v>
      </c>
      <c r="CK148" s="228">
        <v>825</v>
      </c>
      <c r="CL148" s="228">
        <v>0</v>
      </c>
      <c r="CM148" s="229">
        <v>0</v>
      </c>
      <c r="CN148" s="230">
        <v>247425</v>
      </c>
      <c r="CO148" s="230">
        <v>217200</v>
      </c>
      <c r="CP148" s="230">
        <v>30225</v>
      </c>
      <c r="CQ148" s="229">
        <v>0.13919999999999999</v>
      </c>
      <c r="CR148" s="230">
        <v>258075</v>
      </c>
      <c r="CS148" s="230">
        <v>208650</v>
      </c>
      <c r="CT148" s="230">
        <v>49425</v>
      </c>
      <c r="CU148" s="229">
        <v>0.2369</v>
      </c>
      <c r="CV148" s="230">
        <v>846900</v>
      </c>
      <c r="CW148" s="230">
        <v>762675</v>
      </c>
      <c r="CX148" s="230">
        <v>84225</v>
      </c>
      <c r="CY148" s="229">
        <v>0.1104</v>
      </c>
      <c r="CZ148" s="228">
        <v>31.34</v>
      </c>
      <c r="DA148" s="228">
        <v>31.12</v>
      </c>
      <c r="DB148" s="228">
        <v>0.22</v>
      </c>
      <c r="DC148" s="228">
        <v>0.22</v>
      </c>
      <c r="DD148" s="228">
        <v>52.53</v>
      </c>
      <c r="DE148" s="228">
        <v>52.65</v>
      </c>
      <c r="DF148" s="228">
        <v>-21.19</v>
      </c>
      <c r="DG148" s="228">
        <v>-0.12</v>
      </c>
      <c r="DH148" s="228">
        <v>30.88</v>
      </c>
      <c r="DI148" s="228">
        <v>30.42</v>
      </c>
      <c r="DJ148" s="228">
        <v>0.46</v>
      </c>
      <c r="DK148" s="228">
        <v>0.46</v>
      </c>
      <c r="DL148" s="228">
        <v>32.19</v>
      </c>
      <c r="DM148" s="228">
        <v>32.36</v>
      </c>
      <c r="DN148" s="228">
        <v>-0.17</v>
      </c>
      <c r="DO148" s="228">
        <v>-0.17</v>
      </c>
      <c r="DP148" s="228">
        <v>1.04</v>
      </c>
      <c r="DQ148" s="228">
        <v>0.96</v>
      </c>
      <c r="DR148" s="228">
        <v>0.08</v>
      </c>
      <c r="DS148" s="229">
        <v>8.3299999999999999E-2</v>
      </c>
      <c r="DT148" s="231">
        <v>7000</v>
      </c>
      <c r="DU148" s="231">
        <v>6700</v>
      </c>
      <c r="DV148" s="228">
        <v>0.54</v>
      </c>
      <c r="DW148" s="228">
        <v>0.56999999999999995</v>
      </c>
      <c r="DX148" s="228">
        <v>-0.03</v>
      </c>
      <c r="DY148" s="229">
        <v>-5.2600000000000001E-2</v>
      </c>
      <c r="DZ148" s="229">
        <v>7.0300000000000001E-2</v>
      </c>
      <c r="EA148" s="230">
        <v>24150</v>
      </c>
      <c r="EB148" s="229">
        <v>-4.0000000000000001E-3</v>
      </c>
      <c r="EC148" s="229">
        <v>7.0300000000000001E-2</v>
      </c>
      <c r="ED148" s="228">
        <v>-40.94</v>
      </c>
      <c r="EE148" s="229">
        <v>-5.5999999999999999E-3</v>
      </c>
      <c r="EF148" s="230">
        <v>80253</v>
      </c>
      <c r="EG148" s="230">
        <v>55250</v>
      </c>
      <c r="EH148" s="229">
        <v>0.45250000000000001</v>
      </c>
      <c r="EI148" s="229">
        <v>0.5091</v>
      </c>
      <c r="EJ148" s="231">
        <v>39156.639999999999</v>
      </c>
      <c r="EK148" s="231">
        <v>19375.64</v>
      </c>
      <c r="EL148" s="231">
        <v>8307.8799999999992</v>
      </c>
      <c r="EM148" s="231">
        <v>2345</v>
      </c>
      <c r="EN148" s="231">
        <v>66840.160000000003</v>
      </c>
      <c r="EO148" s="231">
        <v>45849.27</v>
      </c>
      <c r="EP148" s="231">
        <v>20990.89</v>
      </c>
      <c r="EQ148" s="229">
        <v>0.45779999999999998</v>
      </c>
      <c r="ER148" s="231">
        <v>17483</v>
      </c>
      <c r="ES148" s="231">
        <v>17205</v>
      </c>
      <c r="ET148" s="231">
        <v>24733</v>
      </c>
      <c r="EU148" s="231">
        <v>2444664</v>
      </c>
      <c r="EV148" s="231">
        <v>59421</v>
      </c>
      <c r="EW148" s="231">
        <v>53034</v>
      </c>
      <c r="EX148" s="231">
        <v>6387</v>
      </c>
      <c r="EY148" s="229">
        <v>0.12039999999999999</v>
      </c>
      <c r="EZ148" s="229">
        <v>0.34639999999999999</v>
      </c>
      <c r="FA148" s="227" t="s">
        <v>555</v>
      </c>
      <c r="FB148" s="161">
        <f t="shared" si="3"/>
        <v>0</v>
      </c>
    </row>
    <row r="149" spans="1:158" ht="17.25" hidden="1" thickBot="1" x14ac:dyDescent="0.3">
      <c r="A149" s="226">
        <v>45940</v>
      </c>
      <c r="B149" s="227" t="s">
        <v>616</v>
      </c>
      <c r="C149" s="227" t="s">
        <v>614</v>
      </c>
      <c r="D149" s="228">
        <v>3125</v>
      </c>
      <c r="E149" s="228">
        <v>264.39999999999998</v>
      </c>
      <c r="F149" s="228">
        <v>263.38</v>
      </c>
      <c r="G149" s="228">
        <v>1.02</v>
      </c>
      <c r="H149" s="229">
        <v>3.8999999999999998E-3</v>
      </c>
      <c r="I149" s="228">
        <v>265.19</v>
      </c>
      <c r="J149" s="228">
        <v>264.11</v>
      </c>
      <c r="K149" s="228">
        <v>1.08</v>
      </c>
      <c r="L149" s="229">
        <v>4.1000000000000003E-3</v>
      </c>
      <c r="M149" s="228">
        <v>264.39999999999998</v>
      </c>
      <c r="N149" s="228">
        <v>263.38</v>
      </c>
      <c r="O149" s="228">
        <v>1.02</v>
      </c>
      <c r="P149" s="229">
        <v>3.8999999999999998E-3</v>
      </c>
      <c r="Q149" s="228">
        <v>262.22000000000003</v>
      </c>
      <c r="R149" s="228">
        <v>261.06</v>
      </c>
      <c r="S149" s="228">
        <v>1.1599999999999999</v>
      </c>
      <c r="T149" s="229">
        <v>4.4000000000000003E-3</v>
      </c>
      <c r="U149" s="228">
        <v>260.89</v>
      </c>
      <c r="V149" s="228">
        <v>259.24</v>
      </c>
      <c r="W149" s="228">
        <v>1.65</v>
      </c>
      <c r="X149" s="229">
        <v>6.4000000000000003E-3</v>
      </c>
      <c r="Y149" s="228">
        <v>-0.79</v>
      </c>
      <c r="Z149" s="228">
        <v>-0.73</v>
      </c>
      <c r="AA149" s="228">
        <v>-0.06</v>
      </c>
      <c r="AB149" s="229">
        <v>-3.0000000000000001E-3</v>
      </c>
      <c r="AC149" s="228">
        <v>-0.79</v>
      </c>
      <c r="AD149" s="228">
        <v>-0.73</v>
      </c>
      <c r="AE149" s="228">
        <v>-0.06</v>
      </c>
      <c r="AF149" s="229">
        <v>-3.0000000000000001E-3</v>
      </c>
      <c r="AG149" s="228">
        <v>-2.97</v>
      </c>
      <c r="AH149" s="228">
        <v>-3.05</v>
      </c>
      <c r="AI149" s="228">
        <v>0.08</v>
      </c>
      <c r="AJ149" s="229">
        <v>-1.12E-2</v>
      </c>
      <c r="AK149" s="228">
        <v>-4.3</v>
      </c>
      <c r="AL149" s="228">
        <v>-4.87</v>
      </c>
      <c r="AM149" s="228">
        <v>0.56999999999999995</v>
      </c>
      <c r="AN149" s="229">
        <v>-1.6199999999999999E-2</v>
      </c>
      <c r="AO149" s="228">
        <v>264.01</v>
      </c>
      <c r="AP149" s="228">
        <v>261.77</v>
      </c>
      <c r="AQ149" s="228">
        <v>0</v>
      </c>
      <c r="AR149" s="230">
        <v>8137500</v>
      </c>
      <c r="AS149" s="230">
        <v>10328125</v>
      </c>
      <c r="AT149" s="230">
        <v>-2190625</v>
      </c>
      <c r="AU149" s="229">
        <v>-0.21210000000000001</v>
      </c>
      <c r="AV149" s="230">
        <v>6990625</v>
      </c>
      <c r="AW149" s="230">
        <v>9346875</v>
      </c>
      <c r="AX149" s="230">
        <v>-2356250</v>
      </c>
      <c r="AY149" s="229">
        <v>-0.25209999999999999</v>
      </c>
      <c r="AZ149" s="230">
        <v>1112500</v>
      </c>
      <c r="BA149" s="230">
        <v>909375</v>
      </c>
      <c r="BB149" s="230">
        <v>203125</v>
      </c>
      <c r="BC149" s="229">
        <v>0.22339999999999999</v>
      </c>
      <c r="BD149" s="230">
        <v>34375</v>
      </c>
      <c r="BE149" s="230">
        <v>71875</v>
      </c>
      <c r="BF149" s="230">
        <v>-37500</v>
      </c>
      <c r="BG149" s="229">
        <v>-0.52170000000000005</v>
      </c>
      <c r="BH149" s="230">
        <v>29028125</v>
      </c>
      <c r="BI149" s="230">
        <v>49421875</v>
      </c>
      <c r="BJ149" s="230">
        <v>-20393750</v>
      </c>
      <c r="BK149" s="229">
        <v>-0.41260000000000002</v>
      </c>
      <c r="BL149" s="230">
        <v>14084375</v>
      </c>
      <c r="BM149" s="230">
        <v>21059375</v>
      </c>
      <c r="BN149" s="230">
        <v>-6975000</v>
      </c>
      <c r="BO149" s="229">
        <v>-0.33119999999999999</v>
      </c>
      <c r="BP149" s="230">
        <v>51250000</v>
      </c>
      <c r="BQ149" s="230">
        <v>80809375</v>
      </c>
      <c r="BR149" s="230">
        <v>-29559375</v>
      </c>
      <c r="BS149" s="229">
        <v>-0.36580000000000001</v>
      </c>
      <c r="BT149" s="230">
        <v>6791429</v>
      </c>
      <c r="BU149" s="230">
        <v>11351954</v>
      </c>
      <c r="BV149" s="230">
        <v>-4560525</v>
      </c>
      <c r="BW149" s="229">
        <v>-0.4017</v>
      </c>
      <c r="BX149" s="230">
        <v>67246875</v>
      </c>
      <c r="BY149" s="230">
        <v>66825000</v>
      </c>
      <c r="BZ149" s="230">
        <v>421875</v>
      </c>
      <c r="CA149" s="229">
        <v>6.3E-3</v>
      </c>
      <c r="CB149" s="230">
        <v>65021875</v>
      </c>
      <c r="CC149" s="230">
        <v>65012500</v>
      </c>
      <c r="CD149" s="230">
        <v>9375</v>
      </c>
      <c r="CE149" s="229">
        <v>1E-4</v>
      </c>
      <c r="CF149" s="230">
        <v>2009375</v>
      </c>
      <c r="CG149" s="230">
        <v>1593750</v>
      </c>
      <c r="CH149" s="230">
        <v>415625</v>
      </c>
      <c r="CI149" s="229">
        <v>0.26079999999999998</v>
      </c>
      <c r="CJ149" s="230">
        <v>215625</v>
      </c>
      <c r="CK149" s="230">
        <v>218750</v>
      </c>
      <c r="CL149" s="230">
        <v>-3125</v>
      </c>
      <c r="CM149" s="229">
        <v>-1.43E-2</v>
      </c>
      <c r="CN149" s="230">
        <v>14162500</v>
      </c>
      <c r="CO149" s="230">
        <v>14121875</v>
      </c>
      <c r="CP149" s="230">
        <v>40625</v>
      </c>
      <c r="CQ149" s="229">
        <v>2.8999999999999998E-3</v>
      </c>
      <c r="CR149" s="230">
        <v>10809375</v>
      </c>
      <c r="CS149" s="230">
        <v>10028125</v>
      </c>
      <c r="CT149" s="230">
        <v>781250</v>
      </c>
      <c r="CU149" s="229">
        <v>7.7899999999999997E-2</v>
      </c>
      <c r="CV149" s="230">
        <v>92218750</v>
      </c>
      <c r="CW149" s="230">
        <v>90975000</v>
      </c>
      <c r="CX149" s="230">
        <v>1243750</v>
      </c>
      <c r="CY149" s="229">
        <v>1.37E-2</v>
      </c>
      <c r="CZ149" s="228">
        <v>26.65</v>
      </c>
      <c r="DA149" s="228">
        <v>27.68</v>
      </c>
      <c r="DB149" s="228">
        <v>-1.03</v>
      </c>
      <c r="DC149" s="228">
        <v>-1.03</v>
      </c>
      <c r="DD149" s="228">
        <v>37.54</v>
      </c>
      <c r="DE149" s="228">
        <v>37.630000000000003</v>
      </c>
      <c r="DF149" s="228">
        <v>-10.89</v>
      </c>
      <c r="DG149" s="228">
        <v>-0.09</v>
      </c>
      <c r="DH149" s="228">
        <v>26.52</v>
      </c>
      <c r="DI149" s="228">
        <v>27.38</v>
      </c>
      <c r="DJ149" s="228">
        <v>-0.86</v>
      </c>
      <c r="DK149" s="228">
        <v>-0.86</v>
      </c>
      <c r="DL149" s="228">
        <v>26.91</v>
      </c>
      <c r="DM149" s="228">
        <v>28.4</v>
      </c>
      <c r="DN149" s="228">
        <v>-1.49</v>
      </c>
      <c r="DO149" s="228">
        <v>-1.49</v>
      </c>
      <c r="DP149" s="228">
        <v>0.76</v>
      </c>
      <c r="DQ149" s="228">
        <v>0.71</v>
      </c>
      <c r="DR149" s="228">
        <v>0.05</v>
      </c>
      <c r="DS149" s="229">
        <v>7.0400000000000004E-2</v>
      </c>
      <c r="DT149" s="228">
        <v>250</v>
      </c>
      <c r="DU149" s="228">
        <v>250</v>
      </c>
      <c r="DV149" s="228">
        <v>0.49</v>
      </c>
      <c r="DW149" s="228">
        <v>0.43</v>
      </c>
      <c r="DX149" s="228">
        <v>0.06</v>
      </c>
      <c r="DY149" s="229">
        <v>0.13950000000000001</v>
      </c>
      <c r="DZ149" s="229">
        <v>3.3099999999999997E-2</v>
      </c>
      <c r="EA149" s="230">
        <v>1812500</v>
      </c>
      <c r="EB149" s="229">
        <v>-8.2000000000000007E-3</v>
      </c>
      <c r="EC149" s="229">
        <v>3.3099999999999997E-2</v>
      </c>
      <c r="ED149" s="228">
        <v>-2.2400000000000002</v>
      </c>
      <c r="EE149" s="229">
        <v>-8.5000000000000006E-3</v>
      </c>
      <c r="EF149" s="230">
        <v>3411814</v>
      </c>
      <c r="EG149" s="230">
        <v>5336675</v>
      </c>
      <c r="EH149" s="229">
        <v>-0.36070000000000002</v>
      </c>
      <c r="EI149" s="229">
        <v>0.50239999999999996</v>
      </c>
      <c r="EJ149" s="231">
        <v>79333.41</v>
      </c>
      <c r="EK149" s="231">
        <v>36809.300000000003</v>
      </c>
      <c r="EL149" s="231">
        <v>21457.82</v>
      </c>
      <c r="EM149" s="231">
        <v>4672</v>
      </c>
      <c r="EN149" s="231">
        <v>137600.53</v>
      </c>
      <c r="EO149" s="231">
        <v>214690.07</v>
      </c>
      <c r="EP149" s="231">
        <v>-77089.539999999994</v>
      </c>
      <c r="EQ149" s="229">
        <v>-0.35909999999999997</v>
      </c>
      <c r="ER149" s="231">
        <v>36954</v>
      </c>
      <c r="ES149" s="231">
        <v>26486</v>
      </c>
      <c r="ET149" s="231">
        <v>177749</v>
      </c>
      <c r="EU149" s="231">
        <v>205324177</v>
      </c>
      <c r="EV149" s="231">
        <v>241189</v>
      </c>
      <c r="EW149" s="231">
        <v>237122</v>
      </c>
      <c r="EX149" s="231">
        <v>4067</v>
      </c>
      <c r="EY149" s="229">
        <v>1.72E-2</v>
      </c>
      <c r="EZ149" s="229">
        <v>0.4491</v>
      </c>
      <c r="FA149" s="227" t="s">
        <v>555</v>
      </c>
      <c r="FB149" s="161">
        <f t="shared" si="3"/>
        <v>0</v>
      </c>
    </row>
    <row r="150" spans="1:158" ht="17.25" thickBot="1" x14ac:dyDescent="0.3">
      <c r="A150" s="226">
        <v>45940</v>
      </c>
      <c r="B150" s="227" t="s">
        <v>206</v>
      </c>
      <c r="C150" s="227" t="s">
        <v>528</v>
      </c>
      <c r="D150" s="228">
        <v>350</v>
      </c>
      <c r="E150" s="231">
        <v>1607.5</v>
      </c>
      <c r="F150" s="231">
        <v>1595.2</v>
      </c>
      <c r="G150" s="228">
        <v>12.3</v>
      </c>
      <c r="H150" s="229">
        <v>7.7000000000000002E-3</v>
      </c>
      <c r="I150" s="231">
        <v>1599.6</v>
      </c>
      <c r="J150" s="231">
        <v>1591.4</v>
      </c>
      <c r="K150" s="228">
        <v>8.1999999999999993</v>
      </c>
      <c r="L150" s="229">
        <v>5.1999999999999998E-3</v>
      </c>
      <c r="M150" s="231">
        <v>1607.5</v>
      </c>
      <c r="N150" s="231">
        <v>1595.2</v>
      </c>
      <c r="O150" s="228">
        <v>12.3</v>
      </c>
      <c r="P150" s="229">
        <v>7.7000000000000002E-3</v>
      </c>
      <c r="Q150" s="231">
        <v>1615.1</v>
      </c>
      <c r="R150" s="231">
        <v>1602.6</v>
      </c>
      <c r="S150" s="228">
        <v>12.5</v>
      </c>
      <c r="T150" s="229">
        <v>7.7999999999999996E-3</v>
      </c>
      <c r="U150" s="231">
        <v>1628.9</v>
      </c>
      <c r="V150" s="231">
        <v>1615</v>
      </c>
      <c r="W150" s="228">
        <v>13.9</v>
      </c>
      <c r="X150" s="229">
        <v>8.6E-3</v>
      </c>
      <c r="Y150" s="228">
        <v>7.9</v>
      </c>
      <c r="Z150" s="228">
        <v>3.8</v>
      </c>
      <c r="AA150" s="228">
        <v>4.0999999999999996</v>
      </c>
      <c r="AB150" s="229">
        <v>4.8999999999999998E-3</v>
      </c>
      <c r="AC150" s="228">
        <v>7.9</v>
      </c>
      <c r="AD150" s="228">
        <v>3.8</v>
      </c>
      <c r="AE150" s="228">
        <v>4.0999999999999996</v>
      </c>
      <c r="AF150" s="229">
        <v>4.8999999999999998E-3</v>
      </c>
      <c r="AG150" s="228">
        <v>15.5</v>
      </c>
      <c r="AH150" s="228">
        <v>11.2</v>
      </c>
      <c r="AI150" s="228">
        <v>4.3</v>
      </c>
      <c r="AJ150" s="229">
        <v>9.7000000000000003E-3</v>
      </c>
      <c r="AK150" s="228">
        <v>29.3</v>
      </c>
      <c r="AL150" s="228">
        <v>23.6</v>
      </c>
      <c r="AM150" s="228">
        <v>5.7</v>
      </c>
      <c r="AN150" s="229">
        <v>1.83E-2</v>
      </c>
      <c r="AO150" s="231">
        <v>1615.42</v>
      </c>
      <c r="AP150" s="231">
        <v>1623.13</v>
      </c>
      <c r="AQ150" s="228">
        <v>0</v>
      </c>
      <c r="AR150" s="230">
        <v>789950</v>
      </c>
      <c r="AS150" s="230">
        <v>854700</v>
      </c>
      <c r="AT150" s="230">
        <v>-64750</v>
      </c>
      <c r="AU150" s="229">
        <v>-7.5800000000000006E-2</v>
      </c>
      <c r="AV150" s="230">
        <v>739550</v>
      </c>
      <c r="AW150" s="230">
        <v>804650</v>
      </c>
      <c r="AX150" s="230">
        <v>-65100</v>
      </c>
      <c r="AY150" s="229">
        <v>-8.09E-2</v>
      </c>
      <c r="AZ150" s="230">
        <v>48300</v>
      </c>
      <c r="BA150" s="230">
        <v>47950</v>
      </c>
      <c r="BB150" s="228">
        <v>350</v>
      </c>
      <c r="BC150" s="229">
        <v>7.3000000000000001E-3</v>
      </c>
      <c r="BD150" s="230">
        <v>2100</v>
      </c>
      <c r="BE150" s="230">
        <v>2100</v>
      </c>
      <c r="BF150" s="228">
        <v>0</v>
      </c>
      <c r="BG150" s="229">
        <v>0</v>
      </c>
      <c r="BH150" s="230">
        <v>1603350</v>
      </c>
      <c r="BI150" s="230">
        <v>1695750</v>
      </c>
      <c r="BJ150" s="230">
        <v>-92400</v>
      </c>
      <c r="BK150" s="229">
        <v>-5.45E-2</v>
      </c>
      <c r="BL150" s="230">
        <v>438900</v>
      </c>
      <c r="BM150" s="230">
        <v>762300</v>
      </c>
      <c r="BN150" s="230">
        <v>-323400</v>
      </c>
      <c r="BO150" s="229">
        <v>-0.42420000000000002</v>
      </c>
      <c r="BP150" s="230">
        <v>2832200</v>
      </c>
      <c r="BQ150" s="230">
        <v>3312750</v>
      </c>
      <c r="BR150" s="230">
        <v>-480550</v>
      </c>
      <c r="BS150" s="229">
        <v>-0.14510000000000001</v>
      </c>
      <c r="BT150" s="230">
        <v>319700</v>
      </c>
      <c r="BU150" s="230">
        <v>327408</v>
      </c>
      <c r="BV150" s="230">
        <v>-7708</v>
      </c>
      <c r="BW150" s="229">
        <v>-2.35E-2</v>
      </c>
      <c r="BX150" s="230">
        <v>4911900</v>
      </c>
      <c r="BY150" s="230">
        <v>4930450</v>
      </c>
      <c r="BZ150" s="230">
        <v>-18550</v>
      </c>
      <c r="CA150" s="229">
        <v>-3.8E-3</v>
      </c>
      <c r="CB150" s="230">
        <v>4796400</v>
      </c>
      <c r="CC150" s="230">
        <v>4818450</v>
      </c>
      <c r="CD150" s="230">
        <v>-22050</v>
      </c>
      <c r="CE150" s="229">
        <v>-4.5999999999999999E-3</v>
      </c>
      <c r="CF150" s="230">
        <v>110600</v>
      </c>
      <c r="CG150" s="230">
        <v>106400</v>
      </c>
      <c r="CH150" s="230">
        <v>4200</v>
      </c>
      <c r="CI150" s="229">
        <v>3.95E-2</v>
      </c>
      <c r="CJ150" s="230">
        <v>4900</v>
      </c>
      <c r="CK150" s="230">
        <v>5600</v>
      </c>
      <c r="CL150" s="228">
        <v>-700</v>
      </c>
      <c r="CM150" s="229">
        <v>-0.125</v>
      </c>
      <c r="CN150" s="230">
        <v>1123150</v>
      </c>
      <c r="CO150" s="230">
        <v>1165150</v>
      </c>
      <c r="CP150" s="230">
        <v>-42000</v>
      </c>
      <c r="CQ150" s="229">
        <v>-3.5999999999999997E-2</v>
      </c>
      <c r="CR150" s="230">
        <v>897050</v>
      </c>
      <c r="CS150" s="230">
        <v>885500</v>
      </c>
      <c r="CT150" s="230">
        <v>11550</v>
      </c>
      <c r="CU150" s="229">
        <v>1.2999999999999999E-2</v>
      </c>
      <c r="CV150" s="230">
        <v>6932100</v>
      </c>
      <c r="CW150" s="230">
        <v>6981100</v>
      </c>
      <c r="CX150" s="230">
        <v>-49000</v>
      </c>
      <c r="CY150" s="229">
        <v>-7.0000000000000001E-3</v>
      </c>
      <c r="CZ150" s="228">
        <v>31.89</v>
      </c>
      <c r="DA150" s="228">
        <v>32.479999999999997</v>
      </c>
      <c r="DB150" s="228">
        <v>-0.59</v>
      </c>
      <c r="DC150" s="228">
        <v>-0.59</v>
      </c>
      <c r="DD150" s="228">
        <v>38.42</v>
      </c>
      <c r="DE150" s="228">
        <v>38.5</v>
      </c>
      <c r="DF150" s="228">
        <v>-6.53</v>
      </c>
      <c r="DG150" s="228">
        <v>-0.08</v>
      </c>
      <c r="DH150" s="228">
        <v>31.79</v>
      </c>
      <c r="DI150" s="228">
        <v>32.380000000000003</v>
      </c>
      <c r="DJ150" s="228">
        <v>-0.59</v>
      </c>
      <c r="DK150" s="228">
        <v>-0.59</v>
      </c>
      <c r="DL150" s="228">
        <v>32.24</v>
      </c>
      <c r="DM150" s="228">
        <v>32.71</v>
      </c>
      <c r="DN150" s="228">
        <v>-0.47</v>
      </c>
      <c r="DO150" s="228">
        <v>-0.47</v>
      </c>
      <c r="DP150" s="228">
        <v>0.8</v>
      </c>
      <c r="DQ150" s="228">
        <v>0.76</v>
      </c>
      <c r="DR150" s="228">
        <v>0.04</v>
      </c>
      <c r="DS150" s="229">
        <v>5.2600000000000001E-2</v>
      </c>
      <c r="DT150" s="231">
        <v>1700</v>
      </c>
      <c r="DU150" s="231">
        <v>1600</v>
      </c>
      <c r="DV150" s="228">
        <v>0.27</v>
      </c>
      <c r="DW150" s="228">
        <v>0.45</v>
      </c>
      <c r="DX150" s="228">
        <v>-0.18</v>
      </c>
      <c r="DY150" s="229">
        <v>-0.4</v>
      </c>
      <c r="DZ150" s="229">
        <v>2.35E-2</v>
      </c>
      <c r="EA150" s="230">
        <v>112000</v>
      </c>
      <c r="EB150" s="229">
        <v>4.7000000000000002E-3</v>
      </c>
      <c r="EC150" s="229">
        <v>2.35E-2</v>
      </c>
      <c r="ED150" s="228">
        <v>7.71</v>
      </c>
      <c r="EE150" s="229">
        <v>4.7999999999999996E-3</v>
      </c>
      <c r="EF150" s="230">
        <v>119018</v>
      </c>
      <c r="EG150" s="230">
        <v>128256</v>
      </c>
      <c r="EH150" s="229">
        <v>-7.1999999999999995E-2</v>
      </c>
      <c r="EI150" s="229">
        <v>0.37230000000000002</v>
      </c>
      <c r="EJ150" s="231">
        <v>26970.720000000001</v>
      </c>
      <c r="EK150" s="231">
        <v>7077.71</v>
      </c>
      <c r="EL150" s="231">
        <v>12765.06</v>
      </c>
      <c r="EM150" s="231">
        <v>2056</v>
      </c>
      <c r="EN150" s="231">
        <v>46813.49</v>
      </c>
      <c r="EO150" s="231">
        <v>54000.68</v>
      </c>
      <c r="EP150" s="231">
        <v>-7187.19</v>
      </c>
      <c r="EQ150" s="229">
        <v>-0.1331</v>
      </c>
      <c r="ER150" s="231">
        <v>18718</v>
      </c>
      <c r="ES150" s="231">
        <v>14211</v>
      </c>
      <c r="ET150" s="231">
        <v>78968</v>
      </c>
      <c r="EU150" s="231">
        <v>17614093</v>
      </c>
      <c r="EV150" s="231">
        <v>111898</v>
      </c>
      <c r="EW150" s="231">
        <v>112107</v>
      </c>
      <c r="EX150" s="228">
        <v>-209</v>
      </c>
      <c r="EY150" s="229">
        <v>-1.9E-3</v>
      </c>
      <c r="EZ150" s="229">
        <v>0.39360000000000001</v>
      </c>
      <c r="FA150" s="227" t="s">
        <v>556</v>
      </c>
      <c r="FB150" s="161">
        <f t="shared" si="3"/>
        <v>0</v>
      </c>
    </row>
    <row r="151" spans="1:158" ht="17.25" thickBot="1" x14ac:dyDescent="0.3">
      <c r="A151" s="226">
        <v>45940</v>
      </c>
      <c r="B151" s="227" t="s">
        <v>221</v>
      </c>
      <c r="C151" s="227" t="s">
        <v>518</v>
      </c>
      <c r="D151" s="228">
        <v>75</v>
      </c>
      <c r="E151" s="231">
        <v>9266.5</v>
      </c>
      <c r="F151" s="231">
        <v>9365</v>
      </c>
      <c r="G151" s="228">
        <v>-98.5</v>
      </c>
      <c r="H151" s="229">
        <v>-1.0500000000000001E-2</v>
      </c>
      <c r="I151" s="231">
        <v>9213</v>
      </c>
      <c r="J151" s="231">
        <v>9311.5</v>
      </c>
      <c r="K151" s="228">
        <v>-98.5</v>
      </c>
      <c r="L151" s="229">
        <v>-1.06E-2</v>
      </c>
      <c r="M151" s="231">
        <v>9266.5</v>
      </c>
      <c r="N151" s="231">
        <v>9365</v>
      </c>
      <c r="O151" s="228">
        <v>-98.5</v>
      </c>
      <c r="P151" s="229">
        <v>-1.0500000000000001E-2</v>
      </c>
      <c r="Q151" s="231">
        <v>9288</v>
      </c>
      <c r="R151" s="231">
        <v>9393</v>
      </c>
      <c r="S151" s="228">
        <v>-105</v>
      </c>
      <c r="T151" s="229">
        <v>-1.12E-2</v>
      </c>
      <c r="U151" s="231">
        <v>9324</v>
      </c>
      <c r="V151" s="231">
        <v>9421</v>
      </c>
      <c r="W151" s="228">
        <v>-97</v>
      </c>
      <c r="X151" s="229">
        <v>-1.03E-2</v>
      </c>
      <c r="Y151" s="228">
        <v>53.5</v>
      </c>
      <c r="Z151" s="228">
        <v>53.5</v>
      </c>
      <c r="AA151" s="228">
        <v>0</v>
      </c>
      <c r="AB151" s="229">
        <v>5.7999999999999996E-3</v>
      </c>
      <c r="AC151" s="228">
        <v>53.5</v>
      </c>
      <c r="AD151" s="228">
        <v>53.5</v>
      </c>
      <c r="AE151" s="228">
        <v>0</v>
      </c>
      <c r="AF151" s="229">
        <v>5.7999999999999996E-3</v>
      </c>
      <c r="AG151" s="228">
        <v>75</v>
      </c>
      <c r="AH151" s="228">
        <v>81.5</v>
      </c>
      <c r="AI151" s="228">
        <v>-6.5</v>
      </c>
      <c r="AJ151" s="229">
        <v>8.0999999999999996E-3</v>
      </c>
      <c r="AK151" s="228">
        <v>111</v>
      </c>
      <c r="AL151" s="228">
        <v>109.5</v>
      </c>
      <c r="AM151" s="228">
        <v>1.5</v>
      </c>
      <c r="AN151" s="229">
        <v>1.2E-2</v>
      </c>
      <c r="AO151" s="231">
        <v>9310.9699999999993</v>
      </c>
      <c r="AP151" s="231">
        <v>9313.2099999999991</v>
      </c>
      <c r="AQ151" s="228">
        <v>0</v>
      </c>
      <c r="AR151" s="230">
        <v>245100</v>
      </c>
      <c r="AS151" s="230">
        <v>306525</v>
      </c>
      <c r="AT151" s="230">
        <v>-61425</v>
      </c>
      <c r="AU151" s="229">
        <v>-0.20039999999999999</v>
      </c>
      <c r="AV151" s="230">
        <v>213525</v>
      </c>
      <c r="AW151" s="230">
        <v>289875</v>
      </c>
      <c r="AX151" s="230">
        <v>-76350</v>
      </c>
      <c r="AY151" s="229">
        <v>-0.26340000000000002</v>
      </c>
      <c r="AZ151" s="230">
        <v>28125</v>
      </c>
      <c r="BA151" s="230">
        <v>15675</v>
      </c>
      <c r="BB151" s="230">
        <v>12450</v>
      </c>
      <c r="BC151" s="229">
        <v>0.79430000000000001</v>
      </c>
      <c r="BD151" s="230">
        <v>3450</v>
      </c>
      <c r="BE151" s="228">
        <v>975</v>
      </c>
      <c r="BF151" s="230">
        <v>2475</v>
      </c>
      <c r="BG151" s="229">
        <v>2.5385</v>
      </c>
      <c r="BH151" s="230">
        <v>897300</v>
      </c>
      <c r="BI151" s="230">
        <v>976800</v>
      </c>
      <c r="BJ151" s="230">
        <v>-79500</v>
      </c>
      <c r="BK151" s="229">
        <v>-8.14E-2</v>
      </c>
      <c r="BL151" s="230">
        <v>359625</v>
      </c>
      <c r="BM151" s="230">
        <v>360450</v>
      </c>
      <c r="BN151" s="228">
        <v>-825</v>
      </c>
      <c r="BO151" s="229">
        <v>-2.3E-3</v>
      </c>
      <c r="BP151" s="230">
        <v>1502025</v>
      </c>
      <c r="BQ151" s="230">
        <v>1643775</v>
      </c>
      <c r="BR151" s="230">
        <v>-141750</v>
      </c>
      <c r="BS151" s="229">
        <v>-8.6199999999999999E-2</v>
      </c>
      <c r="BT151" s="230">
        <v>138908</v>
      </c>
      <c r="BU151" s="230">
        <v>194262</v>
      </c>
      <c r="BV151" s="230">
        <v>-55354</v>
      </c>
      <c r="BW151" s="229">
        <v>-0.28489999999999999</v>
      </c>
      <c r="BX151" s="230">
        <v>1107675</v>
      </c>
      <c r="BY151" s="230">
        <v>1070250</v>
      </c>
      <c r="BZ151" s="230">
        <v>37425</v>
      </c>
      <c r="CA151" s="229">
        <v>3.5000000000000003E-2</v>
      </c>
      <c r="CB151" s="230">
        <v>1073925</v>
      </c>
      <c r="CC151" s="230">
        <v>1041450</v>
      </c>
      <c r="CD151" s="230">
        <v>32475</v>
      </c>
      <c r="CE151" s="229">
        <v>3.1199999999999999E-2</v>
      </c>
      <c r="CF151" s="230">
        <v>29775</v>
      </c>
      <c r="CG151" s="230">
        <v>26025</v>
      </c>
      <c r="CH151" s="230">
        <v>3750</v>
      </c>
      <c r="CI151" s="229">
        <v>0.14410000000000001</v>
      </c>
      <c r="CJ151" s="230">
        <v>3975</v>
      </c>
      <c r="CK151" s="230">
        <v>2775</v>
      </c>
      <c r="CL151" s="230">
        <v>1200</v>
      </c>
      <c r="CM151" s="229">
        <v>0.43240000000000001</v>
      </c>
      <c r="CN151" s="230">
        <v>528825</v>
      </c>
      <c r="CO151" s="230">
        <v>453375</v>
      </c>
      <c r="CP151" s="230">
        <v>75450</v>
      </c>
      <c r="CQ151" s="229">
        <v>0.16639999999999999</v>
      </c>
      <c r="CR151" s="230">
        <v>305625</v>
      </c>
      <c r="CS151" s="230">
        <v>299400</v>
      </c>
      <c r="CT151" s="230">
        <v>6225</v>
      </c>
      <c r="CU151" s="229">
        <v>2.0799999999999999E-2</v>
      </c>
      <c r="CV151" s="230">
        <v>1942125</v>
      </c>
      <c r="CW151" s="230">
        <v>1823025</v>
      </c>
      <c r="CX151" s="230">
        <v>119100</v>
      </c>
      <c r="CY151" s="229">
        <v>6.5299999999999997E-2</v>
      </c>
      <c r="CZ151" s="228">
        <v>33.380000000000003</v>
      </c>
      <c r="DA151" s="228">
        <v>33.9</v>
      </c>
      <c r="DB151" s="228">
        <v>-0.52</v>
      </c>
      <c r="DC151" s="228">
        <v>-0.52</v>
      </c>
      <c r="DD151" s="228">
        <v>41.98</v>
      </c>
      <c r="DE151" s="228">
        <v>42.06</v>
      </c>
      <c r="DF151" s="228">
        <v>-8.6</v>
      </c>
      <c r="DG151" s="228">
        <v>-0.08</v>
      </c>
      <c r="DH151" s="228">
        <v>33.44</v>
      </c>
      <c r="DI151" s="228">
        <v>34.06</v>
      </c>
      <c r="DJ151" s="228">
        <v>-0.62</v>
      </c>
      <c r="DK151" s="228">
        <v>-0.62</v>
      </c>
      <c r="DL151" s="228">
        <v>33.229999999999997</v>
      </c>
      <c r="DM151" s="228">
        <v>33.46</v>
      </c>
      <c r="DN151" s="228">
        <v>-0.23</v>
      </c>
      <c r="DO151" s="228">
        <v>-0.23</v>
      </c>
      <c r="DP151" s="228">
        <v>0.57999999999999996</v>
      </c>
      <c r="DQ151" s="228">
        <v>0.66</v>
      </c>
      <c r="DR151" s="228">
        <v>-0.08</v>
      </c>
      <c r="DS151" s="229">
        <v>-0.1212</v>
      </c>
      <c r="DT151" s="231">
        <v>9500</v>
      </c>
      <c r="DU151" s="231">
        <v>9000</v>
      </c>
      <c r="DV151" s="228">
        <v>0.4</v>
      </c>
      <c r="DW151" s="228">
        <v>0.37</v>
      </c>
      <c r="DX151" s="228">
        <v>0.03</v>
      </c>
      <c r="DY151" s="229">
        <v>8.1100000000000005E-2</v>
      </c>
      <c r="DZ151" s="229">
        <v>3.0499999999999999E-2</v>
      </c>
      <c r="EA151" s="230">
        <v>28800</v>
      </c>
      <c r="EB151" s="229">
        <v>2.3E-3</v>
      </c>
      <c r="EC151" s="229">
        <v>3.0499999999999999E-2</v>
      </c>
      <c r="ED151" s="228">
        <v>2.2400000000000002</v>
      </c>
      <c r="EE151" s="229">
        <v>2.0000000000000001E-4</v>
      </c>
      <c r="EF151" s="230">
        <v>73172</v>
      </c>
      <c r="EG151" s="230">
        <v>110337</v>
      </c>
      <c r="EH151" s="229">
        <v>-0.33679999999999999</v>
      </c>
      <c r="EI151" s="229">
        <v>0.52680000000000005</v>
      </c>
      <c r="EJ151" s="231">
        <v>87451.13</v>
      </c>
      <c r="EK151" s="231">
        <v>33115.24</v>
      </c>
      <c r="EL151" s="231">
        <v>22823.21</v>
      </c>
      <c r="EM151" s="231">
        <v>3770</v>
      </c>
      <c r="EN151" s="231">
        <v>143389.57999999999</v>
      </c>
      <c r="EO151" s="231">
        <v>157479.06</v>
      </c>
      <c r="EP151" s="231">
        <v>-14089.48</v>
      </c>
      <c r="EQ151" s="229">
        <v>-8.9499999999999996E-2</v>
      </c>
      <c r="ER151" s="231">
        <v>50475</v>
      </c>
      <c r="ES151" s="231">
        <v>26437</v>
      </c>
      <c r="ET151" s="231">
        <v>102651</v>
      </c>
      <c r="EU151" s="231">
        <v>3401732</v>
      </c>
      <c r="EV151" s="231">
        <v>179564</v>
      </c>
      <c r="EW151" s="231">
        <v>169413</v>
      </c>
      <c r="EX151" s="231">
        <v>10151</v>
      </c>
      <c r="EY151" s="229">
        <v>5.9900000000000002E-2</v>
      </c>
      <c r="EZ151" s="229">
        <v>0.57089999999999996</v>
      </c>
      <c r="FA151" s="227" t="s">
        <v>567</v>
      </c>
      <c r="FB151" s="161">
        <f t="shared" si="3"/>
        <v>0</v>
      </c>
    </row>
    <row r="152" spans="1:158" ht="17.25" thickBot="1" x14ac:dyDescent="0.3">
      <c r="A152" s="226">
        <v>45940</v>
      </c>
      <c r="B152" s="227" t="s">
        <v>193</v>
      </c>
      <c r="C152" s="227" t="s">
        <v>588</v>
      </c>
      <c r="D152" s="228">
        <v>1400</v>
      </c>
      <c r="E152" s="228">
        <v>417.9</v>
      </c>
      <c r="F152" s="228">
        <v>419.25</v>
      </c>
      <c r="G152" s="228">
        <v>-1.35</v>
      </c>
      <c r="H152" s="229">
        <v>-3.2000000000000002E-3</v>
      </c>
      <c r="I152" s="228">
        <v>418.2</v>
      </c>
      <c r="J152" s="228">
        <v>417.9</v>
      </c>
      <c r="K152" s="228">
        <v>0.3</v>
      </c>
      <c r="L152" s="229">
        <v>6.9999999999999999E-4</v>
      </c>
      <c r="M152" s="228">
        <v>417.9</v>
      </c>
      <c r="N152" s="228">
        <v>419.25</v>
      </c>
      <c r="O152" s="228">
        <v>-1.35</v>
      </c>
      <c r="P152" s="229">
        <v>-3.2000000000000002E-3</v>
      </c>
      <c r="Q152" s="228">
        <v>417.5</v>
      </c>
      <c r="R152" s="228">
        <v>419.2</v>
      </c>
      <c r="S152" s="228">
        <v>-1.7</v>
      </c>
      <c r="T152" s="229">
        <v>-4.1000000000000003E-3</v>
      </c>
      <c r="U152" s="228">
        <v>419.6</v>
      </c>
      <c r="V152" s="228">
        <v>420.5</v>
      </c>
      <c r="W152" s="228">
        <v>-0.9</v>
      </c>
      <c r="X152" s="229">
        <v>-2.0999999999999999E-3</v>
      </c>
      <c r="Y152" s="228">
        <v>-0.3</v>
      </c>
      <c r="Z152" s="228">
        <v>1.35</v>
      </c>
      <c r="AA152" s="228">
        <v>-1.65</v>
      </c>
      <c r="AB152" s="229">
        <v>-6.9999999999999999E-4</v>
      </c>
      <c r="AC152" s="228">
        <v>-0.3</v>
      </c>
      <c r="AD152" s="228">
        <v>1.35</v>
      </c>
      <c r="AE152" s="228">
        <v>-1.65</v>
      </c>
      <c r="AF152" s="229">
        <v>-6.9999999999999999E-4</v>
      </c>
      <c r="AG152" s="228">
        <v>-0.7</v>
      </c>
      <c r="AH152" s="228">
        <v>1.3</v>
      </c>
      <c r="AI152" s="228">
        <v>-2</v>
      </c>
      <c r="AJ152" s="229">
        <v>-1.6999999999999999E-3</v>
      </c>
      <c r="AK152" s="228">
        <v>1.4</v>
      </c>
      <c r="AL152" s="228">
        <v>2.6</v>
      </c>
      <c r="AM152" s="228">
        <v>-1.2</v>
      </c>
      <c r="AN152" s="229">
        <v>3.3E-3</v>
      </c>
      <c r="AO152" s="228">
        <v>419.22</v>
      </c>
      <c r="AP152" s="228">
        <v>419.14</v>
      </c>
      <c r="AQ152" s="228">
        <v>0</v>
      </c>
      <c r="AR152" s="230">
        <v>1195600</v>
      </c>
      <c r="AS152" s="230">
        <v>1335600</v>
      </c>
      <c r="AT152" s="230">
        <v>-140000</v>
      </c>
      <c r="AU152" s="229">
        <v>-0.1048</v>
      </c>
      <c r="AV152" s="230">
        <v>1071000</v>
      </c>
      <c r="AW152" s="230">
        <v>1202600</v>
      </c>
      <c r="AX152" s="230">
        <v>-131600</v>
      </c>
      <c r="AY152" s="229">
        <v>-0.1094</v>
      </c>
      <c r="AZ152" s="230">
        <v>86800</v>
      </c>
      <c r="BA152" s="230">
        <v>99400</v>
      </c>
      <c r="BB152" s="230">
        <v>-12600</v>
      </c>
      <c r="BC152" s="229">
        <v>-0.1268</v>
      </c>
      <c r="BD152" s="230">
        <v>37800</v>
      </c>
      <c r="BE152" s="230">
        <v>33600</v>
      </c>
      <c r="BF152" s="230">
        <v>4200</v>
      </c>
      <c r="BG152" s="229">
        <v>0.125</v>
      </c>
      <c r="BH152" s="230">
        <v>1785000</v>
      </c>
      <c r="BI152" s="230">
        <v>2101400</v>
      </c>
      <c r="BJ152" s="230">
        <v>-316400</v>
      </c>
      <c r="BK152" s="229">
        <v>-0.15060000000000001</v>
      </c>
      <c r="BL152" s="230">
        <v>915600</v>
      </c>
      <c r="BM152" s="230">
        <v>1218000</v>
      </c>
      <c r="BN152" s="230">
        <v>-302400</v>
      </c>
      <c r="BO152" s="229">
        <v>-0.24829999999999999</v>
      </c>
      <c r="BP152" s="230">
        <v>3896200</v>
      </c>
      <c r="BQ152" s="230">
        <v>4655000</v>
      </c>
      <c r="BR152" s="230">
        <v>-758800</v>
      </c>
      <c r="BS152" s="229">
        <v>-0.16300000000000001</v>
      </c>
      <c r="BT152" s="230">
        <v>1394104</v>
      </c>
      <c r="BU152" s="230">
        <v>1607354</v>
      </c>
      <c r="BV152" s="230">
        <v>-213250</v>
      </c>
      <c r="BW152" s="229">
        <v>-0.13270000000000001</v>
      </c>
      <c r="BX152" s="230">
        <v>10064600</v>
      </c>
      <c r="BY152" s="230">
        <v>9975000</v>
      </c>
      <c r="BZ152" s="230">
        <v>89600</v>
      </c>
      <c r="CA152" s="229">
        <v>8.9999999999999993E-3</v>
      </c>
      <c r="CB152" s="230">
        <v>9555000</v>
      </c>
      <c r="CC152" s="230">
        <v>9499000</v>
      </c>
      <c r="CD152" s="230">
        <v>56000</v>
      </c>
      <c r="CE152" s="229">
        <v>5.8999999999999999E-3</v>
      </c>
      <c r="CF152" s="230">
        <v>420000</v>
      </c>
      <c r="CG152" s="230">
        <v>406000</v>
      </c>
      <c r="CH152" s="230">
        <v>14000</v>
      </c>
      <c r="CI152" s="229">
        <v>3.4500000000000003E-2</v>
      </c>
      <c r="CJ152" s="230">
        <v>89600</v>
      </c>
      <c r="CK152" s="230">
        <v>70000</v>
      </c>
      <c r="CL152" s="230">
        <v>19600</v>
      </c>
      <c r="CM152" s="229">
        <v>0.28000000000000003</v>
      </c>
      <c r="CN152" s="230">
        <v>5745600</v>
      </c>
      <c r="CO152" s="230">
        <v>5483800</v>
      </c>
      <c r="CP152" s="230">
        <v>261800</v>
      </c>
      <c r="CQ152" s="229">
        <v>4.7699999999999999E-2</v>
      </c>
      <c r="CR152" s="230">
        <v>3427200</v>
      </c>
      <c r="CS152" s="230">
        <v>3267600</v>
      </c>
      <c r="CT152" s="230">
        <v>159600</v>
      </c>
      <c r="CU152" s="229">
        <v>4.8800000000000003E-2</v>
      </c>
      <c r="CV152" s="230">
        <v>19237400</v>
      </c>
      <c r="CW152" s="230">
        <v>18726400</v>
      </c>
      <c r="CX152" s="230">
        <v>511000</v>
      </c>
      <c r="CY152" s="229">
        <v>2.7300000000000001E-2</v>
      </c>
      <c r="CZ152" s="228">
        <v>29.51</v>
      </c>
      <c r="DA152" s="228">
        <v>30.56</v>
      </c>
      <c r="DB152" s="228">
        <v>-1.05</v>
      </c>
      <c r="DC152" s="228">
        <v>-1.05</v>
      </c>
      <c r="DD152" s="228">
        <v>44.81</v>
      </c>
      <c r="DE152" s="228">
        <v>44.92</v>
      </c>
      <c r="DF152" s="228">
        <v>-15.3</v>
      </c>
      <c r="DG152" s="228">
        <v>-0.11</v>
      </c>
      <c r="DH152" s="228">
        <v>30.05</v>
      </c>
      <c r="DI152" s="228">
        <v>30.67</v>
      </c>
      <c r="DJ152" s="228">
        <v>-0.62</v>
      </c>
      <c r="DK152" s="228">
        <v>-0.62</v>
      </c>
      <c r="DL152" s="228">
        <v>28.46</v>
      </c>
      <c r="DM152" s="228">
        <v>30.39</v>
      </c>
      <c r="DN152" s="228">
        <v>-1.93</v>
      </c>
      <c r="DO152" s="228">
        <v>-1.93</v>
      </c>
      <c r="DP152" s="228">
        <v>0.6</v>
      </c>
      <c r="DQ152" s="228">
        <v>0.6</v>
      </c>
      <c r="DR152" s="228">
        <v>0</v>
      </c>
      <c r="DS152" s="229">
        <v>0</v>
      </c>
      <c r="DT152" s="228">
        <v>420</v>
      </c>
      <c r="DU152" s="228">
        <v>380</v>
      </c>
      <c r="DV152" s="228">
        <v>0.51</v>
      </c>
      <c r="DW152" s="228">
        <v>0.57999999999999996</v>
      </c>
      <c r="DX152" s="228">
        <v>-7.0000000000000007E-2</v>
      </c>
      <c r="DY152" s="229">
        <v>-0.1207</v>
      </c>
      <c r="DZ152" s="229">
        <v>5.0599999999999999E-2</v>
      </c>
      <c r="EA152" s="230">
        <v>476000</v>
      </c>
      <c r="EB152" s="229">
        <v>-1E-3</v>
      </c>
      <c r="EC152" s="229">
        <v>5.0599999999999999E-2</v>
      </c>
      <c r="ED152" s="228">
        <v>-0.08</v>
      </c>
      <c r="EE152" s="229">
        <v>-2.0000000000000001E-4</v>
      </c>
      <c r="EF152" s="230">
        <v>890918</v>
      </c>
      <c r="EG152" s="230">
        <v>951960</v>
      </c>
      <c r="EH152" s="229">
        <v>-6.4100000000000004E-2</v>
      </c>
      <c r="EI152" s="229">
        <v>0.6391</v>
      </c>
      <c r="EJ152" s="231">
        <v>7866.23</v>
      </c>
      <c r="EK152" s="231">
        <v>3752.89</v>
      </c>
      <c r="EL152" s="231">
        <v>5012.7299999999996</v>
      </c>
      <c r="EM152" s="231">
        <v>1584</v>
      </c>
      <c r="EN152" s="231">
        <v>16631.849999999999</v>
      </c>
      <c r="EO152" s="231">
        <v>19774.95</v>
      </c>
      <c r="EP152" s="231">
        <v>-3143.1</v>
      </c>
      <c r="EQ152" s="229">
        <v>-0.15890000000000001</v>
      </c>
      <c r="ER152" s="231">
        <v>25108</v>
      </c>
      <c r="ES152" s="231">
        <v>13817</v>
      </c>
      <c r="ET152" s="231">
        <v>42060</v>
      </c>
      <c r="EU152" s="231">
        <v>94123587</v>
      </c>
      <c r="EV152" s="231">
        <v>80984</v>
      </c>
      <c r="EW152" s="231">
        <v>78956</v>
      </c>
      <c r="EX152" s="231">
        <v>2028</v>
      </c>
      <c r="EY152" s="229">
        <v>2.5700000000000001E-2</v>
      </c>
      <c r="EZ152" s="229">
        <v>0.2044</v>
      </c>
      <c r="FA152" s="227" t="s">
        <v>567</v>
      </c>
      <c r="FB152" s="161">
        <f t="shared" si="3"/>
        <v>0</v>
      </c>
    </row>
    <row r="153" spans="1:158" ht="17.25" thickBot="1" x14ac:dyDescent="0.3">
      <c r="A153" s="226">
        <v>45940</v>
      </c>
      <c r="B153" s="227" t="s">
        <v>193</v>
      </c>
      <c r="C153" s="227" t="s">
        <v>269</v>
      </c>
      <c r="D153" s="228">
        <v>2250</v>
      </c>
      <c r="E153" s="228">
        <v>246.82</v>
      </c>
      <c r="F153" s="228">
        <v>244.72</v>
      </c>
      <c r="G153" s="228">
        <v>2.1</v>
      </c>
      <c r="H153" s="229">
        <v>8.6E-3</v>
      </c>
      <c r="I153" s="228">
        <v>246.34</v>
      </c>
      <c r="J153" s="228">
        <v>243.39</v>
      </c>
      <c r="K153" s="228">
        <v>2.95</v>
      </c>
      <c r="L153" s="229">
        <v>1.21E-2</v>
      </c>
      <c r="M153" s="228">
        <v>246.82</v>
      </c>
      <c r="N153" s="228">
        <v>244.72</v>
      </c>
      <c r="O153" s="228">
        <v>2.1</v>
      </c>
      <c r="P153" s="229">
        <v>8.6E-3</v>
      </c>
      <c r="Q153" s="228">
        <v>247.93</v>
      </c>
      <c r="R153" s="228">
        <v>245.88</v>
      </c>
      <c r="S153" s="228">
        <v>2.0499999999999998</v>
      </c>
      <c r="T153" s="229">
        <v>8.3000000000000001E-3</v>
      </c>
      <c r="U153" s="228">
        <v>249.66</v>
      </c>
      <c r="V153" s="228">
        <v>246.99</v>
      </c>
      <c r="W153" s="228">
        <v>2.67</v>
      </c>
      <c r="X153" s="229">
        <v>1.0800000000000001E-2</v>
      </c>
      <c r="Y153" s="228">
        <v>0.48</v>
      </c>
      <c r="Z153" s="228">
        <v>1.33</v>
      </c>
      <c r="AA153" s="228">
        <v>-0.85</v>
      </c>
      <c r="AB153" s="229">
        <v>1.9E-3</v>
      </c>
      <c r="AC153" s="228">
        <v>0.48</v>
      </c>
      <c r="AD153" s="228">
        <v>1.33</v>
      </c>
      <c r="AE153" s="228">
        <v>-0.85</v>
      </c>
      <c r="AF153" s="229">
        <v>1.9E-3</v>
      </c>
      <c r="AG153" s="228">
        <v>1.59</v>
      </c>
      <c r="AH153" s="228">
        <v>2.4900000000000002</v>
      </c>
      <c r="AI153" s="228">
        <v>-0.9</v>
      </c>
      <c r="AJ153" s="229">
        <v>6.4999999999999997E-3</v>
      </c>
      <c r="AK153" s="228">
        <v>3.32</v>
      </c>
      <c r="AL153" s="228">
        <v>3.6</v>
      </c>
      <c r="AM153" s="228">
        <v>-0.28000000000000003</v>
      </c>
      <c r="AN153" s="229">
        <v>1.35E-2</v>
      </c>
      <c r="AO153" s="228">
        <v>246.84</v>
      </c>
      <c r="AP153" s="228">
        <v>247.95</v>
      </c>
      <c r="AQ153" s="228">
        <v>0</v>
      </c>
      <c r="AR153" s="230">
        <v>11153250</v>
      </c>
      <c r="AS153" s="230">
        <v>10885500</v>
      </c>
      <c r="AT153" s="230">
        <v>267750</v>
      </c>
      <c r="AU153" s="229">
        <v>2.46E-2</v>
      </c>
      <c r="AV153" s="230">
        <v>10068750</v>
      </c>
      <c r="AW153" s="230">
        <v>10221750</v>
      </c>
      <c r="AX153" s="230">
        <v>-153000</v>
      </c>
      <c r="AY153" s="229">
        <v>-1.4999999999999999E-2</v>
      </c>
      <c r="AZ153" s="230">
        <v>931500</v>
      </c>
      <c r="BA153" s="230">
        <v>616500</v>
      </c>
      <c r="BB153" s="230">
        <v>315000</v>
      </c>
      <c r="BC153" s="229">
        <v>0.51090000000000002</v>
      </c>
      <c r="BD153" s="230">
        <v>153000</v>
      </c>
      <c r="BE153" s="230">
        <v>47250</v>
      </c>
      <c r="BF153" s="230">
        <v>105750</v>
      </c>
      <c r="BG153" s="229">
        <v>2.2381000000000002</v>
      </c>
      <c r="BH153" s="230">
        <v>48804750</v>
      </c>
      <c r="BI153" s="230">
        <v>40248000</v>
      </c>
      <c r="BJ153" s="230">
        <v>8556750</v>
      </c>
      <c r="BK153" s="229">
        <v>0.21260000000000001</v>
      </c>
      <c r="BL153" s="230">
        <v>25179750</v>
      </c>
      <c r="BM153" s="230">
        <v>18261000</v>
      </c>
      <c r="BN153" s="230">
        <v>6918750</v>
      </c>
      <c r="BO153" s="229">
        <v>0.37890000000000001</v>
      </c>
      <c r="BP153" s="230">
        <v>85137750</v>
      </c>
      <c r="BQ153" s="230">
        <v>69394500</v>
      </c>
      <c r="BR153" s="230">
        <v>15743250</v>
      </c>
      <c r="BS153" s="229">
        <v>0.22689999999999999</v>
      </c>
      <c r="BT153" s="230">
        <v>9530812</v>
      </c>
      <c r="BU153" s="230">
        <v>9583712</v>
      </c>
      <c r="BV153" s="230">
        <v>-52900</v>
      </c>
      <c r="BW153" s="229">
        <v>-5.4999999999999997E-3</v>
      </c>
      <c r="BX153" s="230">
        <v>98878500</v>
      </c>
      <c r="BY153" s="230">
        <v>99544500</v>
      </c>
      <c r="BZ153" s="230">
        <v>-666000</v>
      </c>
      <c r="CA153" s="229">
        <v>-6.7000000000000002E-3</v>
      </c>
      <c r="CB153" s="230">
        <v>96718500</v>
      </c>
      <c r="CC153" s="230">
        <v>97528500</v>
      </c>
      <c r="CD153" s="230">
        <v>-810000</v>
      </c>
      <c r="CE153" s="229">
        <v>-8.3000000000000001E-3</v>
      </c>
      <c r="CF153" s="230">
        <v>1890000</v>
      </c>
      <c r="CG153" s="230">
        <v>1836000</v>
      </c>
      <c r="CH153" s="230">
        <v>54000</v>
      </c>
      <c r="CI153" s="229">
        <v>2.9399999999999999E-2</v>
      </c>
      <c r="CJ153" s="230">
        <v>270000</v>
      </c>
      <c r="CK153" s="230">
        <v>180000</v>
      </c>
      <c r="CL153" s="230">
        <v>90000</v>
      </c>
      <c r="CM153" s="229">
        <v>0.5</v>
      </c>
      <c r="CN153" s="230">
        <v>54200250</v>
      </c>
      <c r="CO153" s="230">
        <v>55278000</v>
      </c>
      <c r="CP153" s="230">
        <v>-1077750</v>
      </c>
      <c r="CQ153" s="229">
        <v>-1.95E-2</v>
      </c>
      <c r="CR153" s="230">
        <v>19073250</v>
      </c>
      <c r="CS153" s="230">
        <v>18429750</v>
      </c>
      <c r="CT153" s="230">
        <v>643500</v>
      </c>
      <c r="CU153" s="229">
        <v>3.49E-2</v>
      </c>
      <c r="CV153" s="230">
        <v>172152000</v>
      </c>
      <c r="CW153" s="230">
        <v>173252250</v>
      </c>
      <c r="CX153" s="230">
        <v>-1100250</v>
      </c>
      <c r="CY153" s="229">
        <v>-6.4000000000000003E-3</v>
      </c>
      <c r="CZ153" s="228">
        <v>16.48</v>
      </c>
      <c r="DA153" s="228">
        <v>17.649999999999999</v>
      </c>
      <c r="DB153" s="228">
        <v>-1.17</v>
      </c>
      <c r="DC153" s="228">
        <v>-1.17</v>
      </c>
      <c r="DD153" s="228">
        <v>32.5</v>
      </c>
      <c r="DE153" s="228">
        <v>32.54</v>
      </c>
      <c r="DF153" s="228">
        <v>-16.02</v>
      </c>
      <c r="DG153" s="228">
        <v>-0.04</v>
      </c>
      <c r="DH153" s="228">
        <v>16.05</v>
      </c>
      <c r="DI153" s="228">
        <v>17.55</v>
      </c>
      <c r="DJ153" s="228">
        <v>-1.5</v>
      </c>
      <c r="DK153" s="228">
        <v>-1.5</v>
      </c>
      <c r="DL153" s="228">
        <v>17.32</v>
      </c>
      <c r="DM153" s="228">
        <v>17.88</v>
      </c>
      <c r="DN153" s="228">
        <v>-0.56000000000000005</v>
      </c>
      <c r="DO153" s="228">
        <v>-0.56000000000000005</v>
      </c>
      <c r="DP153" s="228">
        <v>0.35</v>
      </c>
      <c r="DQ153" s="228">
        <v>0.33</v>
      </c>
      <c r="DR153" s="228">
        <v>0.02</v>
      </c>
      <c r="DS153" s="229">
        <v>6.0600000000000001E-2</v>
      </c>
      <c r="DT153" s="228">
        <v>250</v>
      </c>
      <c r="DU153" s="228">
        <v>240</v>
      </c>
      <c r="DV153" s="228">
        <v>0.52</v>
      </c>
      <c r="DW153" s="228">
        <v>0.45</v>
      </c>
      <c r="DX153" s="228">
        <v>7.0000000000000007E-2</v>
      </c>
      <c r="DY153" s="229">
        <v>0.15559999999999999</v>
      </c>
      <c r="DZ153" s="229">
        <v>2.18E-2</v>
      </c>
      <c r="EA153" s="230">
        <v>2016000</v>
      </c>
      <c r="EB153" s="229">
        <v>4.4999999999999997E-3</v>
      </c>
      <c r="EC153" s="229">
        <v>2.18E-2</v>
      </c>
      <c r="ED153" s="228">
        <v>1.1100000000000001</v>
      </c>
      <c r="EE153" s="229">
        <v>4.4999999999999997E-3</v>
      </c>
      <c r="EF153" s="230">
        <v>5812867</v>
      </c>
      <c r="EG153" s="230">
        <v>6200343</v>
      </c>
      <c r="EH153" s="229">
        <v>-6.25E-2</v>
      </c>
      <c r="EI153" s="229">
        <v>0.6099</v>
      </c>
      <c r="EJ153" s="231">
        <v>123375.35</v>
      </c>
      <c r="EK153" s="231">
        <v>61974.400000000001</v>
      </c>
      <c r="EL153" s="231">
        <v>27545.47</v>
      </c>
      <c r="EM153" s="231">
        <v>5820</v>
      </c>
      <c r="EN153" s="231">
        <v>212895.22</v>
      </c>
      <c r="EO153" s="231">
        <v>172904.77</v>
      </c>
      <c r="EP153" s="231">
        <v>39990.449999999997</v>
      </c>
      <c r="EQ153" s="229">
        <v>0.23130000000000001</v>
      </c>
      <c r="ER153" s="231">
        <v>136290</v>
      </c>
      <c r="ES153" s="231">
        <v>46037</v>
      </c>
      <c r="ET153" s="231">
        <v>244081</v>
      </c>
      <c r="EU153" s="231">
        <v>517141211</v>
      </c>
      <c r="EV153" s="231">
        <v>426408</v>
      </c>
      <c r="EW153" s="231">
        <v>426906</v>
      </c>
      <c r="EX153" s="228">
        <v>-498</v>
      </c>
      <c r="EY153" s="229">
        <v>-1.1999999999999999E-3</v>
      </c>
      <c r="EZ153" s="229">
        <v>0.33289999999999997</v>
      </c>
      <c r="FA153" s="227" t="s">
        <v>556</v>
      </c>
      <c r="FB153" s="161">
        <f>BX228-CB228</f>
        <v>0</v>
      </c>
    </row>
    <row r="154" spans="1:158" ht="17.25" thickBot="1" x14ac:dyDescent="0.3">
      <c r="A154" s="226">
        <v>45940</v>
      </c>
      <c r="B154" s="227" t="s">
        <v>197</v>
      </c>
      <c r="C154" s="227" t="s">
        <v>270</v>
      </c>
      <c r="D154" s="228">
        <v>15</v>
      </c>
      <c r="E154" s="231">
        <v>41440</v>
      </c>
      <c r="F154" s="231">
        <v>41660</v>
      </c>
      <c r="G154" s="228">
        <v>-220</v>
      </c>
      <c r="H154" s="229">
        <v>-5.3E-3</v>
      </c>
      <c r="I154" s="231">
        <v>41640</v>
      </c>
      <c r="J154" s="231">
        <v>41740</v>
      </c>
      <c r="K154" s="228">
        <v>-100</v>
      </c>
      <c r="L154" s="229">
        <v>-2.3999999999999998E-3</v>
      </c>
      <c r="M154" s="231">
        <v>41440</v>
      </c>
      <c r="N154" s="231">
        <v>41660</v>
      </c>
      <c r="O154" s="228">
        <v>-220</v>
      </c>
      <c r="P154" s="229">
        <v>-5.3E-3</v>
      </c>
      <c r="Q154" s="231">
        <v>40905</v>
      </c>
      <c r="R154" s="231">
        <v>41130</v>
      </c>
      <c r="S154" s="228">
        <v>-225</v>
      </c>
      <c r="T154" s="229">
        <v>-5.4999999999999997E-3</v>
      </c>
      <c r="U154" s="231">
        <v>40735</v>
      </c>
      <c r="V154" s="231">
        <v>40780</v>
      </c>
      <c r="W154" s="228">
        <v>-45</v>
      </c>
      <c r="X154" s="229">
        <v>-1.1000000000000001E-3</v>
      </c>
      <c r="Y154" s="228">
        <v>-200</v>
      </c>
      <c r="Z154" s="228">
        <v>-80</v>
      </c>
      <c r="AA154" s="228">
        <v>-120</v>
      </c>
      <c r="AB154" s="229">
        <v>-4.7999999999999996E-3</v>
      </c>
      <c r="AC154" s="228">
        <v>-200</v>
      </c>
      <c r="AD154" s="228">
        <v>-80</v>
      </c>
      <c r="AE154" s="228">
        <v>-120</v>
      </c>
      <c r="AF154" s="229">
        <v>-4.7999999999999996E-3</v>
      </c>
      <c r="AG154" s="228">
        <v>-735</v>
      </c>
      <c r="AH154" s="228">
        <v>-610</v>
      </c>
      <c r="AI154" s="228">
        <v>-125</v>
      </c>
      <c r="AJ154" s="229">
        <v>-1.77E-2</v>
      </c>
      <c r="AK154" s="228">
        <v>-905</v>
      </c>
      <c r="AL154" s="228">
        <v>-960</v>
      </c>
      <c r="AM154" s="228">
        <v>55</v>
      </c>
      <c r="AN154" s="229">
        <v>-2.1700000000000001E-2</v>
      </c>
      <c r="AO154" s="231">
        <v>41669.89</v>
      </c>
      <c r="AP154" s="231">
        <v>41184.49</v>
      </c>
      <c r="AQ154" s="228">
        <v>0</v>
      </c>
      <c r="AR154" s="230">
        <v>20490</v>
      </c>
      <c r="AS154" s="230">
        <v>19695</v>
      </c>
      <c r="AT154" s="228">
        <v>795</v>
      </c>
      <c r="AU154" s="229">
        <v>4.0399999999999998E-2</v>
      </c>
      <c r="AV154" s="230">
        <v>16425</v>
      </c>
      <c r="AW154" s="230">
        <v>17370</v>
      </c>
      <c r="AX154" s="228">
        <v>-945</v>
      </c>
      <c r="AY154" s="229">
        <v>-5.4399999999999997E-2</v>
      </c>
      <c r="AZ154" s="230">
        <v>3030</v>
      </c>
      <c r="BA154" s="230">
        <v>2085</v>
      </c>
      <c r="BB154" s="228">
        <v>945</v>
      </c>
      <c r="BC154" s="229">
        <v>0.45319999999999999</v>
      </c>
      <c r="BD154" s="230">
        <v>1035</v>
      </c>
      <c r="BE154" s="228">
        <v>240</v>
      </c>
      <c r="BF154" s="228">
        <v>795</v>
      </c>
      <c r="BG154" s="229">
        <v>3.3125</v>
      </c>
      <c r="BH154" s="230">
        <v>62370</v>
      </c>
      <c r="BI154" s="230">
        <v>94995</v>
      </c>
      <c r="BJ154" s="230">
        <v>-32625</v>
      </c>
      <c r="BK154" s="229">
        <v>-0.34339999999999998</v>
      </c>
      <c r="BL154" s="230">
        <v>11625</v>
      </c>
      <c r="BM154" s="230">
        <v>10455</v>
      </c>
      <c r="BN154" s="230">
        <v>1170</v>
      </c>
      <c r="BO154" s="229">
        <v>0.1119</v>
      </c>
      <c r="BP154" s="230">
        <v>94485</v>
      </c>
      <c r="BQ154" s="230">
        <v>125145</v>
      </c>
      <c r="BR154" s="230">
        <v>-30660</v>
      </c>
      <c r="BS154" s="229">
        <v>-0.245</v>
      </c>
      <c r="BT154" s="230">
        <v>22360</v>
      </c>
      <c r="BU154" s="230">
        <v>21109</v>
      </c>
      <c r="BV154" s="230">
        <v>1251</v>
      </c>
      <c r="BW154" s="229">
        <v>5.9299999999999999E-2</v>
      </c>
      <c r="BX154" s="230">
        <v>228285</v>
      </c>
      <c r="BY154" s="230">
        <v>226185</v>
      </c>
      <c r="BZ154" s="230">
        <v>2100</v>
      </c>
      <c r="CA154" s="229">
        <v>9.2999999999999992E-3</v>
      </c>
      <c r="CB154" s="230">
        <v>216855</v>
      </c>
      <c r="CC154" s="230">
        <v>216330</v>
      </c>
      <c r="CD154" s="228">
        <v>525</v>
      </c>
      <c r="CE154" s="229">
        <v>2.3999999999999998E-3</v>
      </c>
      <c r="CF154" s="230">
        <v>10455</v>
      </c>
      <c r="CG154" s="230">
        <v>9525</v>
      </c>
      <c r="CH154" s="228">
        <v>930</v>
      </c>
      <c r="CI154" s="229">
        <v>9.7600000000000006E-2</v>
      </c>
      <c r="CJ154" s="228">
        <v>975</v>
      </c>
      <c r="CK154" s="228">
        <v>330</v>
      </c>
      <c r="CL154" s="228">
        <v>645</v>
      </c>
      <c r="CM154" s="229">
        <v>1.9544999999999999</v>
      </c>
      <c r="CN154" s="230">
        <v>79590</v>
      </c>
      <c r="CO154" s="230">
        <v>74265</v>
      </c>
      <c r="CP154" s="230">
        <v>5325</v>
      </c>
      <c r="CQ154" s="229">
        <v>7.17E-2</v>
      </c>
      <c r="CR154" s="230">
        <v>32310</v>
      </c>
      <c r="CS154" s="230">
        <v>31545</v>
      </c>
      <c r="CT154" s="228">
        <v>765</v>
      </c>
      <c r="CU154" s="229">
        <v>2.4299999999999999E-2</v>
      </c>
      <c r="CV154" s="230">
        <v>340185</v>
      </c>
      <c r="CW154" s="230">
        <v>331995</v>
      </c>
      <c r="CX154" s="230">
        <v>8190</v>
      </c>
      <c r="CY154" s="229">
        <v>2.47E-2</v>
      </c>
      <c r="CZ154" s="228">
        <v>25.75</v>
      </c>
      <c r="DA154" s="228">
        <v>26.53</v>
      </c>
      <c r="DB154" s="228">
        <v>-0.78</v>
      </c>
      <c r="DC154" s="228">
        <v>-0.78</v>
      </c>
      <c r="DD154" s="228">
        <v>29.62</v>
      </c>
      <c r="DE154" s="228">
        <v>29.7</v>
      </c>
      <c r="DF154" s="228">
        <v>-3.87</v>
      </c>
      <c r="DG154" s="228">
        <v>-0.08</v>
      </c>
      <c r="DH154" s="228">
        <v>25.98</v>
      </c>
      <c r="DI154" s="228">
        <v>26.77</v>
      </c>
      <c r="DJ154" s="228">
        <v>-0.79</v>
      </c>
      <c r="DK154" s="228">
        <v>-0.79</v>
      </c>
      <c r="DL154" s="228">
        <v>24.52</v>
      </c>
      <c r="DM154" s="228">
        <v>24.4</v>
      </c>
      <c r="DN154" s="228">
        <v>0.12</v>
      </c>
      <c r="DO154" s="228">
        <v>0.12</v>
      </c>
      <c r="DP154" s="228">
        <v>0.41</v>
      </c>
      <c r="DQ154" s="228">
        <v>0.42</v>
      </c>
      <c r="DR154" s="228">
        <v>-0.01</v>
      </c>
      <c r="DS154" s="229">
        <v>-2.3800000000000002E-2</v>
      </c>
      <c r="DT154" s="231">
        <v>45000</v>
      </c>
      <c r="DU154" s="231">
        <v>39000</v>
      </c>
      <c r="DV154" s="228">
        <v>0.19</v>
      </c>
      <c r="DW154" s="228">
        <v>0.11</v>
      </c>
      <c r="DX154" s="228">
        <v>0.08</v>
      </c>
      <c r="DY154" s="229">
        <v>0.72729999999999995</v>
      </c>
      <c r="DZ154" s="229">
        <v>5.0099999999999999E-2</v>
      </c>
      <c r="EA154" s="230">
        <v>9855</v>
      </c>
      <c r="EB154" s="229">
        <v>-1.29E-2</v>
      </c>
      <c r="EC154" s="229">
        <v>5.0099999999999999E-2</v>
      </c>
      <c r="ED154" s="228">
        <v>-485.4</v>
      </c>
      <c r="EE154" s="229">
        <v>-1.1599999999999999E-2</v>
      </c>
      <c r="EF154" s="230">
        <v>14930</v>
      </c>
      <c r="EG154" s="230">
        <v>10643</v>
      </c>
      <c r="EH154" s="229">
        <v>0.40279999999999999</v>
      </c>
      <c r="EI154" s="229">
        <v>0.66769999999999996</v>
      </c>
      <c r="EJ154" s="231">
        <v>27697.15</v>
      </c>
      <c r="EK154" s="231">
        <v>4695.6899999999996</v>
      </c>
      <c r="EL154" s="231">
        <v>8517.0400000000009</v>
      </c>
      <c r="EM154" s="231">
        <v>1765</v>
      </c>
      <c r="EN154" s="231">
        <v>40909.879999999997</v>
      </c>
      <c r="EO154" s="231">
        <v>55444.18</v>
      </c>
      <c r="EP154" s="231">
        <v>-14534.3</v>
      </c>
      <c r="EQ154" s="229">
        <v>-0.2621</v>
      </c>
      <c r="ER154" s="231">
        <v>35215</v>
      </c>
      <c r="ES154" s="231">
        <v>13214</v>
      </c>
      <c r="ET154" s="231">
        <v>94538</v>
      </c>
      <c r="EU154" s="231">
        <v>955549</v>
      </c>
      <c r="EV154" s="231">
        <v>142968</v>
      </c>
      <c r="EW154" s="231">
        <v>140057</v>
      </c>
      <c r="EX154" s="231">
        <v>2911</v>
      </c>
      <c r="EY154" s="229">
        <v>2.0799999999999999E-2</v>
      </c>
      <c r="EZ154" s="229">
        <v>0.35599999999999998</v>
      </c>
      <c r="FA154" s="227" t="s">
        <v>567</v>
      </c>
      <c r="FB154" s="161">
        <f t="shared" si="3"/>
        <v>0</v>
      </c>
    </row>
    <row r="155" spans="1:158" ht="17.25" thickBot="1" x14ac:dyDescent="0.3">
      <c r="A155" s="226">
        <v>45940</v>
      </c>
      <c r="B155" s="227" t="s">
        <v>168</v>
      </c>
      <c r="C155" s="227" t="s">
        <v>667</v>
      </c>
      <c r="D155" s="228">
        <v>900</v>
      </c>
      <c r="E155" s="228">
        <v>594.75</v>
      </c>
      <c r="F155" s="228">
        <v>597.25</v>
      </c>
      <c r="G155" s="228">
        <v>-2.5</v>
      </c>
      <c r="H155" s="229">
        <v>-4.1999999999999997E-3</v>
      </c>
      <c r="I155" s="228">
        <v>594.1</v>
      </c>
      <c r="J155" s="228">
        <v>594.54999999999995</v>
      </c>
      <c r="K155" s="228">
        <v>-0.45</v>
      </c>
      <c r="L155" s="229">
        <v>-8.0000000000000004E-4</v>
      </c>
      <c r="M155" s="228">
        <v>594.75</v>
      </c>
      <c r="N155" s="228">
        <v>597.25</v>
      </c>
      <c r="O155" s="228">
        <v>-2.5</v>
      </c>
      <c r="P155" s="229">
        <v>-4.1999999999999997E-3</v>
      </c>
      <c r="Q155" s="228">
        <v>595.85</v>
      </c>
      <c r="R155" s="228">
        <v>599.29999999999995</v>
      </c>
      <c r="S155" s="228">
        <v>-3.45</v>
      </c>
      <c r="T155" s="229">
        <v>-5.7999999999999996E-3</v>
      </c>
      <c r="U155" s="228">
        <v>599.75</v>
      </c>
      <c r="V155" s="228">
        <v>605</v>
      </c>
      <c r="W155" s="228">
        <v>-5.25</v>
      </c>
      <c r="X155" s="229">
        <v>-8.6999999999999994E-3</v>
      </c>
      <c r="Y155" s="228">
        <v>0.65</v>
      </c>
      <c r="Z155" s="228">
        <v>2.7</v>
      </c>
      <c r="AA155" s="228">
        <v>-2.0499999999999998</v>
      </c>
      <c r="AB155" s="229">
        <v>1.1000000000000001E-3</v>
      </c>
      <c r="AC155" s="228">
        <v>0.65</v>
      </c>
      <c r="AD155" s="228">
        <v>2.7</v>
      </c>
      <c r="AE155" s="228">
        <v>-2.0499999999999998</v>
      </c>
      <c r="AF155" s="229">
        <v>1.1000000000000001E-3</v>
      </c>
      <c r="AG155" s="228">
        <v>1.75</v>
      </c>
      <c r="AH155" s="228">
        <v>4.75</v>
      </c>
      <c r="AI155" s="228">
        <v>-3</v>
      </c>
      <c r="AJ155" s="229">
        <v>2.8999999999999998E-3</v>
      </c>
      <c r="AK155" s="228">
        <v>5.65</v>
      </c>
      <c r="AL155" s="228">
        <v>10.45</v>
      </c>
      <c r="AM155" s="228">
        <v>-4.8</v>
      </c>
      <c r="AN155" s="229">
        <v>9.4999999999999998E-3</v>
      </c>
      <c r="AO155" s="228">
        <v>596.75</v>
      </c>
      <c r="AP155" s="228">
        <v>598.04</v>
      </c>
      <c r="AQ155" s="228">
        <v>0</v>
      </c>
      <c r="AR155" s="230">
        <v>2153700</v>
      </c>
      <c r="AS155" s="230">
        <v>2364300</v>
      </c>
      <c r="AT155" s="230">
        <v>-210600</v>
      </c>
      <c r="AU155" s="229">
        <v>-8.9099999999999999E-2</v>
      </c>
      <c r="AV155" s="230">
        <v>2094300</v>
      </c>
      <c r="AW155" s="230">
        <v>2332800</v>
      </c>
      <c r="AX155" s="230">
        <v>-238500</v>
      </c>
      <c r="AY155" s="229">
        <v>-0.1022</v>
      </c>
      <c r="AZ155" s="230">
        <v>53100</v>
      </c>
      <c r="BA155" s="230">
        <v>31500</v>
      </c>
      <c r="BB155" s="230">
        <v>21600</v>
      </c>
      <c r="BC155" s="229">
        <v>0.68569999999999998</v>
      </c>
      <c r="BD155" s="230">
        <v>6300</v>
      </c>
      <c r="BE155" s="228">
        <v>0</v>
      </c>
      <c r="BF155" s="230">
        <v>6300</v>
      </c>
      <c r="BG155" s="229">
        <v>0</v>
      </c>
      <c r="BH155" s="230">
        <v>2584800</v>
      </c>
      <c r="BI155" s="230">
        <v>2817900</v>
      </c>
      <c r="BJ155" s="230">
        <v>-233100</v>
      </c>
      <c r="BK155" s="229">
        <v>-8.2699999999999996E-2</v>
      </c>
      <c r="BL155" s="230">
        <v>1154700</v>
      </c>
      <c r="BM155" s="230">
        <v>2520900</v>
      </c>
      <c r="BN155" s="230">
        <v>-1366200</v>
      </c>
      <c r="BO155" s="229">
        <v>-0.54190000000000005</v>
      </c>
      <c r="BP155" s="230">
        <v>5893200</v>
      </c>
      <c r="BQ155" s="230">
        <v>7703100</v>
      </c>
      <c r="BR155" s="230">
        <v>-1809900</v>
      </c>
      <c r="BS155" s="229">
        <v>-0.23499999999999999</v>
      </c>
      <c r="BT155" s="230">
        <v>336954</v>
      </c>
      <c r="BU155" s="230">
        <v>873522</v>
      </c>
      <c r="BV155" s="230">
        <v>-536568</v>
      </c>
      <c r="BW155" s="229">
        <v>-0.61429999999999996</v>
      </c>
      <c r="BX155" s="230">
        <v>32663700</v>
      </c>
      <c r="BY155" s="230">
        <v>32793300</v>
      </c>
      <c r="BZ155" s="230">
        <v>-129600</v>
      </c>
      <c r="CA155" s="229">
        <v>-4.0000000000000001E-3</v>
      </c>
      <c r="CB155" s="230">
        <v>32402700</v>
      </c>
      <c r="CC155" s="230">
        <v>32540400</v>
      </c>
      <c r="CD155" s="230">
        <v>-137700</v>
      </c>
      <c r="CE155" s="229">
        <v>-4.1999999999999997E-3</v>
      </c>
      <c r="CF155" s="230">
        <v>249300</v>
      </c>
      <c r="CG155" s="230">
        <v>244800</v>
      </c>
      <c r="CH155" s="230">
        <v>4500</v>
      </c>
      <c r="CI155" s="229">
        <v>1.84E-2</v>
      </c>
      <c r="CJ155" s="230">
        <v>11700</v>
      </c>
      <c r="CK155" s="230">
        <v>8100</v>
      </c>
      <c r="CL155" s="230">
        <v>3600</v>
      </c>
      <c r="CM155" s="229">
        <v>0.44440000000000002</v>
      </c>
      <c r="CN155" s="230">
        <v>6031800</v>
      </c>
      <c r="CO155" s="230">
        <v>5362200</v>
      </c>
      <c r="CP155" s="230">
        <v>669600</v>
      </c>
      <c r="CQ155" s="229">
        <v>0.1249</v>
      </c>
      <c r="CR155" s="230">
        <v>2609100</v>
      </c>
      <c r="CS155" s="230">
        <v>2580300</v>
      </c>
      <c r="CT155" s="230">
        <v>28800</v>
      </c>
      <c r="CU155" s="229">
        <v>1.12E-2</v>
      </c>
      <c r="CV155" s="230">
        <v>41304600</v>
      </c>
      <c r="CW155" s="230">
        <v>40735800</v>
      </c>
      <c r="CX155" s="230">
        <v>568800</v>
      </c>
      <c r="CY155" s="229">
        <v>1.4E-2</v>
      </c>
      <c r="CZ155" s="228">
        <v>28.66</v>
      </c>
      <c r="DA155" s="228">
        <v>28.82</v>
      </c>
      <c r="DB155" s="228">
        <v>-0.16</v>
      </c>
      <c r="DC155" s="228">
        <v>-0.16</v>
      </c>
      <c r="DD155" s="228">
        <v>34.49</v>
      </c>
      <c r="DE155" s="228">
        <v>34.57</v>
      </c>
      <c r="DF155" s="228">
        <v>-5.83</v>
      </c>
      <c r="DG155" s="228">
        <v>-0.08</v>
      </c>
      <c r="DH155" s="228">
        <v>28.8</v>
      </c>
      <c r="DI155" s="228">
        <v>28.76</v>
      </c>
      <c r="DJ155" s="228">
        <v>0.04</v>
      </c>
      <c r="DK155" s="228">
        <v>0.04</v>
      </c>
      <c r="DL155" s="228">
        <v>28.36</v>
      </c>
      <c r="DM155" s="228">
        <v>28.88</v>
      </c>
      <c r="DN155" s="228">
        <v>-0.52</v>
      </c>
      <c r="DO155" s="228">
        <v>-0.52</v>
      </c>
      <c r="DP155" s="228">
        <v>0.43</v>
      </c>
      <c r="DQ155" s="228">
        <v>0.48</v>
      </c>
      <c r="DR155" s="228">
        <v>-0.05</v>
      </c>
      <c r="DS155" s="229">
        <v>-0.1042</v>
      </c>
      <c r="DT155" s="228">
        <v>600</v>
      </c>
      <c r="DU155" s="228">
        <v>600</v>
      </c>
      <c r="DV155" s="228">
        <v>0.45</v>
      </c>
      <c r="DW155" s="228">
        <v>0.89</v>
      </c>
      <c r="DX155" s="228">
        <v>-0.44</v>
      </c>
      <c r="DY155" s="229">
        <v>-0.49440000000000001</v>
      </c>
      <c r="DZ155" s="229">
        <v>8.0000000000000002E-3</v>
      </c>
      <c r="EA155" s="230">
        <v>252900</v>
      </c>
      <c r="EB155" s="229">
        <v>1.8E-3</v>
      </c>
      <c r="EC155" s="229">
        <v>8.0000000000000002E-3</v>
      </c>
      <c r="ED155" s="228">
        <v>1.29</v>
      </c>
      <c r="EE155" s="229">
        <v>2.2000000000000001E-3</v>
      </c>
      <c r="EF155" s="230">
        <v>164534</v>
      </c>
      <c r="EG155" s="230">
        <v>415081</v>
      </c>
      <c r="EH155" s="229">
        <v>-0.60360000000000003</v>
      </c>
      <c r="EI155" s="229">
        <v>0.48830000000000001</v>
      </c>
      <c r="EJ155" s="231">
        <v>16168.41</v>
      </c>
      <c r="EK155" s="231">
        <v>6948.1</v>
      </c>
      <c r="EL155" s="231">
        <v>12853.06</v>
      </c>
      <c r="EM155" s="231">
        <v>2696</v>
      </c>
      <c r="EN155" s="231">
        <v>35969.57</v>
      </c>
      <c r="EO155" s="231">
        <v>46948.4</v>
      </c>
      <c r="EP155" s="231">
        <v>-10978.83</v>
      </c>
      <c r="EQ155" s="229">
        <v>-0.23380000000000001</v>
      </c>
      <c r="ER155" s="231">
        <v>37014</v>
      </c>
      <c r="ES155" s="231">
        <v>15231</v>
      </c>
      <c r="ET155" s="231">
        <v>194271</v>
      </c>
      <c r="EU155" s="231">
        <v>50840137</v>
      </c>
      <c r="EV155" s="231">
        <v>246516</v>
      </c>
      <c r="EW155" s="231">
        <v>243717</v>
      </c>
      <c r="EX155" s="231">
        <v>2799</v>
      </c>
      <c r="EY155" s="229">
        <v>1.15E-2</v>
      </c>
      <c r="EZ155" s="229">
        <v>0.81240000000000001</v>
      </c>
      <c r="FA155" s="227" t="s">
        <v>568</v>
      </c>
      <c r="FB155" s="161">
        <f t="shared" si="3"/>
        <v>0</v>
      </c>
    </row>
    <row r="156" spans="1:158" ht="17.25" thickBot="1" x14ac:dyDescent="0.3">
      <c r="A156" s="226">
        <v>45940</v>
      </c>
      <c r="B156" s="227" t="s">
        <v>616</v>
      </c>
      <c r="C156" s="227" t="s">
        <v>576</v>
      </c>
      <c r="D156" s="228">
        <v>725</v>
      </c>
      <c r="E156" s="231">
        <v>1243.2</v>
      </c>
      <c r="F156" s="231">
        <v>1253.9000000000001</v>
      </c>
      <c r="G156" s="228">
        <v>-10.7</v>
      </c>
      <c r="H156" s="229">
        <v>-8.5000000000000006E-3</v>
      </c>
      <c r="I156" s="231">
        <v>1236.9000000000001</v>
      </c>
      <c r="J156" s="231">
        <v>1246.3</v>
      </c>
      <c r="K156" s="228">
        <v>-9.4</v>
      </c>
      <c r="L156" s="229">
        <v>-7.4999999999999997E-3</v>
      </c>
      <c r="M156" s="231">
        <v>1243.2</v>
      </c>
      <c r="N156" s="231">
        <v>1253.9000000000001</v>
      </c>
      <c r="O156" s="228">
        <v>-10.7</v>
      </c>
      <c r="P156" s="229">
        <v>-8.5000000000000006E-3</v>
      </c>
      <c r="Q156" s="231">
        <v>1249.7</v>
      </c>
      <c r="R156" s="231">
        <v>1260.5999999999999</v>
      </c>
      <c r="S156" s="228">
        <v>-10.9</v>
      </c>
      <c r="T156" s="229">
        <v>-8.6E-3</v>
      </c>
      <c r="U156" s="231">
        <v>1256.3</v>
      </c>
      <c r="V156" s="231">
        <v>1268.8</v>
      </c>
      <c r="W156" s="228">
        <v>-12.5</v>
      </c>
      <c r="X156" s="229">
        <v>-9.9000000000000008E-3</v>
      </c>
      <c r="Y156" s="228">
        <v>6.3</v>
      </c>
      <c r="Z156" s="228">
        <v>7.6</v>
      </c>
      <c r="AA156" s="228">
        <v>-1.3</v>
      </c>
      <c r="AB156" s="229">
        <v>5.1000000000000004E-3</v>
      </c>
      <c r="AC156" s="228">
        <v>6.3</v>
      </c>
      <c r="AD156" s="228">
        <v>7.6</v>
      </c>
      <c r="AE156" s="228">
        <v>-1.3</v>
      </c>
      <c r="AF156" s="229">
        <v>5.1000000000000004E-3</v>
      </c>
      <c r="AG156" s="228">
        <v>12.8</v>
      </c>
      <c r="AH156" s="228">
        <v>14.3</v>
      </c>
      <c r="AI156" s="228">
        <v>-1.5</v>
      </c>
      <c r="AJ156" s="229">
        <v>1.03E-2</v>
      </c>
      <c r="AK156" s="228">
        <v>19.399999999999999</v>
      </c>
      <c r="AL156" s="228">
        <v>22.5</v>
      </c>
      <c r="AM156" s="228">
        <v>-3.1</v>
      </c>
      <c r="AN156" s="229">
        <v>1.5699999999999999E-2</v>
      </c>
      <c r="AO156" s="231">
        <v>1250</v>
      </c>
      <c r="AP156" s="231">
        <v>1255.71</v>
      </c>
      <c r="AQ156" s="228">
        <v>0</v>
      </c>
      <c r="AR156" s="230">
        <v>5419375</v>
      </c>
      <c r="AS156" s="230">
        <v>6759175</v>
      </c>
      <c r="AT156" s="230">
        <v>-1339800</v>
      </c>
      <c r="AU156" s="229">
        <v>-0.19819999999999999</v>
      </c>
      <c r="AV156" s="230">
        <v>5197525</v>
      </c>
      <c r="AW156" s="230">
        <v>6570675</v>
      </c>
      <c r="AX156" s="230">
        <v>-1373150</v>
      </c>
      <c r="AY156" s="229">
        <v>-0.20899999999999999</v>
      </c>
      <c r="AZ156" s="230">
        <v>199375</v>
      </c>
      <c r="BA156" s="230">
        <v>168200</v>
      </c>
      <c r="BB156" s="230">
        <v>31175</v>
      </c>
      <c r="BC156" s="229">
        <v>0.18529999999999999</v>
      </c>
      <c r="BD156" s="230">
        <v>22475</v>
      </c>
      <c r="BE156" s="230">
        <v>20300</v>
      </c>
      <c r="BF156" s="230">
        <v>2175</v>
      </c>
      <c r="BG156" s="229">
        <v>0.1071</v>
      </c>
      <c r="BH156" s="230">
        <v>13110900</v>
      </c>
      <c r="BI156" s="230">
        <v>11908125</v>
      </c>
      <c r="BJ156" s="230">
        <v>1202775</v>
      </c>
      <c r="BK156" s="229">
        <v>0.10100000000000001</v>
      </c>
      <c r="BL156" s="230">
        <v>7605975</v>
      </c>
      <c r="BM156" s="230">
        <v>7116600</v>
      </c>
      <c r="BN156" s="230">
        <v>489375</v>
      </c>
      <c r="BO156" s="229">
        <v>6.88E-2</v>
      </c>
      <c r="BP156" s="230">
        <v>26136250</v>
      </c>
      <c r="BQ156" s="230">
        <v>25783900</v>
      </c>
      <c r="BR156" s="230">
        <v>352350</v>
      </c>
      <c r="BS156" s="229">
        <v>1.37E-2</v>
      </c>
      <c r="BT156" s="230">
        <v>4466421</v>
      </c>
      <c r="BU156" s="230">
        <v>3175626</v>
      </c>
      <c r="BV156" s="230">
        <v>1290795</v>
      </c>
      <c r="BW156" s="229">
        <v>0.40649999999999997</v>
      </c>
      <c r="BX156" s="230">
        <v>26799625</v>
      </c>
      <c r="BY156" s="230">
        <v>27057000</v>
      </c>
      <c r="BZ156" s="230">
        <v>-257375</v>
      </c>
      <c r="CA156" s="229">
        <v>-9.4999999999999998E-3</v>
      </c>
      <c r="CB156" s="230">
        <v>26453800</v>
      </c>
      <c r="CC156" s="230">
        <v>26713350</v>
      </c>
      <c r="CD156" s="230">
        <v>-259550</v>
      </c>
      <c r="CE156" s="229">
        <v>-9.7000000000000003E-3</v>
      </c>
      <c r="CF156" s="230">
        <v>298700</v>
      </c>
      <c r="CG156" s="230">
        <v>303050</v>
      </c>
      <c r="CH156" s="230">
        <v>-4350</v>
      </c>
      <c r="CI156" s="229">
        <v>-1.44E-2</v>
      </c>
      <c r="CJ156" s="230">
        <v>47125</v>
      </c>
      <c r="CK156" s="230">
        <v>40600</v>
      </c>
      <c r="CL156" s="230">
        <v>6525</v>
      </c>
      <c r="CM156" s="229">
        <v>0.16070000000000001</v>
      </c>
      <c r="CN156" s="230">
        <v>6654775</v>
      </c>
      <c r="CO156" s="230">
        <v>6660575</v>
      </c>
      <c r="CP156" s="230">
        <v>-5800</v>
      </c>
      <c r="CQ156" s="229">
        <v>-8.9999999999999998E-4</v>
      </c>
      <c r="CR156" s="230">
        <v>5800000</v>
      </c>
      <c r="CS156" s="230">
        <v>5830450</v>
      </c>
      <c r="CT156" s="230">
        <v>-30450</v>
      </c>
      <c r="CU156" s="229">
        <v>-5.1999999999999998E-3</v>
      </c>
      <c r="CV156" s="230">
        <v>39254400</v>
      </c>
      <c r="CW156" s="230">
        <v>39548025</v>
      </c>
      <c r="CX156" s="230">
        <v>-293625</v>
      </c>
      <c r="CY156" s="229">
        <v>-7.4000000000000003E-3</v>
      </c>
      <c r="CZ156" s="228">
        <v>35.5</v>
      </c>
      <c r="DA156" s="228">
        <v>36.729999999999997</v>
      </c>
      <c r="DB156" s="228">
        <v>-1.23</v>
      </c>
      <c r="DC156" s="228">
        <v>-1.23</v>
      </c>
      <c r="DD156" s="228">
        <v>56.39</v>
      </c>
      <c r="DE156" s="228">
        <v>56.52</v>
      </c>
      <c r="DF156" s="228">
        <v>-20.89</v>
      </c>
      <c r="DG156" s="228">
        <v>-0.13</v>
      </c>
      <c r="DH156" s="228">
        <v>35.29</v>
      </c>
      <c r="DI156" s="228">
        <v>36.11</v>
      </c>
      <c r="DJ156" s="228">
        <v>-0.82</v>
      </c>
      <c r="DK156" s="228">
        <v>-0.82</v>
      </c>
      <c r="DL156" s="228">
        <v>35.85</v>
      </c>
      <c r="DM156" s="228">
        <v>37.76</v>
      </c>
      <c r="DN156" s="228">
        <v>-1.91</v>
      </c>
      <c r="DO156" s="228">
        <v>-1.91</v>
      </c>
      <c r="DP156" s="228">
        <v>0.87</v>
      </c>
      <c r="DQ156" s="228">
        <v>0.88</v>
      </c>
      <c r="DR156" s="228">
        <v>-0.01</v>
      </c>
      <c r="DS156" s="229">
        <v>-1.14E-2</v>
      </c>
      <c r="DT156" s="231">
        <v>1240</v>
      </c>
      <c r="DU156" s="231">
        <v>1100</v>
      </c>
      <c r="DV156" s="228">
        <v>0.57999999999999996</v>
      </c>
      <c r="DW156" s="228">
        <v>0.6</v>
      </c>
      <c r="DX156" s="228">
        <v>-0.02</v>
      </c>
      <c r="DY156" s="229">
        <v>-3.3300000000000003E-2</v>
      </c>
      <c r="DZ156" s="229">
        <v>1.29E-2</v>
      </c>
      <c r="EA156" s="230">
        <v>343650</v>
      </c>
      <c r="EB156" s="229">
        <v>5.1999999999999998E-3</v>
      </c>
      <c r="EC156" s="229">
        <v>1.29E-2</v>
      </c>
      <c r="ED156" s="228">
        <v>5.71</v>
      </c>
      <c r="EE156" s="229">
        <v>4.5999999999999999E-3</v>
      </c>
      <c r="EF156" s="230">
        <v>2038155</v>
      </c>
      <c r="EG156" s="230">
        <v>1481015</v>
      </c>
      <c r="EH156" s="229">
        <v>0.37619999999999998</v>
      </c>
      <c r="EI156" s="229">
        <v>0.45629999999999998</v>
      </c>
      <c r="EJ156" s="231">
        <v>172661.04</v>
      </c>
      <c r="EK156" s="231">
        <v>93706.93</v>
      </c>
      <c r="EL156" s="231">
        <v>67756.479999999996</v>
      </c>
      <c r="EM156" s="231">
        <v>8066</v>
      </c>
      <c r="EN156" s="231">
        <v>334124.45</v>
      </c>
      <c r="EO156" s="231">
        <v>327991.46000000002</v>
      </c>
      <c r="EP156" s="231">
        <v>6132.99</v>
      </c>
      <c r="EQ156" s="229">
        <v>1.8700000000000001E-2</v>
      </c>
      <c r="ER156" s="231">
        <v>83907</v>
      </c>
      <c r="ES156" s="231">
        <v>67193</v>
      </c>
      <c r="ET156" s="231">
        <v>333199</v>
      </c>
      <c r="EU156" s="231">
        <v>95715382</v>
      </c>
      <c r="EV156" s="231">
        <v>484298</v>
      </c>
      <c r="EW156" s="231">
        <v>490972</v>
      </c>
      <c r="EX156" s="231">
        <v>-6674</v>
      </c>
      <c r="EY156" s="229">
        <v>-1.3599999999999999E-2</v>
      </c>
      <c r="EZ156" s="229">
        <v>0.41010000000000002</v>
      </c>
      <c r="FA156" s="227" t="s">
        <v>568</v>
      </c>
      <c r="FB156" s="161">
        <f t="shared" si="3"/>
        <v>0</v>
      </c>
    </row>
    <row r="157" spans="1:158" ht="17.25" thickBot="1" x14ac:dyDescent="0.3">
      <c r="A157" s="226">
        <v>45940</v>
      </c>
      <c r="B157" s="227" t="s">
        <v>221</v>
      </c>
      <c r="C157" s="227" t="s">
        <v>529</v>
      </c>
      <c r="D157" s="228">
        <v>100</v>
      </c>
      <c r="E157" s="231">
        <v>5382.9</v>
      </c>
      <c r="F157" s="231">
        <v>5374.5</v>
      </c>
      <c r="G157" s="228">
        <v>8.4</v>
      </c>
      <c r="H157" s="229">
        <v>1.6000000000000001E-3</v>
      </c>
      <c r="I157" s="231">
        <v>5357.7</v>
      </c>
      <c r="J157" s="231">
        <v>5345.3</v>
      </c>
      <c r="K157" s="228">
        <v>12.4</v>
      </c>
      <c r="L157" s="229">
        <v>2.3E-3</v>
      </c>
      <c r="M157" s="231">
        <v>5382.9</v>
      </c>
      <c r="N157" s="231">
        <v>5374.5</v>
      </c>
      <c r="O157" s="228">
        <v>8.4</v>
      </c>
      <c r="P157" s="229">
        <v>1.6000000000000001E-3</v>
      </c>
      <c r="Q157" s="231">
        <v>5406.9</v>
      </c>
      <c r="R157" s="231">
        <v>5401.9</v>
      </c>
      <c r="S157" s="228">
        <v>5</v>
      </c>
      <c r="T157" s="229">
        <v>8.9999999999999998E-4</v>
      </c>
      <c r="U157" s="231">
        <v>5433.2</v>
      </c>
      <c r="V157" s="231">
        <v>5423.7</v>
      </c>
      <c r="W157" s="228">
        <v>9.5</v>
      </c>
      <c r="X157" s="229">
        <v>1.8E-3</v>
      </c>
      <c r="Y157" s="228">
        <v>25.2</v>
      </c>
      <c r="Z157" s="228">
        <v>29.2</v>
      </c>
      <c r="AA157" s="228">
        <v>-4</v>
      </c>
      <c r="AB157" s="229">
        <v>4.7000000000000002E-3</v>
      </c>
      <c r="AC157" s="228">
        <v>25.2</v>
      </c>
      <c r="AD157" s="228">
        <v>29.2</v>
      </c>
      <c r="AE157" s="228">
        <v>-4</v>
      </c>
      <c r="AF157" s="229">
        <v>4.7000000000000002E-3</v>
      </c>
      <c r="AG157" s="228">
        <v>49.2</v>
      </c>
      <c r="AH157" s="228">
        <v>56.6</v>
      </c>
      <c r="AI157" s="228">
        <v>-7.4</v>
      </c>
      <c r="AJ157" s="229">
        <v>9.1999999999999998E-3</v>
      </c>
      <c r="AK157" s="228">
        <v>75.5</v>
      </c>
      <c r="AL157" s="228">
        <v>78.400000000000006</v>
      </c>
      <c r="AM157" s="228">
        <v>-2.9</v>
      </c>
      <c r="AN157" s="229">
        <v>1.41E-2</v>
      </c>
      <c r="AO157" s="231">
        <v>5378.81</v>
      </c>
      <c r="AP157" s="231">
        <v>5407.5</v>
      </c>
      <c r="AQ157" s="228">
        <v>0</v>
      </c>
      <c r="AR157" s="230">
        <v>476200</v>
      </c>
      <c r="AS157" s="230">
        <v>517900</v>
      </c>
      <c r="AT157" s="230">
        <v>-41700</v>
      </c>
      <c r="AU157" s="229">
        <v>-8.0500000000000002E-2</v>
      </c>
      <c r="AV157" s="230">
        <v>452300</v>
      </c>
      <c r="AW157" s="230">
        <v>495800</v>
      </c>
      <c r="AX157" s="230">
        <v>-43500</v>
      </c>
      <c r="AY157" s="229">
        <v>-8.77E-2</v>
      </c>
      <c r="AZ157" s="230">
        <v>18800</v>
      </c>
      <c r="BA157" s="230">
        <v>18700</v>
      </c>
      <c r="BB157" s="228">
        <v>100</v>
      </c>
      <c r="BC157" s="229">
        <v>5.3E-3</v>
      </c>
      <c r="BD157" s="230">
        <v>5100</v>
      </c>
      <c r="BE157" s="230">
        <v>3400</v>
      </c>
      <c r="BF157" s="230">
        <v>1700</v>
      </c>
      <c r="BG157" s="229">
        <v>0.5</v>
      </c>
      <c r="BH157" s="230">
        <v>1068700</v>
      </c>
      <c r="BI157" s="230">
        <v>966400</v>
      </c>
      <c r="BJ157" s="230">
        <v>102300</v>
      </c>
      <c r="BK157" s="229">
        <v>0.10589999999999999</v>
      </c>
      <c r="BL157" s="230">
        <v>671700</v>
      </c>
      <c r="BM157" s="230">
        <v>568400</v>
      </c>
      <c r="BN157" s="230">
        <v>103300</v>
      </c>
      <c r="BO157" s="229">
        <v>0.1817</v>
      </c>
      <c r="BP157" s="230">
        <v>2216600</v>
      </c>
      <c r="BQ157" s="230">
        <v>2052700</v>
      </c>
      <c r="BR157" s="230">
        <v>163900</v>
      </c>
      <c r="BS157" s="229">
        <v>7.9799999999999996E-2</v>
      </c>
      <c r="BT157" s="230">
        <v>282674</v>
      </c>
      <c r="BU157" s="230">
        <v>240323</v>
      </c>
      <c r="BV157" s="230">
        <v>42351</v>
      </c>
      <c r="BW157" s="229">
        <v>0.1762</v>
      </c>
      <c r="BX157" s="230">
        <v>3175300</v>
      </c>
      <c r="BY157" s="230">
        <v>3211600</v>
      </c>
      <c r="BZ157" s="230">
        <v>-36300</v>
      </c>
      <c r="CA157" s="229">
        <v>-1.1299999999999999E-2</v>
      </c>
      <c r="CB157" s="230">
        <v>3116900</v>
      </c>
      <c r="CC157" s="230">
        <v>3153200</v>
      </c>
      <c r="CD157" s="230">
        <v>-36300</v>
      </c>
      <c r="CE157" s="229">
        <v>-1.15E-2</v>
      </c>
      <c r="CF157" s="230">
        <v>50900</v>
      </c>
      <c r="CG157" s="230">
        <v>51200</v>
      </c>
      <c r="CH157" s="228">
        <v>-300</v>
      </c>
      <c r="CI157" s="229">
        <v>-5.8999999999999999E-3</v>
      </c>
      <c r="CJ157" s="230">
        <v>7500</v>
      </c>
      <c r="CK157" s="230">
        <v>7200</v>
      </c>
      <c r="CL157" s="228">
        <v>300</v>
      </c>
      <c r="CM157" s="229">
        <v>4.1700000000000001E-2</v>
      </c>
      <c r="CN157" s="230">
        <v>868700</v>
      </c>
      <c r="CO157" s="230">
        <v>858200</v>
      </c>
      <c r="CP157" s="230">
        <v>10500</v>
      </c>
      <c r="CQ157" s="229">
        <v>1.2200000000000001E-2</v>
      </c>
      <c r="CR157" s="230">
        <v>602500</v>
      </c>
      <c r="CS157" s="230">
        <v>598200</v>
      </c>
      <c r="CT157" s="230">
        <v>4300</v>
      </c>
      <c r="CU157" s="229">
        <v>7.1999999999999998E-3</v>
      </c>
      <c r="CV157" s="230">
        <v>4646500</v>
      </c>
      <c r="CW157" s="230">
        <v>4668000</v>
      </c>
      <c r="CX157" s="230">
        <v>-21500</v>
      </c>
      <c r="CY157" s="229">
        <v>-4.5999999999999999E-3</v>
      </c>
      <c r="CZ157" s="228">
        <v>36.82</v>
      </c>
      <c r="DA157" s="228">
        <v>38.549999999999997</v>
      </c>
      <c r="DB157" s="228">
        <v>-1.73</v>
      </c>
      <c r="DC157" s="228">
        <v>-1.73</v>
      </c>
      <c r="DD157" s="228">
        <v>41.71</v>
      </c>
      <c r="DE157" s="228">
        <v>41.81</v>
      </c>
      <c r="DF157" s="228">
        <v>-4.8899999999999997</v>
      </c>
      <c r="DG157" s="228">
        <v>-0.1</v>
      </c>
      <c r="DH157" s="228">
        <v>36.1</v>
      </c>
      <c r="DI157" s="228">
        <v>37.770000000000003</v>
      </c>
      <c r="DJ157" s="228">
        <v>-1.67</v>
      </c>
      <c r="DK157" s="228">
        <v>-1.67</v>
      </c>
      <c r="DL157" s="228">
        <v>37.979999999999997</v>
      </c>
      <c r="DM157" s="228">
        <v>39.89</v>
      </c>
      <c r="DN157" s="228">
        <v>-1.91</v>
      </c>
      <c r="DO157" s="228">
        <v>-1.91</v>
      </c>
      <c r="DP157" s="228">
        <v>0.69</v>
      </c>
      <c r="DQ157" s="228">
        <v>0.7</v>
      </c>
      <c r="DR157" s="228">
        <v>-0.01</v>
      </c>
      <c r="DS157" s="229">
        <v>-1.43E-2</v>
      </c>
      <c r="DT157" s="231">
        <v>5400</v>
      </c>
      <c r="DU157" s="231">
        <v>5100</v>
      </c>
      <c r="DV157" s="228">
        <v>0.63</v>
      </c>
      <c r="DW157" s="228">
        <v>0.59</v>
      </c>
      <c r="DX157" s="228">
        <v>0.04</v>
      </c>
      <c r="DY157" s="229">
        <v>6.7799999999999999E-2</v>
      </c>
      <c r="DZ157" s="229">
        <v>1.84E-2</v>
      </c>
      <c r="EA157" s="230">
        <v>58400</v>
      </c>
      <c r="EB157" s="229">
        <v>4.4999999999999997E-3</v>
      </c>
      <c r="EC157" s="229">
        <v>1.84E-2</v>
      </c>
      <c r="ED157" s="228">
        <v>28.69</v>
      </c>
      <c r="EE157" s="229">
        <v>5.3E-3</v>
      </c>
      <c r="EF157" s="230">
        <v>101491</v>
      </c>
      <c r="EG157" s="230">
        <v>112292</v>
      </c>
      <c r="EH157" s="229">
        <v>-9.6199999999999994E-2</v>
      </c>
      <c r="EI157" s="229">
        <v>0.35899999999999999</v>
      </c>
      <c r="EJ157" s="231">
        <v>60535.35</v>
      </c>
      <c r="EK157" s="231">
        <v>34536.74</v>
      </c>
      <c r="EL157" s="231">
        <v>25622.2</v>
      </c>
      <c r="EM157" s="231">
        <v>6188</v>
      </c>
      <c r="EN157" s="231">
        <v>120694.29</v>
      </c>
      <c r="EO157" s="231">
        <v>111354.64</v>
      </c>
      <c r="EP157" s="231">
        <v>9339.65</v>
      </c>
      <c r="EQ157" s="229">
        <v>8.3900000000000002E-2</v>
      </c>
      <c r="ER157" s="231">
        <v>48014</v>
      </c>
      <c r="ES157" s="231">
        <v>29925</v>
      </c>
      <c r="ET157" s="231">
        <v>170939</v>
      </c>
      <c r="EU157" s="231">
        <v>16151851</v>
      </c>
      <c r="EV157" s="231">
        <v>248878</v>
      </c>
      <c r="EW157" s="231">
        <v>249641</v>
      </c>
      <c r="EX157" s="228">
        <v>-763</v>
      </c>
      <c r="EY157" s="229">
        <v>-3.0999999999999999E-3</v>
      </c>
      <c r="EZ157" s="229">
        <v>0.28770000000000001</v>
      </c>
      <c r="FA157" s="227" t="s">
        <v>556</v>
      </c>
      <c r="FB157" s="161">
        <f t="shared" si="3"/>
        <v>0</v>
      </c>
    </row>
    <row r="158" spans="1:158" ht="17.25" thickBot="1" x14ac:dyDescent="0.3">
      <c r="A158" s="226">
        <v>45940</v>
      </c>
      <c r="B158" s="227" t="s">
        <v>193</v>
      </c>
      <c r="C158" s="227" t="s">
        <v>272</v>
      </c>
      <c r="D158" s="228">
        <v>1800</v>
      </c>
      <c r="E158" s="228">
        <v>282.55</v>
      </c>
      <c r="F158" s="228">
        <v>284.55</v>
      </c>
      <c r="G158" s="228">
        <v>-2</v>
      </c>
      <c r="H158" s="229">
        <v>-7.0000000000000001E-3</v>
      </c>
      <c r="I158" s="228">
        <v>281.45</v>
      </c>
      <c r="J158" s="228">
        <v>282.85000000000002</v>
      </c>
      <c r="K158" s="228">
        <v>-1.4</v>
      </c>
      <c r="L158" s="229">
        <v>-4.8999999999999998E-3</v>
      </c>
      <c r="M158" s="228">
        <v>282.55</v>
      </c>
      <c r="N158" s="228">
        <v>284.55</v>
      </c>
      <c r="O158" s="228">
        <v>-2</v>
      </c>
      <c r="P158" s="229">
        <v>-7.0000000000000001E-3</v>
      </c>
      <c r="Q158" s="228">
        <v>284.14999999999998</v>
      </c>
      <c r="R158" s="228">
        <v>286.3</v>
      </c>
      <c r="S158" s="228">
        <v>-2.15</v>
      </c>
      <c r="T158" s="229">
        <v>-7.4999999999999997E-3</v>
      </c>
      <c r="U158" s="228">
        <v>285.85000000000002</v>
      </c>
      <c r="V158" s="228">
        <v>289</v>
      </c>
      <c r="W158" s="228">
        <v>-3.15</v>
      </c>
      <c r="X158" s="229">
        <v>-1.09E-2</v>
      </c>
      <c r="Y158" s="228">
        <v>1.1000000000000001</v>
      </c>
      <c r="Z158" s="228">
        <v>1.7</v>
      </c>
      <c r="AA158" s="228">
        <v>-0.6</v>
      </c>
      <c r="AB158" s="229">
        <v>3.8999999999999998E-3</v>
      </c>
      <c r="AC158" s="228">
        <v>1.1000000000000001</v>
      </c>
      <c r="AD158" s="228">
        <v>1.7</v>
      </c>
      <c r="AE158" s="228">
        <v>-0.6</v>
      </c>
      <c r="AF158" s="229">
        <v>3.8999999999999998E-3</v>
      </c>
      <c r="AG158" s="228">
        <v>2.7</v>
      </c>
      <c r="AH158" s="228">
        <v>3.45</v>
      </c>
      <c r="AI158" s="228">
        <v>-0.75</v>
      </c>
      <c r="AJ158" s="229">
        <v>9.5999999999999992E-3</v>
      </c>
      <c r="AK158" s="228">
        <v>4.4000000000000004</v>
      </c>
      <c r="AL158" s="228">
        <v>6.15</v>
      </c>
      <c r="AM158" s="228">
        <v>-1.75</v>
      </c>
      <c r="AN158" s="229">
        <v>1.5599999999999999E-2</v>
      </c>
      <c r="AO158" s="228">
        <v>283.39999999999998</v>
      </c>
      <c r="AP158" s="228">
        <v>285.27999999999997</v>
      </c>
      <c r="AQ158" s="228">
        <v>0</v>
      </c>
      <c r="AR158" s="230">
        <v>2226600</v>
      </c>
      <c r="AS158" s="230">
        <v>2082600</v>
      </c>
      <c r="AT158" s="230">
        <v>144000</v>
      </c>
      <c r="AU158" s="229">
        <v>6.9099999999999995E-2</v>
      </c>
      <c r="AV158" s="230">
        <v>2005200</v>
      </c>
      <c r="AW158" s="230">
        <v>1951200</v>
      </c>
      <c r="AX158" s="230">
        <v>54000</v>
      </c>
      <c r="AY158" s="229">
        <v>2.7699999999999999E-2</v>
      </c>
      <c r="AZ158" s="230">
        <v>194400</v>
      </c>
      <c r="BA158" s="230">
        <v>113400</v>
      </c>
      <c r="BB158" s="230">
        <v>81000</v>
      </c>
      <c r="BC158" s="229">
        <v>0.71430000000000005</v>
      </c>
      <c r="BD158" s="230">
        <v>27000</v>
      </c>
      <c r="BE158" s="230">
        <v>18000</v>
      </c>
      <c r="BF158" s="230">
        <v>9000</v>
      </c>
      <c r="BG158" s="229">
        <v>0.5</v>
      </c>
      <c r="BH158" s="230">
        <v>4656600</v>
      </c>
      <c r="BI158" s="230">
        <v>4181400</v>
      </c>
      <c r="BJ158" s="230">
        <v>475200</v>
      </c>
      <c r="BK158" s="229">
        <v>0.11360000000000001</v>
      </c>
      <c r="BL158" s="230">
        <v>1591200</v>
      </c>
      <c r="BM158" s="230">
        <v>1197000</v>
      </c>
      <c r="BN158" s="230">
        <v>394200</v>
      </c>
      <c r="BO158" s="229">
        <v>0.32929999999999998</v>
      </c>
      <c r="BP158" s="230">
        <v>8474400</v>
      </c>
      <c r="BQ158" s="230">
        <v>7461000</v>
      </c>
      <c r="BR158" s="230">
        <v>1013400</v>
      </c>
      <c r="BS158" s="229">
        <v>0.1358</v>
      </c>
      <c r="BT158" s="230">
        <v>1172741</v>
      </c>
      <c r="BU158" s="230">
        <v>1668389</v>
      </c>
      <c r="BV158" s="230">
        <v>-495648</v>
      </c>
      <c r="BW158" s="229">
        <v>-0.29709999999999998</v>
      </c>
      <c r="BX158" s="230">
        <v>42858000</v>
      </c>
      <c r="BY158" s="230">
        <v>42544800</v>
      </c>
      <c r="BZ158" s="230">
        <v>313200</v>
      </c>
      <c r="CA158" s="229">
        <v>7.4000000000000003E-3</v>
      </c>
      <c r="CB158" s="230">
        <v>41995800</v>
      </c>
      <c r="CC158" s="230">
        <v>41790600</v>
      </c>
      <c r="CD158" s="230">
        <v>205200</v>
      </c>
      <c r="CE158" s="229">
        <v>4.8999999999999998E-3</v>
      </c>
      <c r="CF158" s="230">
        <v>743400</v>
      </c>
      <c r="CG158" s="230">
        <v>655200</v>
      </c>
      <c r="CH158" s="230">
        <v>88200</v>
      </c>
      <c r="CI158" s="229">
        <v>0.1346</v>
      </c>
      <c r="CJ158" s="230">
        <v>118800</v>
      </c>
      <c r="CK158" s="230">
        <v>99000</v>
      </c>
      <c r="CL158" s="230">
        <v>19800</v>
      </c>
      <c r="CM158" s="229">
        <v>0.2</v>
      </c>
      <c r="CN158" s="230">
        <v>15220800</v>
      </c>
      <c r="CO158" s="230">
        <v>14860800</v>
      </c>
      <c r="CP158" s="230">
        <v>360000</v>
      </c>
      <c r="CQ158" s="229">
        <v>2.4199999999999999E-2</v>
      </c>
      <c r="CR158" s="230">
        <v>15424200</v>
      </c>
      <c r="CS158" s="230">
        <v>15352200</v>
      </c>
      <c r="CT158" s="230">
        <v>72000</v>
      </c>
      <c r="CU158" s="229">
        <v>4.7000000000000002E-3</v>
      </c>
      <c r="CV158" s="230">
        <v>73503000</v>
      </c>
      <c r="CW158" s="230">
        <v>72757800</v>
      </c>
      <c r="CX158" s="230">
        <v>745200</v>
      </c>
      <c r="CY158" s="229">
        <v>1.0200000000000001E-2</v>
      </c>
      <c r="CZ158" s="228">
        <v>23.74</v>
      </c>
      <c r="DA158" s="228">
        <v>24.14</v>
      </c>
      <c r="DB158" s="228">
        <v>-0.4</v>
      </c>
      <c r="DC158" s="228">
        <v>-0.4</v>
      </c>
      <c r="DD158" s="228">
        <v>33.14</v>
      </c>
      <c r="DE158" s="228">
        <v>33.21</v>
      </c>
      <c r="DF158" s="228">
        <v>-9.4</v>
      </c>
      <c r="DG158" s="228">
        <v>-7.0000000000000007E-2</v>
      </c>
      <c r="DH158" s="228">
        <v>23.33</v>
      </c>
      <c r="DI158" s="228">
        <v>23.86</v>
      </c>
      <c r="DJ158" s="228">
        <v>-0.53</v>
      </c>
      <c r="DK158" s="228">
        <v>-0.53</v>
      </c>
      <c r="DL158" s="228">
        <v>24.95</v>
      </c>
      <c r="DM158" s="228">
        <v>25.11</v>
      </c>
      <c r="DN158" s="228">
        <v>-0.16</v>
      </c>
      <c r="DO158" s="228">
        <v>-0.16</v>
      </c>
      <c r="DP158" s="228">
        <v>1.01</v>
      </c>
      <c r="DQ158" s="228">
        <v>1.03</v>
      </c>
      <c r="DR158" s="228">
        <v>-0.02</v>
      </c>
      <c r="DS158" s="229">
        <v>-1.9400000000000001E-2</v>
      </c>
      <c r="DT158" s="228">
        <v>300</v>
      </c>
      <c r="DU158" s="228">
        <v>270</v>
      </c>
      <c r="DV158" s="228">
        <v>0.34</v>
      </c>
      <c r="DW158" s="228">
        <v>0.28999999999999998</v>
      </c>
      <c r="DX158" s="228">
        <v>0.05</v>
      </c>
      <c r="DY158" s="229">
        <v>0.1724</v>
      </c>
      <c r="DZ158" s="229">
        <v>2.01E-2</v>
      </c>
      <c r="EA158" s="230">
        <v>754200</v>
      </c>
      <c r="EB158" s="229">
        <v>5.7000000000000002E-3</v>
      </c>
      <c r="EC158" s="229">
        <v>2.01E-2</v>
      </c>
      <c r="ED158" s="228">
        <v>1.88</v>
      </c>
      <c r="EE158" s="229">
        <v>6.6E-3</v>
      </c>
      <c r="EF158" s="230">
        <v>733394</v>
      </c>
      <c r="EG158" s="230">
        <v>1079947</v>
      </c>
      <c r="EH158" s="229">
        <v>-0.32090000000000002</v>
      </c>
      <c r="EI158" s="229">
        <v>0.62539999999999996</v>
      </c>
      <c r="EJ158" s="231">
        <v>13725.5</v>
      </c>
      <c r="EK158" s="231">
        <v>4451.29</v>
      </c>
      <c r="EL158" s="231">
        <v>6314.65</v>
      </c>
      <c r="EM158" s="231">
        <v>2405</v>
      </c>
      <c r="EN158" s="231">
        <v>24491.439999999999</v>
      </c>
      <c r="EO158" s="231">
        <v>21744.11</v>
      </c>
      <c r="EP158" s="231">
        <v>2747.33</v>
      </c>
      <c r="EQ158" s="229">
        <v>0.1263</v>
      </c>
      <c r="ER158" s="231">
        <v>44663</v>
      </c>
      <c r="ES158" s="231">
        <v>43324</v>
      </c>
      <c r="ET158" s="231">
        <v>121111</v>
      </c>
      <c r="EU158" s="231">
        <v>93668136</v>
      </c>
      <c r="EV158" s="231">
        <v>209098</v>
      </c>
      <c r="EW158" s="231">
        <v>207823</v>
      </c>
      <c r="EX158" s="231">
        <v>1275</v>
      </c>
      <c r="EY158" s="229">
        <v>6.1000000000000004E-3</v>
      </c>
      <c r="EZ158" s="229">
        <v>0.78469999999999995</v>
      </c>
      <c r="FA158" s="227" t="s">
        <v>567</v>
      </c>
      <c r="FB158" s="161">
        <f t="shared" si="3"/>
        <v>0</v>
      </c>
    </row>
    <row r="159" spans="1:158" ht="17.25" thickBot="1" x14ac:dyDescent="0.3">
      <c r="A159" s="226">
        <v>45940</v>
      </c>
      <c r="B159" s="227" t="s">
        <v>175</v>
      </c>
      <c r="C159" s="227" t="s">
        <v>273</v>
      </c>
      <c r="D159" s="228">
        <v>1300</v>
      </c>
      <c r="E159" s="228">
        <v>405.8</v>
      </c>
      <c r="F159" s="228">
        <v>403.6</v>
      </c>
      <c r="G159" s="228">
        <v>2.2000000000000002</v>
      </c>
      <c r="H159" s="229">
        <v>5.4999999999999997E-3</v>
      </c>
      <c r="I159" s="228">
        <v>403.85</v>
      </c>
      <c r="J159" s="228">
        <v>402.35</v>
      </c>
      <c r="K159" s="228">
        <v>1.5</v>
      </c>
      <c r="L159" s="229">
        <v>3.7000000000000002E-3</v>
      </c>
      <c r="M159" s="228">
        <v>405.8</v>
      </c>
      <c r="N159" s="228">
        <v>403.6</v>
      </c>
      <c r="O159" s="228">
        <v>2.2000000000000002</v>
      </c>
      <c r="P159" s="229">
        <v>5.4999999999999997E-3</v>
      </c>
      <c r="Q159" s="228">
        <v>405.35</v>
      </c>
      <c r="R159" s="228">
        <v>403.1</v>
      </c>
      <c r="S159" s="228">
        <v>2.25</v>
      </c>
      <c r="T159" s="229">
        <v>5.5999999999999999E-3</v>
      </c>
      <c r="U159" s="228">
        <v>407.25</v>
      </c>
      <c r="V159" s="228">
        <v>405.2</v>
      </c>
      <c r="W159" s="228">
        <v>2.0499999999999998</v>
      </c>
      <c r="X159" s="229">
        <v>5.1000000000000004E-3</v>
      </c>
      <c r="Y159" s="228">
        <v>1.95</v>
      </c>
      <c r="Z159" s="228">
        <v>1.25</v>
      </c>
      <c r="AA159" s="228">
        <v>0.7</v>
      </c>
      <c r="AB159" s="229">
        <v>4.7999999999999996E-3</v>
      </c>
      <c r="AC159" s="228">
        <v>1.95</v>
      </c>
      <c r="AD159" s="228">
        <v>1.25</v>
      </c>
      <c r="AE159" s="228">
        <v>0.7</v>
      </c>
      <c r="AF159" s="229">
        <v>4.7999999999999996E-3</v>
      </c>
      <c r="AG159" s="228">
        <v>1.5</v>
      </c>
      <c r="AH159" s="228">
        <v>0.75</v>
      </c>
      <c r="AI159" s="228">
        <v>0.75</v>
      </c>
      <c r="AJ159" s="229">
        <v>3.7000000000000002E-3</v>
      </c>
      <c r="AK159" s="228">
        <v>3.4</v>
      </c>
      <c r="AL159" s="228">
        <v>2.85</v>
      </c>
      <c r="AM159" s="228">
        <v>0.55000000000000004</v>
      </c>
      <c r="AN159" s="229">
        <v>8.3999999999999995E-3</v>
      </c>
      <c r="AO159" s="228">
        <v>407.49</v>
      </c>
      <c r="AP159" s="228">
        <v>406.92</v>
      </c>
      <c r="AQ159" s="228">
        <v>0</v>
      </c>
      <c r="AR159" s="230">
        <v>6650800</v>
      </c>
      <c r="AS159" s="230">
        <v>5716100</v>
      </c>
      <c r="AT159" s="230">
        <v>934700</v>
      </c>
      <c r="AU159" s="229">
        <v>0.16350000000000001</v>
      </c>
      <c r="AV159" s="230">
        <v>5704400</v>
      </c>
      <c r="AW159" s="230">
        <v>5154500</v>
      </c>
      <c r="AX159" s="230">
        <v>549900</v>
      </c>
      <c r="AY159" s="229">
        <v>0.1067</v>
      </c>
      <c r="AZ159" s="230">
        <v>852800</v>
      </c>
      <c r="BA159" s="230">
        <v>495300</v>
      </c>
      <c r="BB159" s="230">
        <v>357500</v>
      </c>
      <c r="BC159" s="229">
        <v>0.7218</v>
      </c>
      <c r="BD159" s="230">
        <v>93600</v>
      </c>
      <c r="BE159" s="230">
        <v>66300</v>
      </c>
      <c r="BF159" s="230">
        <v>27300</v>
      </c>
      <c r="BG159" s="229">
        <v>0.4118</v>
      </c>
      <c r="BH159" s="230">
        <v>17078100</v>
      </c>
      <c r="BI159" s="230">
        <v>15720900</v>
      </c>
      <c r="BJ159" s="230">
        <v>1357200</v>
      </c>
      <c r="BK159" s="229">
        <v>8.6300000000000002E-2</v>
      </c>
      <c r="BL159" s="230">
        <v>10349300</v>
      </c>
      <c r="BM159" s="230">
        <v>8091200</v>
      </c>
      <c r="BN159" s="230">
        <v>2258100</v>
      </c>
      <c r="BO159" s="229">
        <v>0.27910000000000001</v>
      </c>
      <c r="BP159" s="230">
        <v>34078200</v>
      </c>
      <c r="BQ159" s="230">
        <v>29528200</v>
      </c>
      <c r="BR159" s="230">
        <v>4550000</v>
      </c>
      <c r="BS159" s="229">
        <v>0.15409999999999999</v>
      </c>
      <c r="BT159" s="230">
        <v>2394931</v>
      </c>
      <c r="BU159" s="230">
        <v>2748451</v>
      </c>
      <c r="BV159" s="230">
        <v>-353520</v>
      </c>
      <c r="BW159" s="229">
        <v>-0.12859999999999999</v>
      </c>
      <c r="BX159" s="230">
        <v>54490800</v>
      </c>
      <c r="BY159" s="230">
        <v>54706600</v>
      </c>
      <c r="BZ159" s="230">
        <v>-215800</v>
      </c>
      <c r="CA159" s="229">
        <v>-3.8999999999999998E-3</v>
      </c>
      <c r="CB159" s="230">
        <v>50187800</v>
      </c>
      <c r="CC159" s="230">
        <v>50341200</v>
      </c>
      <c r="CD159" s="230">
        <v>-153400</v>
      </c>
      <c r="CE159" s="229">
        <v>-3.0000000000000001E-3</v>
      </c>
      <c r="CF159" s="230">
        <v>4052100</v>
      </c>
      <c r="CG159" s="230">
        <v>4115800</v>
      </c>
      <c r="CH159" s="230">
        <v>-63700</v>
      </c>
      <c r="CI159" s="229">
        <v>-1.55E-2</v>
      </c>
      <c r="CJ159" s="230">
        <v>250900</v>
      </c>
      <c r="CK159" s="230">
        <v>249600</v>
      </c>
      <c r="CL159" s="230">
        <v>1300</v>
      </c>
      <c r="CM159" s="229">
        <v>5.1999999999999998E-3</v>
      </c>
      <c r="CN159" s="230">
        <v>23280400</v>
      </c>
      <c r="CO159" s="230">
        <v>23986300</v>
      </c>
      <c r="CP159" s="230">
        <v>-705900</v>
      </c>
      <c r="CQ159" s="229">
        <v>-2.9399999999999999E-2</v>
      </c>
      <c r="CR159" s="230">
        <v>17724200</v>
      </c>
      <c r="CS159" s="230">
        <v>18025800</v>
      </c>
      <c r="CT159" s="230">
        <v>-301600</v>
      </c>
      <c r="CU159" s="229">
        <v>-1.67E-2</v>
      </c>
      <c r="CV159" s="230">
        <v>95495400</v>
      </c>
      <c r="CW159" s="230">
        <v>96718700</v>
      </c>
      <c r="CX159" s="230">
        <v>-1223300</v>
      </c>
      <c r="CY159" s="229">
        <v>-1.26E-2</v>
      </c>
      <c r="CZ159" s="228">
        <v>23.65</v>
      </c>
      <c r="DA159" s="228">
        <v>24.92</v>
      </c>
      <c r="DB159" s="228">
        <v>-1.27</v>
      </c>
      <c r="DC159" s="228">
        <v>-1.27</v>
      </c>
      <c r="DD159" s="228">
        <v>44.88</v>
      </c>
      <c r="DE159" s="228">
        <v>44.99</v>
      </c>
      <c r="DF159" s="228">
        <v>-21.23</v>
      </c>
      <c r="DG159" s="228">
        <v>-0.11</v>
      </c>
      <c r="DH159" s="228">
        <v>23.95</v>
      </c>
      <c r="DI159" s="228">
        <v>25.08</v>
      </c>
      <c r="DJ159" s="228">
        <v>-1.1299999999999999</v>
      </c>
      <c r="DK159" s="228">
        <v>-1.1299999999999999</v>
      </c>
      <c r="DL159" s="228">
        <v>23.16</v>
      </c>
      <c r="DM159" s="228">
        <v>24.59</v>
      </c>
      <c r="DN159" s="228">
        <v>-1.43</v>
      </c>
      <c r="DO159" s="228">
        <v>-1.43</v>
      </c>
      <c r="DP159" s="228">
        <v>0.76</v>
      </c>
      <c r="DQ159" s="228">
        <v>0.75</v>
      </c>
      <c r="DR159" s="228">
        <v>0.01</v>
      </c>
      <c r="DS159" s="229">
        <v>1.3299999999999999E-2</v>
      </c>
      <c r="DT159" s="228">
        <v>410</v>
      </c>
      <c r="DU159" s="228">
        <v>410</v>
      </c>
      <c r="DV159" s="228">
        <v>0.61</v>
      </c>
      <c r="DW159" s="228">
        <v>0.51</v>
      </c>
      <c r="DX159" s="228">
        <v>0.1</v>
      </c>
      <c r="DY159" s="229">
        <v>0.1961</v>
      </c>
      <c r="DZ159" s="229">
        <v>7.9000000000000001E-2</v>
      </c>
      <c r="EA159" s="230">
        <v>4365400</v>
      </c>
      <c r="EB159" s="229">
        <v>-1.1000000000000001E-3</v>
      </c>
      <c r="EC159" s="229">
        <v>7.9000000000000001E-2</v>
      </c>
      <c r="ED159" s="228">
        <v>-0.56999999999999995</v>
      </c>
      <c r="EE159" s="229">
        <v>-1.4E-3</v>
      </c>
      <c r="EF159" s="230">
        <v>1215126</v>
      </c>
      <c r="EG159" s="230">
        <v>1462987</v>
      </c>
      <c r="EH159" s="229">
        <v>-0.1694</v>
      </c>
      <c r="EI159" s="229">
        <v>0.50739999999999996</v>
      </c>
      <c r="EJ159" s="231">
        <v>72030.740000000005</v>
      </c>
      <c r="EK159" s="231">
        <v>42140.1</v>
      </c>
      <c r="EL159" s="231">
        <v>27097.759999999998</v>
      </c>
      <c r="EM159" s="231">
        <v>5535</v>
      </c>
      <c r="EN159" s="231">
        <v>141268.6</v>
      </c>
      <c r="EO159" s="231">
        <v>121934.18</v>
      </c>
      <c r="EP159" s="231">
        <v>19334.419999999998</v>
      </c>
      <c r="EQ159" s="229">
        <v>0.15859999999999999</v>
      </c>
      <c r="ER159" s="231">
        <v>98377</v>
      </c>
      <c r="ES159" s="231">
        <v>71633</v>
      </c>
      <c r="ET159" s="231">
        <v>221109</v>
      </c>
      <c r="EU159" s="231">
        <v>203602113</v>
      </c>
      <c r="EV159" s="231">
        <v>391119</v>
      </c>
      <c r="EW159" s="231">
        <v>394838</v>
      </c>
      <c r="EX159" s="231">
        <v>-3719</v>
      </c>
      <c r="EY159" s="229">
        <v>-9.4000000000000004E-3</v>
      </c>
      <c r="EZ159" s="229">
        <v>0.46899999999999997</v>
      </c>
      <c r="FA159" s="227" t="s">
        <v>556</v>
      </c>
      <c r="FB159" s="161">
        <f t="shared" si="3"/>
        <v>0</v>
      </c>
    </row>
    <row r="160" spans="1:158" ht="17.25" thickBot="1" x14ac:dyDescent="0.3">
      <c r="A160" s="226">
        <v>45940</v>
      </c>
      <c r="B160" s="227" t="s">
        <v>184</v>
      </c>
      <c r="C160" s="227" t="s">
        <v>682</v>
      </c>
      <c r="D160" s="228">
        <v>700</v>
      </c>
      <c r="E160" s="228">
        <v>589.25</v>
      </c>
      <c r="F160" s="228">
        <v>557.65</v>
      </c>
      <c r="G160" s="228">
        <v>31.6</v>
      </c>
      <c r="H160" s="229">
        <v>5.67E-2</v>
      </c>
      <c r="I160" s="228">
        <v>585.95000000000005</v>
      </c>
      <c r="J160" s="228">
        <v>553.15</v>
      </c>
      <c r="K160" s="228">
        <v>32.799999999999997</v>
      </c>
      <c r="L160" s="229">
        <v>5.9299999999999999E-2</v>
      </c>
      <c r="M160" s="228">
        <v>589.25</v>
      </c>
      <c r="N160" s="228">
        <v>557.65</v>
      </c>
      <c r="O160" s="228">
        <v>31.6</v>
      </c>
      <c r="P160" s="229">
        <v>5.67E-2</v>
      </c>
      <c r="Q160" s="228">
        <v>591.35</v>
      </c>
      <c r="R160" s="228">
        <v>560.1</v>
      </c>
      <c r="S160" s="228">
        <v>31.25</v>
      </c>
      <c r="T160" s="229">
        <v>5.5800000000000002E-2</v>
      </c>
      <c r="U160" s="228">
        <v>594.70000000000005</v>
      </c>
      <c r="V160" s="228">
        <v>561.29999999999995</v>
      </c>
      <c r="W160" s="228">
        <v>33.4</v>
      </c>
      <c r="X160" s="229">
        <v>5.9499999999999997E-2</v>
      </c>
      <c r="Y160" s="228">
        <v>3.3</v>
      </c>
      <c r="Z160" s="228">
        <v>4.5</v>
      </c>
      <c r="AA160" s="228">
        <v>-1.2</v>
      </c>
      <c r="AB160" s="229">
        <v>5.5999999999999999E-3</v>
      </c>
      <c r="AC160" s="228">
        <v>3.3</v>
      </c>
      <c r="AD160" s="228">
        <v>4.5</v>
      </c>
      <c r="AE160" s="228">
        <v>-1.2</v>
      </c>
      <c r="AF160" s="229">
        <v>5.5999999999999999E-3</v>
      </c>
      <c r="AG160" s="228">
        <v>5.4</v>
      </c>
      <c r="AH160" s="228">
        <v>6.95</v>
      </c>
      <c r="AI160" s="228">
        <v>-1.55</v>
      </c>
      <c r="AJ160" s="229">
        <v>9.1999999999999998E-3</v>
      </c>
      <c r="AK160" s="228">
        <v>8.75</v>
      </c>
      <c r="AL160" s="228">
        <v>8.15</v>
      </c>
      <c r="AM160" s="228">
        <v>0.6</v>
      </c>
      <c r="AN160" s="229">
        <v>1.49E-2</v>
      </c>
      <c r="AO160" s="228">
        <v>581.15</v>
      </c>
      <c r="AP160" s="228">
        <v>581.74</v>
      </c>
      <c r="AQ160" s="228">
        <v>0</v>
      </c>
      <c r="AR160" s="230">
        <v>8724100</v>
      </c>
      <c r="AS160" s="230">
        <v>9684500</v>
      </c>
      <c r="AT160" s="230">
        <v>-960400</v>
      </c>
      <c r="AU160" s="229">
        <v>-9.9199999999999997E-2</v>
      </c>
      <c r="AV160" s="230">
        <v>8101100</v>
      </c>
      <c r="AW160" s="230">
        <v>9139200</v>
      </c>
      <c r="AX160" s="230">
        <v>-1038100</v>
      </c>
      <c r="AY160" s="229">
        <v>-0.11360000000000001</v>
      </c>
      <c r="AZ160" s="230">
        <v>569800</v>
      </c>
      <c r="BA160" s="230">
        <v>493500</v>
      </c>
      <c r="BB160" s="230">
        <v>76300</v>
      </c>
      <c r="BC160" s="229">
        <v>0.15459999999999999</v>
      </c>
      <c r="BD160" s="230">
        <v>53200</v>
      </c>
      <c r="BE160" s="230">
        <v>51800</v>
      </c>
      <c r="BF160" s="230">
        <v>1400</v>
      </c>
      <c r="BG160" s="229">
        <v>2.7E-2</v>
      </c>
      <c r="BH160" s="230">
        <v>49247800</v>
      </c>
      <c r="BI160" s="230">
        <v>48708100</v>
      </c>
      <c r="BJ160" s="230">
        <v>539700</v>
      </c>
      <c r="BK160" s="229">
        <v>1.11E-2</v>
      </c>
      <c r="BL160" s="230">
        <v>18236400</v>
      </c>
      <c r="BM160" s="230">
        <v>15990800</v>
      </c>
      <c r="BN160" s="230">
        <v>2245600</v>
      </c>
      <c r="BO160" s="229">
        <v>0.1404</v>
      </c>
      <c r="BP160" s="230">
        <v>76208300</v>
      </c>
      <c r="BQ160" s="230">
        <v>74383400</v>
      </c>
      <c r="BR160" s="230">
        <v>1824900</v>
      </c>
      <c r="BS160" s="229">
        <v>2.4500000000000001E-2</v>
      </c>
      <c r="BT160" s="230">
        <v>14653163</v>
      </c>
      <c r="BU160" s="230">
        <v>19981094</v>
      </c>
      <c r="BV160" s="230">
        <v>-5327931</v>
      </c>
      <c r="BW160" s="229">
        <v>-0.2666</v>
      </c>
      <c r="BX160" s="230">
        <v>11169200</v>
      </c>
      <c r="BY160" s="230">
        <v>9440200</v>
      </c>
      <c r="BZ160" s="230">
        <v>1729000</v>
      </c>
      <c r="CA160" s="229">
        <v>0.1832</v>
      </c>
      <c r="CB160" s="230">
        <v>10821300</v>
      </c>
      <c r="CC160" s="230">
        <v>9078300</v>
      </c>
      <c r="CD160" s="230">
        <v>1743000</v>
      </c>
      <c r="CE160" s="229">
        <v>0.192</v>
      </c>
      <c r="CF160" s="230">
        <v>293300</v>
      </c>
      <c r="CG160" s="230">
        <v>318500</v>
      </c>
      <c r="CH160" s="230">
        <v>-25200</v>
      </c>
      <c r="CI160" s="229">
        <v>-7.9100000000000004E-2</v>
      </c>
      <c r="CJ160" s="230">
        <v>54600</v>
      </c>
      <c r="CK160" s="230">
        <v>43400</v>
      </c>
      <c r="CL160" s="230">
        <v>11200</v>
      </c>
      <c r="CM160" s="229">
        <v>0.2581</v>
      </c>
      <c r="CN160" s="230">
        <v>6788600</v>
      </c>
      <c r="CO160" s="230">
        <v>5768700</v>
      </c>
      <c r="CP160" s="230">
        <v>1019900</v>
      </c>
      <c r="CQ160" s="229">
        <v>0.17680000000000001</v>
      </c>
      <c r="CR160" s="230">
        <v>6246100</v>
      </c>
      <c r="CS160" s="230">
        <v>3845800</v>
      </c>
      <c r="CT160" s="230">
        <v>2400300</v>
      </c>
      <c r="CU160" s="229">
        <v>0.62409999999999999</v>
      </c>
      <c r="CV160" s="230">
        <v>24203900</v>
      </c>
      <c r="CW160" s="230">
        <v>19054700</v>
      </c>
      <c r="CX160" s="230">
        <v>5149200</v>
      </c>
      <c r="CY160" s="229">
        <v>0.2702</v>
      </c>
      <c r="CZ160" s="228">
        <v>42.24</v>
      </c>
      <c r="DA160" s="228">
        <v>41.59</v>
      </c>
      <c r="DB160" s="228">
        <v>0.65</v>
      </c>
      <c r="DC160" s="228">
        <v>0.65</v>
      </c>
      <c r="DD160" s="228">
        <v>70.53</v>
      </c>
      <c r="DE160" s="228">
        <v>70.31</v>
      </c>
      <c r="DF160" s="228">
        <v>-28.29</v>
      </c>
      <c r="DG160" s="228">
        <v>0.22</v>
      </c>
      <c r="DH160" s="228">
        <v>41.8</v>
      </c>
      <c r="DI160" s="228">
        <v>41.16</v>
      </c>
      <c r="DJ160" s="228">
        <v>0.64</v>
      </c>
      <c r="DK160" s="228">
        <v>0.64</v>
      </c>
      <c r="DL160" s="228">
        <v>43.44</v>
      </c>
      <c r="DM160" s="228">
        <v>42.89</v>
      </c>
      <c r="DN160" s="228">
        <v>0.55000000000000004</v>
      </c>
      <c r="DO160" s="228">
        <v>0.55000000000000004</v>
      </c>
      <c r="DP160" s="228">
        <v>0.92</v>
      </c>
      <c r="DQ160" s="228">
        <v>0.67</v>
      </c>
      <c r="DR160" s="228">
        <v>0.25</v>
      </c>
      <c r="DS160" s="229">
        <v>0.37309999999999999</v>
      </c>
      <c r="DT160" s="228">
        <v>600</v>
      </c>
      <c r="DU160" s="228">
        <v>500</v>
      </c>
      <c r="DV160" s="228">
        <v>0.37</v>
      </c>
      <c r="DW160" s="228">
        <v>0.33</v>
      </c>
      <c r="DX160" s="228">
        <v>0.04</v>
      </c>
      <c r="DY160" s="229">
        <v>0.1212</v>
      </c>
      <c r="DZ160" s="229">
        <v>3.1099999999999999E-2</v>
      </c>
      <c r="EA160" s="230">
        <v>361900</v>
      </c>
      <c r="EB160" s="229">
        <v>3.5999999999999999E-3</v>
      </c>
      <c r="EC160" s="229">
        <v>3.1099999999999999E-2</v>
      </c>
      <c r="ED160" s="228">
        <v>0.59</v>
      </c>
      <c r="EE160" s="229">
        <v>1E-3</v>
      </c>
      <c r="EF160" s="230">
        <v>2486474</v>
      </c>
      <c r="EG160" s="230">
        <v>2905469</v>
      </c>
      <c r="EH160" s="229">
        <v>-0.14419999999999999</v>
      </c>
      <c r="EI160" s="229">
        <v>0.16969999999999999</v>
      </c>
      <c r="EJ160" s="231">
        <v>301783.8</v>
      </c>
      <c r="EK160" s="231">
        <v>102285.07</v>
      </c>
      <c r="EL160" s="231">
        <v>50705.74</v>
      </c>
      <c r="EM160" s="231">
        <v>5116</v>
      </c>
      <c r="EN160" s="231">
        <v>454774.61</v>
      </c>
      <c r="EO160" s="231">
        <v>421596.42</v>
      </c>
      <c r="EP160" s="231">
        <v>33178.19</v>
      </c>
      <c r="EQ160" s="229">
        <v>7.8700000000000006E-2</v>
      </c>
      <c r="ER160" s="231">
        <v>40216</v>
      </c>
      <c r="ES160" s="231">
        <v>33075</v>
      </c>
      <c r="ET160" s="231">
        <v>65824</v>
      </c>
      <c r="EU160" s="231">
        <v>23897684</v>
      </c>
      <c r="EV160" s="231">
        <v>139114</v>
      </c>
      <c r="EW160" s="231">
        <v>105165</v>
      </c>
      <c r="EX160" s="231">
        <v>33949</v>
      </c>
      <c r="EY160" s="229">
        <v>0.32279999999999998</v>
      </c>
      <c r="EZ160" s="229">
        <v>1.0127999999999999</v>
      </c>
      <c r="FA160" s="227" t="s">
        <v>555</v>
      </c>
      <c r="FB160" s="161">
        <f t="shared" si="3"/>
        <v>0</v>
      </c>
    </row>
    <row r="161" spans="1:158" ht="17.25" thickBot="1" x14ac:dyDescent="0.3">
      <c r="A161" s="226">
        <v>45940</v>
      </c>
      <c r="B161" s="227" t="s">
        <v>206</v>
      </c>
      <c r="C161" s="227" t="s">
        <v>646</v>
      </c>
      <c r="D161" s="228">
        <v>350</v>
      </c>
      <c r="E161" s="231">
        <v>1602.9</v>
      </c>
      <c r="F161" s="231">
        <v>1601.6</v>
      </c>
      <c r="G161" s="228">
        <v>1.3</v>
      </c>
      <c r="H161" s="229">
        <v>8.0000000000000004E-4</v>
      </c>
      <c r="I161" s="231">
        <v>1597.8</v>
      </c>
      <c r="J161" s="231">
        <v>1593.8</v>
      </c>
      <c r="K161" s="228">
        <v>4</v>
      </c>
      <c r="L161" s="229">
        <v>2.5000000000000001E-3</v>
      </c>
      <c r="M161" s="231">
        <v>1602.9</v>
      </c>
      <c r="N161" s="231">
        <v>1601.6</v>
      </c>
      <c r="O161" s="228">
        <v>1.3</v>
      </c>
      <c r="P161" s="229">
        <v>8.0000000000000004E-4</v>
      </c>
      <c r="Q161" s="231">
        <v>1610.6</v>
      </c>
      <c r="R161" s="231">
        <v>1610.8</v>
      </c>
      <c r="S161" s="228">
        <v>-0.2</v>
      </c>
      <c r="T161" s="229">
        <v>-1E-4</v>
      </c>
      <c r="U161" s="231">
        <v>1619</v>
      </c>
      <c r="V161" s="231">
        <v>1620.5</v>
      </c>
      <c r="W161" s="228">
        <v>-1.5</v>
      </c>
      <c r="X161" s="229">
        <v>-8.9999999999999998E-4</v>
      </c>
      <c r="Y161" s="228">
        <v>5.0999999999999996</v>
      </c>
      <c r="Z161" s="228">
        <v>7.8</v>
      </c>
      <c r="AA161" s="228">
        <v>-2.7</v>
      </c>
      <c r="AB161" s="229">
        <v>3.2000000000000002E-3</v>
      </c>
      <c r="AC161" s="228">
        <v>5.0999999999999996</v>
      </c>
      <c r="AD161" s="228">
        <v>7.8</v>
      </c>
      <c r="AE161" s="228">
        <v>-2.7</v>
      </c>
      <c r="AF161" s="229">
        <v>3.2000000000000002E-3</v>
      </c>
      <c r="AG161" s="228">
        <v>12.8</v>
      </c>
      <c r="AH161" s="228">
        <v>17</v>
      </c>
      <c r="AI161" s="228">
        <v>-4.2</v>
      </c>
      <c r="AJ161" s="229">
        <v>8.0000000000000002E-3</v>
      </c>
      <c r="AK161" s="228">
        <v>21.2</v>
      </c>
      <c r="AL161" s="228">
        <v>26.7</v>
      </c>
      <c r="AM161" s="228">
        <v>-5.5</v>
      </c>
      <c r="AN161" s="229">
        <v>1.3299999999999999E-2</v>
      </c>
      <c r="AO161" s="231">
        <v>1614.2</v>
      </c>
      <c r="AP161" s="231">
        <v>1620.1</v>
      </c>
      <c r="AQ161" s="228">
        <v>0</v>
      </c>
      <c r="AR161" s="230">
        <v>439950</v>
      </c>
      <c r="AS161" s="230">
        <v>484050</v>
      </c>
      <c r="AT161" s="230">
        <v>-44100</v>
      </c>
      <c r="AU161" s="229">
        <v>-9.11E-2</v>
      </c>
      <c r="AV161" s="230">
        <v>419300</v>
      </c>
      <c r="AW161" s="230">
        <v>397250</v>
      </c>
      <c r="AX161" s="230">
        <v>22050</v>
      </c>
      <c r="AY161" s="229">
        <v>5.5500000000000001E-2</v>
      </c>
      <c r="AZ161" s="230">
        <v>20300</v>
      </c>
      <c r="BA161" s="230">
        <v>81550</v>
      </c>
      <c r="BB161" s="230">
        <v>-61250</v>
      </c>
      <c r="BC161" s="229">
        <v>-0.75109999999999999</v>
      </c>
      <c r="BD161" s="228">
        <v>350</v>
      </c>
      <c r="BE161" s="230">
        <v>5250</v>
      </c>
      <c r="BF161" s="230">
        <v>-4900</v>
      </c>
      <c r="BG161" s="229">
        <v>-0.93330000000000002</v>
      </c>
      <c r="BH161" s="230">
        <v>1109500</v>
      </c>
      <c r="BI161" s="230">
        <v>644350</v>
      </c>
      <c r="BJ161" s="230">
        <v>465150</v>
      </c>
      <c r="BK161" s="229">
        <v>0.72189999999999999</v>
      </c>
      <c r="BL161" s="230">
        <v>603400</v>
      </c>
      <c r="BM161" s="230">
        <v>252700</v>
      </c>
      <c r="BN161" s="230">
        <v>350700</v>
      </c>
      <c r="BO161" s="229">
        <v>1.3877999999999999</v>
      </c>
      <c r="BP161" s="230">
        <v>2152850</v>
      </c>
      <c r="BQ161" s="230">
        <v>1381100</v>
      </c>
      <c r="BR161" s="230">
        <v>771750</v>
      </c>
      <c r="BS161" s="229">
        <v>0.55879999999999996</v>
      </c>
      <c r="BT161" s="230">
        <v>278884</v>
      </c>
      <c r="BU161" s="230">
        <v>278956</v>
      </c>
      <c r="BV161" s="228">
        <v>-72</v>
      </c>
      <c r="BW161" s="229">
        <v>-2.9999999999999997E-4</v>
      </c>
      <c r="BX161" s="230">
        <v>4120200</v>
      </c>
      <c r="BY161" s="230">
        <v>4159750</v>
      </c>
      <c r="BZ161" s="230">
        <v>-39550</v>
      </c>
      <c r="CA161" s="229">
        <v>-9.4999999999999998E-3</v>
      </c>
      <c r="CB161" s="230">
        <v>4043550</v>
      </c>
      <c r="CC161" s="230">
        <v>4086250</v>
      </c>
      <c r="CD161" s="230">
        <v>-42700</v>
      </c>
      <c r="CE161" s="229">
        <v>-1.04E-2</v>
      </c>
      <c r="CF161" s="230">
        <v>71050</v>
      </c>
      <c r="CG161" s="230">
        <v>68250</v>
      </c>
      <c r="CH161" s="230">
        <v>2800</v>
      </c>
      <c r="CI161" s="229">
        <v>4.1000000000000002E-2</v>
      </c>
      <c r="CJ161" s="230">
        <v>5600</v>
      </c>
      <c r="CK161" s="230">
        <v>5250</v>
      </c>
      <c r="CL161" s="228">
        <v>350</v>
      </c>
      <c r="CM161" s="229">
        <v>6.6699999999999995E-2</v>
      </c>
      <c r="CN161" s="230">
        <v>816200</v>
      </c>
      <c r="CO161" s="230">
        <v>805000</v>
      </c>
      <c r="CP161" s="230">
        <v>11200</v>
      </c>
      <c r="CQ161" s="229">
        <v>1.3899999999999999E-2</v>
      </c>
      <c r="CR161" s="230">
        <v>514150</v>
      </c>
      <c r="CS161" s="230">
        <v>469700</v>
      </c>
      <c r="CT161" s="230">
        <v>44450</v>
      </c>
      <c r="CU161" s="229">
        <v>9.4600000000000004E-2</v>
      </c>
      <c r="CV161" s="230">
        <v>5450550</v>
      </c>
      <c r="CW161" s="230">
        <v>5434450</v>
      </c>
      <c r="CX161" s="230">
        <v>16100</v>
      </c>
      <c r="CY161" s="229">
        <v>3.0000000000000001E-3</v>
      </c>
      <c r="CZ161" s="228">
        <v>29.13</v>
      </c>
      <c r="DA161" s="228">
        <v>31.27</v>
      </c>
      <c r="DB161" s="228">
        <v>-2.14</v>
      </c>
      <c r="DC161" s="228">
        <v>-2.14</v>
      </c>
      <c r="DD161" s="228">
        <v>44.68</v>
      </c>
      <c r="DE161" s="228">
        <v>44.79</v>
      </c>
      <c r="DF161" s="228">
        <v>-15.55</v>
      </c>
      <c r="DG161" s="228">
        <v>-0.11</v>
      </c>
      <c r="DH161" s="228">
        <v>29.11</v>
      </c>
      <c r="DI161" s="228">
        <v>31.15</v>
      </c>
      <c r="DJ161" s="228">
        <v>-2.04</v>
      </c>
      <c r="DK161" s="228">
        <v>-2.04</v>
      </c>
      <c r="DL161" s="228">
        <v>29.16</v>
      </c>
      <c r="DM161" s="228">
        <v>31.56</v>
      </c>
      <c r="DN161" s="228">
        <v>-2.4</v>
      </c>
      <c r="DO161" s="228">
        <v>-2.4</v>
      </c>
      <c r="DP161" s="228">
        <v>0.63</v>
      </c>
      <c r="DQ161" s="228">
        <v>0.57999999999999996</v>
      </c>
      <c r="DR161" s="228">
        <v>0.05</v>
      </c>
      <c r="DS161" s="229">
        <v>8.6199999999999999E-2</v>
      </c>
      <c r="DT161" s="231">
        <v>1600</v>
      </c>
      <c r="DU161" s="231">
        <v>1500</v>
      </c>
      <c r="DV161" s="228">
        <v>0.54</v>
      </c>
      <c r="DW161" s="228">
        <v>0.39</v>
      </c>
      <c r="DX161" s="228">
        <v>0.15</v>
      </c>
      <c r="DY161" s="229">
        <v>0.3846</v>
      </c>
      <c r="DZ161" s="229">
        <v>1.8599999999999998E-2</v>
      </c>
      <c r="EA161" s="230">
        <v>73500</v>
      </c>
      <c r="EB161" s="229">
        <v>4.7999999999999996E-3</v>
      </c>
      <c r="EC161" s="229">
        <v>1.8599999999999998E-2</v>
      </c>
      <c r="ED161" s="228">
        <v>5.9</v>
      </c>
      <c r="EE161" s="229">
        <v>3.7000000000000002E-3</v>
      </c>
      <c r="EF161" s="230">
        <v>133605</v>
      </c>
      <c r="EG161" s="230">
        <v>151303</v>
      </c>
      <c r="EH161" s="229">
        <v>-0.11700000000000001</v>
      </c>
      <c r="EI161" s="229">
        <v>0.47910000000000003</v>
      </c>
      <c r="EJ161" s="231">
        <v>18601.150000000001</v>
      </c>
      <c r="EK161" s="231">
        <v>9605.2000000000007</v>
      </c>
      <c r="EL161" s="231">
        <v>7102.89</v>
      </c>
      <c r="EM161" s="231">
        <v>1264</v>
      </c>
      <c r="EN161" s="231">
        <v>35309.24</v>
      </c>
      <c r="EO161" s="231">
        <v>22590.04</v>
      </c>
      <c r="EP161" s="231">
        <v>12719.2</v>
      </c>
      <c r="EQ161" s="229">
        <v>0.56299999999999994</v>
      </c>
      <c r="ER161" s="231">
        <v>13503</v>
      </c>
      <c r="ES161" s="231">
        <v>7925</v>
      </c>
      <c r="ET161" s="231">
        <v>66049</v>
      </c>
      <c r="EU161" s="231">
        <v>28283155</v>
      </c>
      <c r="EV161" s="231">
        <v>87478</v>
      </c>
      <c r="EW161" s="231">
        <v>87187</v>
      </c>
      <c r="EX161" s="228">
        <v>291</v>
      </c>
      <c r="EY161" s="229">
        <v>3.3E-3</v>
      </c>
      <c r="EZ161" s="229">
        <v>0.19270000000000001</v>
      </c>
      <c r="FA161" s="227" t="s">
        <v>556</v>
      </c>
      <c r="FB161" s="161">
        <f t="shared" si="3"/>
        <v>0</v>
      </c>
    </row>
    <row r="162" spans="1:158" ht="17.25" thickBot="1" x14ac:dyDescent="0.3">
      <c r="A162" s="226">
        <v>45940</v>
      </c>
      <c r="B162" s="227" t="s">
        <v>168</v>
      </c>
      <c r="C162" s="227" t="s">
        <v>274</v>
      </c>
      <c r="D162" s="228">
        <v>500</v>
      </c>
      <c r="E162" s="231">
        <v>1514.9</v>
      </c>
      <c r="F162" s="231">
        <v>1517.7</v>
      </c>
      <c r="G162" s="228">
        <v>-2.8</v>
      </c>
      <c r="H162" s="229">
        <v>-1.8E-3</v>
      </c>
      <c r="I162" s="231">
        <v>1510.6</v>
      </c>
      <c r="J162" s="231">
        <v>1510.4</v>
      </c>
      <c r="K162" s="228">
        <v>0.2</v>
      </c>
      <c r="L162" s="229">
        <v>1E-4</v>
      </c>
      <c r="M162" s="231">
        <v>1514.9</v>
      </c>
      <c r="N162" s="231">
        <v>1517.7</v>
      </c>
      <c r="O162" s="228">
        <v>-2.8</v>
      </c>
      <c r="P162" s="229">
        <v>-1.8E-3</v>
      </c>
      <c r="Q162" s="231">
        <v>1521.6</v>
      </c>
      <c r="R162" s="231">
        <v>1525.6</v>
      </c>
      <c r="S162" s="228">
        <v>-4</v>
      </c>
      <c r="T162" s="229">
        <v>-2.5999999999999999E-3</v>
      </c>
      <c r="U162" s="231">
        <v>1530.2</v>
      </c>
      <c r="V162" s="231">
        <v>1532</v>
      </c>
      <c r="W162" s="228">
        <v>-1.8</v>
      </c>
      <c r="X162" s="229">
        <v>-1.1999999999999999E-3</v>
      </c>
      <c r="Y162" s="228">
        <v>4.3</v>
      </c>
      <c r="Z162" s="228">
        <v>7.3</v>
      </c>
      <c r="AA162" s="228">
        <v>-3</v>
      </c>
      <c r="AB162" s="229">
        <v>2.8E-3</v>
      </c>
      <c r="AC162" s="228">
        <v>4.3</v>
      </c>
      <c r="AD162" s="228">
        <v>7.3</v>
      </c>
      <c r="AE162" s="228">
        <v>-3</v>
      </c>
      <c r="AF162" s="229">
        <v>2.8E-3</v>
      </c>
      <c r="AG162" s="228">
        <v>11</v>
      </c>
      <c r="AH162" s="228">
        <v>15.2</v>
      </c>
      <c r="AI162" s="228">
        <v>-4.2</v>
      </c>
      <c r="AJ162" s="229">
        <v>7.3000000000000001E-3</v>
      </c>
      <c r="AK162" s="228">
        <v>19.600000000000001</v>
      </c>
      <c r="AL162" s="228">
        <v>21.6</v>
      </c>
      <c r="AM162" s="228">
        <v>-2</v>
      </c>
      <c r="AN162" s="229">
        <v>1.2999999999999999E-2</v>
      </c>
      <c r="AO162" s="231">
        <v>1518.61</v>
      </c>
      <c r="AP162" s="231">
        <v>1525.88</v>
      </c>
      <c r="AQ162" s="228">
        <v>0</v>
      </c>
      <c r="AR162" s="230">
        <v>906000</v>
      </c>
      <c r="AS162" s="230">
        <v>1480000</v>
      </c>
      <c r="AT162" s="230">
        <v>-574000</v>
      </c>
      <c r="AU162" s="229">
        <v>-0.38779999999999998</v>
      </c>
      <c r="AV162" s="230">
        <v>880000</v>
      </c>
      <c r="AW162" s="230">
        <v>1447000</v>
      </c>
      <c r="AX162" s="230">
        <v>-567000</v>
      </c>
      <c r="AY162" s="229">
        <v>-0.39179999999999998</v>
      </c>
      <c r="AZ162" s="230">
        <v>25000</v>
      </c>
      <c r="BA162" s="230">
        <v>32000</v>
      </c>
      <c r="BB162" s="230">
        <v>-7000</v>
      </c>
      <c r="BC162" s="229">
        <v>-0.21879999999999999</v>
      </c>
      <c r="BD162" s="230">
        <v>1000</v>
      </c>
      <c r="BE162" s="230">
        <v>1000</v>
      </c>
      <c r="BF162" s="228">
        <v>0</v>
      </c>
      <c r="BG162" s="229">
        <v>0</v>
      </c>
      <c r="BH162" s="230">
        <v>1510500</v>
      </c>
      <c r="BI162" s="230">
        <v>3434000</v>
      </c>
      <c r="BJ162" s="230">
        <v>-1923500</v>
      </c>
      <c r="BK162" s="229">
        <v>-0.56010000000000004</v>
      </c>
      <c r="BL162" s="230">
        <v>523000</v>
      </c>
      <c r="BM162" s="230">
        <v>1155000</v>
      </c>
      <c r="BN162" s="230">
        <v>-632000</v>
      </c>
      <c r="BO162" s="229">
        <v>-0.54720000000000002</v>
      </c>
      <c r="BP162" s="230">
        <v>2939500</v>
      </c>
      <c r="BQ162" s="230">
        <v>6069000</v>
      </c>
      <c r="BR162" s="230">
        <v>-3129500</v>
      </c>
      <c r="BS162" s="229">
        <v>-0.51570000000000005</v>
      </c>
      <c r="BT162" s="230">
        <v>489697</v>
      </c>
      <c r="BU162" s="230">
        <v>557055</v>
      </c>
      <c r="BV162" s="230">
        <v>-67358</v>
      </c>
      <c r="BW162" s="229">
        <v>-0.12089999999999999</v>
      </c>
      <c r="BX162" s="230">
        <v>9652000</v>
      </c>
      <c r="BY162" s="230">
        <v>9583500</v>
      </c>
      <c r="BZ162" s="230">
        <v>68500</v>
      </c>
      <c r="CA162" s="229">
        <v>7.1000000000000004E-3</v>
      </c>
      <c r="CB162" s="230">
        <v>9565500</v>
      </c>
      <c r="CC162" s="230">
        <v>9501500</v>
      </c>
      <c r="CD162" s="230">
        <v>64000</v>
      </c>
      <c r="CE162" s="229">
        <v>6.7000000000000002E-3</v>
      </c>
      <c r="CF162" s="230">
        <v>84000</v>
      </c>
      <c r="CG162" s="230">
        <v>80000</v>
      </c>
      <c r="CH162" s="230">
        <v>4000</v>
      </c>
      <c r="CI162" s="229">
        <v>0.05</v>
      </c>
      <c r="CJ162" s="230">
        <v>2500</v>
      </c>
      <c r="CK162" s="230">
        <v>2000</v>
      </c>
      <c r="CL162" s="228">
        <v>500</v>
      </c>
      <c r="CM162" s="229">
        <v>0.25</v>
      </c>
      <c r="CN162" s="230">
        <v>1357500</v>
      </c>
      <c r="CO162" s="230">
        <v>1404500</v>
      </c>
      <c r="CP162" s="230">
        <v>-47000</v>
      </c>
      <c r="CQ162" s="229">
        <v>-3.3500000000000002E-2</v>
      </c>
      <c r="CR162" s="230">
        <v>891500</v>
      </c>
      <c r="CS162" s="230">
        <v>911000</v>
      </c>
      <c r="CT162" s="230">
        <v>-19500</v>
      </c>
      <c r="CU162" s="229">
        <v>-2.1399999999999999E-2</v>
      </c>
      <c r="CV162" s="230">
        <v>11901000</v>
      </c>
      <c r="CW162" s="230">
        <v>11899000</v>
      </c>
      <c r="CX162" s="230">
        <v>2000</v>
      </c>
      <c r="CY162" s="229">
        <v>2.0000000000000001E-4</v>
      </c>
      <c r="CZ162" s="228">
        <v>17.510000000000002</v>
      </c>
      <c r="DA162" s="228">
        <v>18.850000000000001</v>
      </c>
      <c r="DB162" s="228">
        <v>-1.34</v>
      </c>
      <c r="DC162" s="228">
        <v>-1.34</v>
      </c>
      <c r="DD162" s="228">
        <v>22.16</v>
      </c>
      <c r="DE162" s="228">
        <v>22.21</v>
      </c>
      <c r="DF162" s="228">
        <v>-4.6500000000000004</v>
      </c>
      <c r="DG162" s="228">
        <v>-0.05</v>
      </c>
      <c r="DH162" s="228">
        <v>17.260000000000002</v>
      </c>
      <c r="DI162" s="228">
        <v>18.739999999999998</v>
      </c>
      <c r="DJ162" s="228">
        <v>-1.48</v>
      </c>
      <c r="DK162" s="228">
        <v>-1.48</v>
      </c>
      <c r="DL162" s="228">
        <v>18.239999999999998</v>
      </c>
      <c r="DM162" s="228">
        <v>19.18</v>
      </c>
      <c r="DN162" s="228">
        <v>-0.94</v>
      </c>
      <c r="DO162" s="228">
        <v>-0.94</v>
      </c>
      <c r="DP162" s="228">
        <v>0.66</v>
      </c>
      <c r="DQ162" s="228">
        <v>0.65</v>
      </c>
      <c r="DR162" s="228">
        <v>0.01</v>
      </c>
      <c r="DS162" s="229">
        <v>1.54E-2</v>
      </c>
      <c r="DT162" s="231">
        <v>1550</v>
      </c>
      <c r="DU162" s="231">
        <v>1500</v>
      </c>
      <c r="DV162" s="228">
        <v>0.35</v>
      </c>
      <c r="DW162" s="228">
        <v>0.34</v>
      </c>
      <c r="DX162" s="228">
        <v>0.01</v>
      </c>
      <c r="DY162" s="229">
        <v>2.9399999999999999E-2</v>
      </c>
      <c r="DZ162" s="229">
        <v>8.9999999999999993E-3</v>
      </c>
      <c r="EA162" s="230">
        <v>82000</v>
      </c>
      <c r="EB162" s="229">
        <v>4.4000000000000003E-3</v>
      </c>
      <c r="EC162" s="229">
        <v>8.9999999999999993E-3</v>
      </c>
      <c r="ED162" s="228">
        <v>7.27</v>
      </c>
      <c r="EE162" s="229">
        <v>4.7999999999999996E-3</v>
      </c>
      <c r="EF162" s="230">
        <v>300883</v>
      </c>
      <c r="EG162" s="230">
        <v>304783</v>
      </c>
      <c r="EH162" s="229">
        <v>-1.2800000000000001E-2</v>
      </c>
      <c r="EI162" s="229">
        <v>0.61439999999999995</v>
      </c>
      <c r="EJ162" s="231">
        <v>23437.66</v>
      </c>
      <c r="EK162" s="231">
        <v>7856.5</v>
      </c>
      <c r="EL162" s="231">
        <v>13760.51</v>
      </c>
      <c r="EM162" s="231">
        <v>1976</v>
      </c>
      <c r="EN162" s="231">
        <v>45054.67</v>
      </c>
      <c r="EO162" s="231">
        <v>92866.63</v>
      </c>
      <c r="EP162" s="231">
        <v>-47811.96</v>
      </c>
      <c r="EQ162" s="229">
        <v>-0.51480000000000004</v>
      </c>
      <c r="ER162" s="231">
        <v>20842</v>
      </c>
      <c r="ES162" s="231">
        <v>13132</v>
      </c>
      <c r="ET162" s="231">
        <v>146224</v>
      </c>
      <c r="EU162" s="231">
        <v>31170515</v>
      </c>
      <c r="EV162" s="231">
        <v>180199</v>
      </c>
      <c r="EW162" s="231">
        <v>180398</v>
      </c>
      <c r="EX162" s="228">
        <v>-199</v>
      </c>
      <c r="EY162" s="229">
        <v>-1.1000000000000001E-3</v>
      </c>
      <c r="EZ162" s="229">
        <v>0.38179999999999997</v>
      </c>
      <c r="FA162" s="227" t="s">
        <v>567</v>
      </c>
      <c r="FB162" s="161">
        <f t="shared" ref="FB162:FB194" si="4">BX229-CB229</f>
        <v>0</v>
      </c>
    </row>
    <row r="163" spans="1:158" ht="17.25" thickBot="1" x14ac:dyDescent="0.3">
      <c r="A163" s="226">
        <v>45940</v>
      </c>
      <c r="B163" s="227" t="s">
        <v>498</v>
      </c>
      <c r="C163" s="227" t="s">
        <v>483</v>
      </c>
      <c r="D163" s="228">
        <v>175</v>
      </c>
      <c r="E163" s="231">
        <v>3583.2</v>
      </c>
      <c r="F163" s="231">
        <v>3547.5</v>
      </c>
      <c r="G163" s="228">
        <v>35.700000000000003</v>
      </c>
      <c r="H163" s="229">
        <v>1.01E-2</v>
      </c>
      <c r="I163" s="231">
        <v>3564.6</v>
      </c>
      <c r="J163" s="231">
        <v>3531.7</v>
      </c>
      <c r="K163" s="228">
        <v>32.9</v>
      </c>
      <c r="L163" s="229">
        <v>9.2999999999999992E-3</v>
      </c>
      <c r="M163" s="231">
        <v>3583.2</v>
      </c>
      <c r="N163" s="231">
        <v>3547.5</v>
      </c>
      <c r="O163" s="228">
        <v>35.700000000000003</v>
      </c>
      <c r="P163" s="229">
        <v>1.01E-2</v>
      </c>
      <c r="Q163" s="231">
        <v>3587.6</v>
      </c>
      <c r="R163" s="231">
        <v>3551</v>
      </c>
      <c r="S163" s="228">
        <v>36.6</v>
      </c>
      <c r="T163" s="229">
        <v>1.03E-2</v>
      </c>
      <c r="U163" s="231">
        <v>3628</v>
      </c>
      <c r="V163" s="231">
        <v>3556.1</v>
      </c>
      <c r="W163" s="228">
        <v>71.900000000000006</v>
      </c>
      <c r="X163" s="229">
        <v>2.0199999999999999E-2</v>
      </c>
      <c r="Y163" s="228">
        <v>18.600000000000001</v>
      </c>
      <c r="Z163" s="228">
        <v>15.8</v>
      </c>
      <c r="AA163" s="228">
        <v>2.8</v>
      </c>
      <c r="AB163" s="229">
        <v>5.1999999999999998E-3</v>
      </c>
      <c r="AC163" s="228">
        <v>18.600000000000001</v>
      </c>
      <c r="AD163" s="228">
        <v>15.8</v>
      </c>
      <c r="AE163" s="228">
        <v>2.8</v>
      </c>
      <c r="AF163" s="229">
        <v>5.1999999999999998E-3</v>
      </c>
      <c r="AG163" s="228">
        <v>23</v>
      </c>
      <c r="AH163" s="228">
        <v>19.3</v>
      </c>
      <c r="AI163" s="228">
        <v>3.7</v>
      </c>
      <c r="AJ163" s="229">
        <v>6.4999999999999997E-3</v>
      </c>
      <c r="AK163" s="228">
        <v>63.4</v>
      </c>
      <c r="AL163" s="228">
        <v>24.4</v>
      </c>
      <c r="AM163" s="228">
        <v>39</v>
      </c>
      <c r="AN163" s="229">
        <v>1.78E-2</v>
      </c>
      <c r="AO163" s="231">
        <v>3594.47</v>
      </c>
      <c r="AP163" s="231">
        <v>3597.35</v>
      </c>
      <c r="AQ163" s="228">
        <v>0</v>
      </c>
      <c r="AR163" s="230">
        <v>690900</v>
      </c>
      <c r="AS163" s="230">
        <v>173425</v>
      </c>
      <c r="AT163" s="230">
        <v>517475</v>
      </c>
      <c r="AU163" s="229">
        <v>2.9839000000000002</v>
      </c>
      <c r="AV163" s="230">
        <v>651525</v>
      </c>
      <c r="AW163" s="230">
        <v>162575</v>
      </c>
      <c r="AX163" s="230">
        <v>488950</v>
      </c>
      <c r="AY163" s="229">
        <v>3.0074999999999998</v>
      </c>
      <c r="AZ163" s="230">
        <v>38500</v>
      </c>
      <c r="BA163" s="230">
        <v>10325</v>
      </c>
      <c r="BB163" s="230">
        <v>28175</v>
      </c>
      <c r="BC163" s="229">
        <v>2.7288000000000001</v>
      </c>
      <c r="BD163" s="228">
        <v>875</v>
      </c>
      <c r="BE163" s="228">
        <v>525</v>
      </c>
      <c r="BF163" s="228">
        <v>350</v>
      </c>
      <c r="BG163" s="229">
        <v>0.66669999999999996</v>
      </c>
      <c r="BH163" s="230">
        <v>900375</v>
      </c>
      <c r="BI163" s="230">
        <v>280875</v>
      </c>
      <c r="BJ163" s="230">
        <v>619500</v>
      </c>
      <c r="BK163" s="229">
        <v>2.2056</v>
      </c>
      <c r="BL163" s="230">
        <v>241675</v>
      </c>
      <c r="BM163" s="230">
        <v>69825</v>
      </c>
      <c r="BN163" s="230">
        <v>171850</v>
      </c>
      <c r="BO163" s="229">
        <v>2.4611999999999998</v>
      </c>
      <c r="BP163" s="230">
        <v>1832950</v>
      </c>
      <c r="BQ163" s="230">
        <v>524125</v>
      </c>
      <c r="BR163" s="230">
        <v>1308825</v>
      </c>
      <c r="BS163" s="229">
        <v>2.4971999999999999</v>
      </c>
      <c r="BT163" s="230">
        <v>381438</v>
      </c>
      <c r="BU163" s="230">
        <v>214461</v>
      </c>
      <c r="BV163" s="230">
        <v>166977</v>
      </c>
      <c r="BW163" s="229">
        <v>0.77859999999999996</v>
      </c>
      <c r="BX163" s="230">
        <v>1796725</v>
      </c>
      <c r="BY163" s="230">
        <v>1821925</v>
      </c>
      <c r="BZ163" s="230">
        <v>-25200</v>
      </c>
      <c r="CA163" s="229">
        <v>-1.38E-2</v>
      </c>
      <c r="CB163" s="230">
        <v>1750350</v>
      </c>
      <c r="CC163" s="230">
        <v>1776075</v>
      </c>
      <c r="CD163" s="230">
        <v>-25725</v>
      </c>
      <c r="CE163" s="229">
        <v>-1.4500000000000001E-2</v>
      </c>
      <c r="CF163" s="230">
        <v>42875</v>
      </c>
      <c r="CG163" s="230">
        <v>41650</v>
      </c>
      <c r="CH163" s="230">
        <v>1225</v>
      </c>
      <c r="CI163" s="229">
        <v>2.9399999999999999E-2</v>
      </c>
      <c r="CJ163" s="230">
        <v>3500</v>
      </c>
      <c r="CK163" s="230">
        <v>4200</v>
      </c>
      <c r="CL163" s="228">
        <v>-700</v>
      </c>
      <c r="CM163" s="229">
        <v>-0.16669999999999999</v>
      </c>
      <c r="CN163" s="230">
        <v>371175</v>
      </c>
      <c r="CO163" s="230">
        <v>371175</v>
      </c>
      <c r="CP163" s="228">
        <v>0</v>
      </c>
      <c r="CQ163" s="229">
        <v>0</v>
      </c>
      <c r="CR163" s="230">
        <v>282625</v>
      </c>
      <c r="CS163" s="230">
        <v>270725</v>
      </c>
      <c r="CT163" s="230">
        <v>11900</v>
      </c>
      <c r="CU163" s="229">
        <v>4.3999999999999997E-2</v>
      </c>
      <c r="CV163" s="230">
        <v>2450525</v>
      </c>
      <c r="CW163" s="230">
        <v>2463825</v>
      </c>
      <c r="CX163" s="230">
        <v>-13300</v>
      </c>
      <c r="CY163" s="229">
        <v>-5.4000000000000003E-3</v>
      </c>
      <c r="CZ163" s="228">
        <v>23.52</v>
      </c>
      <c r="DA163" s="228">
        <v>23.5</v>
      </c>
      <c r="DB163" s="228">
        <v>0.02</v>
      </c>
      <c r="DC163" s="228">
        <v>0.02</v>
      </c>
      <c r="DD163" s="228">
        <v>30.41</v>
      </c>
      <c r="DE163" s="228">
        <v>30.46</v>
      </c>
      <c r="DF163" s="228">
        <v>-6.89</v>
      </c>
      <c r="DG163" s="228">
        <v>-0.05</v>
      </c>
      <c r="DH163" s="228">
        <v>23.47</v>
      </c>
      <c r="DI163" s="228">
        <v>23.32</v>
      </c>
      <c r="DJ163" s="228">
        <v>0.15</v>
      </c>
      <c r="DK163" s="228">
        <v>0.15</v>
      </c>
      <c r="DL163" s="228">
        <v>23.68</v>
      </c>
      <c r="DM163" s="228">
        <v>24.23</v>
      </c>
      <c r="DN163" s="228">
        <v>-0.55000000000000004</v>
      </c>
      <c r="DO163" s="228">
        <v>-0.55000000000000004</v>
      </c>
      <c r="DP163" s="228">
        <v>0.76</v>
      </c>
      <c r="DQ163" s="228">
        <v>0.73</v>
      </c>
      <c r="DR163" s="228">
        <v>0.03</v>
      </c>
      <c r="DS163" s="229">
        <v>4.1099999999999998E-2</v>
      </c>
      <c r="DT163" s="231">
        <v>3800</v>
      </c>
      <c r="DU163" s="231">
        <v>3400</v>
      </c>
      <c r="DV163" s="228">
        <v>0.27</v>
      </c>
      <c r="DW163" s="228">
        <v>0.25</v>
      </c>
      <c r="DX163" s="228">
        <v>0.02</v>
      </c>
      <c r="DY163" s="229">
        <v>0.08</v>
      </c>
      <c r="DZ163" s="229">
        <v>2.58E-2</v>
      </c>
      <c r="EA163" s="230">
        <v>45850</v>
      </c>
      <c r="EB163" s="229">
        <v>1.1999999999999999E-3</v>
      </c>
      <c r="EC163" s="229">
        <v>2.58E-2</v>
      </c>
      <c r="ED163" s="228">
        <v>2.88</v>
      </c>
      <c r="EE163" s="229">
        <v>8.0000000000000004E-4</v>
      </c>
      <c r="EF163" s="230">
        <v>233918</v>
      </c>
      <c r="EG163" s="230">
        <v>174436</v>
      </c>
      <c r="EH163" s="229">
        <v>0.34100000000000003</v>
      </c>
      <c r="EI163" s="229">
        <v>0.61329999999999996</v>
      </c>
      <c r="EJ163" s="231">
        <v>33424.54</v>
      </c>
      <c r="EK163" s="231">
        <v>8731.84</v>
      </c>
      <c r="EL163" s="231">
        <v>24835.3</v>
      </c>
      <c r="EM163" s="231">
        <v>1667</v>
      </c>
      <c r="EN163" s="231">
        <v>66991.679999999993</v>
      </c>
      <c r="EO163" s="231">
        <v>18915.72</v>
      </c>
      <c r="EP163" s="231">
        <v>48075.96</v>
      </c>
      <c r="EQ163" s="229">
        <v>2.5415999999999999</v>
      </c>
      <c r="ER163" s="231">
        <v>13785</v>
      </c>
      <c r="ES163" s="231">
        <v>9947</v>
      </c>
      <c r="ET163" s="231">
        <v>64384</v>
      </c>
      <c r="EU163" s="231">
        <v>8178275</v>
      </c>
      <c r="EV163" s="231">
        <v>88116</v>
      </c>
      <c r="EW163" s="231">
        <v>87945</v>
      </c>
      <c r="EX163" s="228">
        <v>171</v>
      </c>
      <c r="EY163" s="229">
        <v>1.9E-3</v>
      </c>
      <c r="EZ163" s="229">
        <v>0.29959999999999998</v>
      </c>
      <c r="FA163" s="227" t="s">
        <v>556</v>
      </c>
      <c r="FB163" s="161">
        <f t="shared" si="4"/>
        <v>0</v>
      </c>
    </row>
    <row r="164" spans="1:158" ht="17.25" thickBot="1" x14ac:dyDescent="0.3">
      <c r="A164" s="226">
        <v>45940</v>
      </c>
      <c r="B164" s="227" t="s">
        <v>172</v>
      </c>
      <c r="C164" s="227" t="s">
        <v>275</v>
      </c>
      <c r="D164" s="228">
        <v>8000</v>
      </c>
      <c r="E164" s="228">
        <v>117.65</v>
      </c>
      <c r="F164" s="228">
        <v>114.97</v>
      </c>
      <c r="G164" s="228">
        <v>2.68</v>
      </c>
      <c r="H164" s="229">
        <v>2.3300000000000001E-2</v>
      </c>
      <c r="I164" s="228">
        <v>117.24</v>
      </c>
      <c r="J164" s="228">
        <v>114.3</v>
      </c>
      <c r="K164" s="228">
        <v>2.94</v>
      </c>
      <c r="L164" s="229">
        <v>2.5700000000000001E-2</v>
      </c>
      <c r="M164" s="228">
        <v>117.65</v>
      </c>
      <c r="N164" s="228">
        <v>114.97</v>
      </c>
      <c r="O164" s="228">
        <v>2.68</v>
      </c>
      <c r="P164" s="229">
        <v>2.3300000000000001E-2</v>
      </c>
      <c r="Q164" s="228">
        <v>118.3</v>
      </c>
      <c r="R164" s="228">
        <v>115.52</v>
      </c>
      <c r="S164" s="228">
        <v>2.78</v>
      </c>
      <c r="T164" s="229">
        <v>2.41E-2</v>
      </c>
      <c r="U164" s="228">
        <v>118.96</v>
      </c>
      <c r="V164" s="228">
        <v>116.23</v>
      </c>
      <c r="W164" s="228">
        <v>2.73</v>
      </c>
      <c r="X164" s="229">
        <v>2.35E-2</v>
      </c>
      <c r="Y164" s="228">
        <v>0.41</v>
      </c>
      <c r="Z164" s="228">
        <v>0.67</v>
      </c>
      <c r="AA164" s="228">
        <v>-0.26</v>
      </c>
      <c r="AB164" s="229">
        <v>3.5000000000000001E-3</v>
      </c>
      <c r="AC164" s="228">
        <v>0.41</v>
      </c>
      <c r="AD164" s="228">
        <v>0.67</v>
      </c>
      <c r="AE164" s="228">
        <v>-0.26</v>
      </c>
      <c r="AF164" s="229">
        <v>3.5000000000000001E-3</v>
      </c>
      <c r="AG164" s="228">
        <v>1.06</v>
      </c>
      <c r="AH164" s="228">
        <v>1.22</v>
      </c>
      <c r="AI164" s="228">
        <v>-0.16</v>
      </c>
      <c r="AJ164" s="229">
        <v>8.9999999999999993E-3</v>
      </c>
      <c r="AK164" s="228">
        <v>1.72</v>
      </c>
      <c r="AL164" s="228">
        <v>1.93</v>
      </c>
      <c r="AM164" s="228">
        <v>-0.21</v>
      </c>
      <c r="AN164" s="229">
        <v>1.47E-2</v>
      </c>
      <c r="AO164" s="228">
        <v>117.25</v>
      </c>
      <c r="AP164" s="228">
        <v>117.91</v>
      </c>
      <c r="AQ164" s="228">
        <v>0</v>
      </c>
      <c r="AR164" s="230">
        <v>95776000</v>
      </c>
      <c r="AS164" s="230">
        <v>35792000</v>
      </c>
      <c r="AT164" s="230">
        <v>59984000</v>
      </c>
      <c r="AU164" s="229">
        <v>1.6758999999999999</v>
      </c>
      <c r="AV164" s="230">
        <v>85456000</v>
      </c>
      <c r="AW164" s="230">
        <v>32384000</v>
      </c>
      <c r="AX164" s="230">
        <v>53072000</v>
      </c>
      <c r="AY164" s="229">
        <v>1.6388</v>
      </c>
      <c r="AZ164" s="230">
        <v>8992000</v>
      </c>
      <c r="BA164" s="230">
        <v>3048000</v>
      </c>
      <c r="BB164" s="230">
        <v>5944000</v>
      </c>
      <c r="BC164" s="229">
        <v>1.9500999999999999</v>
      </c>
      <c r="BD164" s="230">
        <v>1328000</v>
      </c>
      <c r="BE164" s="230">
        <v>360000</v>
      </c>
      <c r="BF164" s="230">
        <v>968000</v>
      </c>
      <c r="BG164" s="229">
        <v>2.6888999999999998</v>
      </c>
      <c r="BH164" s="230">
        <v>380840000</v>
      </c>
      <c r="BI164" s="230">
        <v>101200000</v>
      </c>
      <c r="BJ164" s="230">
        <v>279640000</v>
      </c>
      <c r="BK164" s="229">
        <v>2.7631999999999999</v>
      </c>
      <c r="BL164" s="230">
        <v>178560000</v>
      </c>
      <c r="BM164" s="230">
        <v>53528000</v>
      </c>
      <c r="BN164" s="230">
        <v>125032000</v>
      </c>
      <c r="BO164" s="229">
        <v>2.3357999999999999</v>
      </c>
      <c r="BP164" s="230">
        <v>655176000</v>
      </c>
      <c r="BQ164" s="230">
        <v>190520000</v>
      </c>
      <c r="BR164" s="230">
        <v>464656000</v>
      </c>
      <c r="BS164" s="229">
        <v>2.4388999999999998</v>
      </c>
      <c r="BT164" s="230">
        <v>44962656</v>
      </c>
      <c r="BU164" s="230">
        <v>13285403</v>
      </c>
      <c r="BV164" s="230">
        <v>31677253</v>
      </c>
      <c r="BW164" s="229">
        <v>2.3843999999999999</v>
      </c>
      <c r="BX164" s="230">
        <v>256288000</v>
      </c>
      <c r="BY164" s="230">
        <v>256800000</v>
      </c>
      <c r="BZ164" s="230">
        <v>-512000</v>
      </c>
      <c r="CA164" s="229">
        <v>-2E-3</v>
      </c>
      <c r="CB164" s="230">
        <v>243096000</v>
      </c>
      <c r="CC164" s="230">
        <v>244616000</v>
      </c>
      <c r="CD164" s="230">
        <v>-1520000</v>
      </c>
      <c r="CE164" s="229">
        <v>-6.1999999999999998E-3</v>
      </c>
      <c r="CF164" s="230">
        <v>11992000</v>
      </c>
      <c r="CG164" s="230">
        <v>10984000</v>
      </c>
      <c r="CH164" s="230">
        <v>1008000</v>
      </c>
      <c r="CI164" s="229">
        <v>9.1800000000000007E-2</v>
      </c>
      <c r="CJ164" s="230">
        <v>1200000</v>
      </c>
      <c r="CK164" s="230">
        <v>1200000</v>
      </c>
      <c r="CL164" s="228">
        <v>0</v>
      </c>
      <c r="CM164" s="229">
        <v>0</v>
      </c>
      <c r="CN164" s="230">
        <v>112944000</v>
      </c>
      <c r="CO164" s="230">
        <v>121064000</v>
      </c>
      <c r="CP164" s="230">
        <v>-8120000</v>
      </c>
      <c r="CQ164" s="229">
        <v>-6.7100000000000007E-2</v>
      </c>
      <c r="CR164" s="230">
        <v>93816000</v>
      </c>
      <c r="CS164" s="230">
        <v>82504000</v>
      </c>
      <c r="CT164" s="230">
        <v>11312000</v>
      </c>
      <c r="CU164" s="229">
        <v>0.1371</v>
      </c>
      <c r="CV164" s="230">
        <v>463048000</v>
      </c>
      <c r="CW164" s="230">
        <v>460368000</v>
      </c>
      <c r="CX164" s="230">
        <v>2680000</v>
      </c>
      <c r="CY164" s="229">
        <v>5.7999999999999996E-3</v>
      </c>
      <c r="CZ164" s="228">
        <v>25.63</v>
      </c>
      <c r="DA164" s="228">
        <v>25.87</v>
      </c>
      <c r="DB164" s="228">
        <v>-0.24</v>
      </c>
      <c r="DC164" s="228">
        <v>-0.24</v>
      </c>
      <c r="DD164" s="228">
        <v>37.32</v>
      </c>
      <c r="DE164" s="228">
        <v>37.28</v>
      </c>
      <c r="DF164" s="228">
        <v>-11.69</v>
      </c>
      <c r="DG164" s="228">
        <v>0.04</v>
      </c>
      <c r="DH164" s="228">
        <v>25.48</v>
      </c>
      <c r="DI164" s="228">
        <v>25.64</v>
      </c>
      <c r="DJ164" s="228">
        <v>-0.16</v>
      </c>
      <c r="DK164" s="228">
        <v>-0.16</v>
      </c>
      <c r="DL164" s="228">
        <v>25.94</v>
      </c>
      <c r="DM164" s="228">
        <v>26.31</v>
      </c>
      <c r="DN164" s="228">
        <v>-0.37</v>
      </c>
      <c r="DO164" s="228">
        <v>-0.37</v>
      </c>
      <c r="DP164" s="228">
        <v>0.83</v>
      </c>
      <c r="DQ164" s="228">
        <v>0.68</v>
      </c>
      <c r="DR164" s="228">
        <v>0.15</v>
      </c>
      <c r="DS164" s="229">
        <v>0.22059999999999999</v>
      </c>
      <c r="DT164" s="228">
        <v>120</v>
      </c>
      <c r="DU164" s="228">
        <v>115</v>
      </c>
      <c r="DV164" s="228">
        <v>0.47</v>
      </c>
      <c r="DW164" s="228">
        <v>0.53</v>
      </c>
      <c r="DX164" s="228">
        <v>-0.06</v>
      </c>
      <c r="DY164" s="229">
        <v>-0.1132</v>
      </c>
      <c r="DZ164" s="229">
        <v>5.1499999999999997E-2</v>
      </c>
      <c r="EA164" s="230">
        <v>12184000</v>
      </c>
      <c r="EB164" s="229">
        <v>5.4999999999999997E-3</v>
      </c>
      <c r="EC164" s="229">
        <v>5.1499999999999997E-2</v>
      </c>
      <c r="ED164" s="228">
        <v>0.66</v>
      </c>
      <c r="EE164" s="229">
        <v>5.5999999999999999E-3</v>
      </c>
      <c r="EF164" s="230">
        <v>21073028</v>
      </c>
      <c r="EG164" s="230">
        <v>5760535</v>
      </c>
      <c r="EH164" s="229">
        <v>2.6581999999999999</v>
      </c>
      <c r="EI164" s="229">
        <v>0.46870000000000001</v>
      </c>
      <c r="EJ164" s="231">
        <v>459951.26</v>
      </c>
      <c r="EK164" s="231">
        <v>206489.22</v>
      </c>
      <c r="EL164" s="231">
        <v>112375.39</v>
      </c>
      <c r="EM164" s="231">
        <v>5554</v>
      </c>
      <c r="EN164" s="231">
        <v>778815.87</v>
      </c>
      <c r="EO164" s="231">
        <v>221767.38</v>
      </c>
      <c r="EP164" s="231">
        <v>557048.49</v>
      </c>
      <c r="EQ164" s="229">
        <v>2.5118999999999998</v>
      </c>
      <c r="ER164" s="231">
        <v>133434</v>
      </c>
      <c r="ES164" s="231">
        <v>104266</v>
      </c>
      <c r="ET164" s="231">
        <v>301616</v>
      </c>
      <c r="EU164" s="231">
        <v>447910372</v>
      </c>
      <c r="EV164" s="231">
        <v>539316</v>
      </c>
      <c r="EW164" s="231">
        <v>528209</v>
      </c>
      <c r="EX164" s="231">
        <v>11107</v>
      </c>
      <c r="EY164" s="229">
        <v>2.1000000000000001E-2</v>
      </c>
      <c r="EZ164" s="229">
        <v>1.0338000000000001</v>
      </c>
      <c r="FA164" s="227" t="s">
        <v>556</v>
      </c>
      <c r="FB164" s="161">
        <f t="shared" si="4"/>
        <v>0</v>
      </c>
    </row>
    <row r="165" spans="1:158" ht="17.25" thickBot="1" x14ac:dyDescent="0.3">
      <c r="A165" s="226">
        <v>45940</v>
      </c>
      <c r="B165" s="227" t="s">
        <v>175</v>
      </c>
      <c r="C165" s="227" t="s">
        <v>672</v>
      </c>
      <c r="D165" s="228">
        <v>650</v>
      </c>
      <c r="E165" s="228">
        <v>858.35</v>
      </c>
      <c r="F165" s="228">
        <v>880.75</v>
      </c>
      <c r="G165" s="228">
        <v>-22.4</v>
      </c>
      <c r="H165" s="229">
        <v>-2.5399999999999999E-2</v>
      </c>
      <c r="I165" s="228">
        <v>853.6</v>
      </c>
      <c r="J165" s="228">
        <v>876.1</v>
      </c>
      <c r="K165" s="228">
        <v>-22.5</v>
      </c>
      <c r="L165" s="229">
        <v>-2.5700000000000001E-2</v>
      </c>
      <c r="M165" s="228">
        <v>858.35</v>
      </c>
      <c r="N165" s="228">
        <v>880.75</v>
      </c>
      <c r="O165" s="228">
        <v>-22.4</v>
      </c>
      <c r="P165" s="229">
        <v>-2.5399999999999999E-2</v>
      </c>
      <c r="Q165" s="228">
        <v>862.9</v>
      </c>
      <c r="R165" s="228">
        <v>884.85</v>
      </c>
      <c r="S165" s="228">
        <v>-21.95</v>
      </c>
      <c r="T165" s="229">
        <v>-2.4799999999999999E-2</v>
      </c>
      <c r="U165" s="228">
        <v>869.35</v>
      </c>
      <c r="V165" s="228">
        <v>889.05</v>
      </c>
      <c r="W165" s="228">
        <v>-19.7</v>
      </c>
      <c r="X165" s="229">
        <v>-2.2200000000000001E-2</v>
      </c>
      <c r="Y165" s="228">
        <v>4.75</v>
      </c>
      <c r="Z165" s="228">
        <v>4.6500000000000004</v>
      </c>
      <c r="AA165" s="228">
        <v>0.1</v>
      </c>
      <c r="AB165" s="229">
        <v>5.5999999999999999E-3</v>
      </c>
      <c r="AC165" s="228">
        <v>4.75</v>
      </c>
      <c r="AD165" s="228">
        <v>4.6500000000000004</v>
      </c>
      <c r="AE165" s="228">
        <v>0.1</v>
      </c>
      <c r="AF165" s="229">
        <v>5.5999999999999999E-3</v>
      </c>
      <c r="AG165" s="228">
        <v>9.3000000000000007</v>
      </c>
      <c r="AH165" s="228">
        <v>8.75</v>
      </c>
      <c r="AI165" s="228">
        <v>0.55000000000000004</v>
      </c>
      <c r="AJ165" s="229">
        <v>1.09E-2</v>
      </c>
      <c r="AK165" s="228">
        <v>15.75</v>
      </c>
      <c r="AL165" s="228">
        <v>12.95</v>
      </c>
      <c r="AM165" s="228">
        <v>2.8</v>
      </c>
      <c r="AN165" s="229">
        <v>1.8499999999999999E-2</v>
      </c>
      <c r="AO165" s="228">
        <v>865.56</v>
      </c>
      <c r="AP165" s="228">
        <v>870.82</v>
      </c>
      <c r="AQ165" s="228">
        <v>0</v>
      </c>
      <c r="AR165" s="230">
        <v>2077400</v>
      </c>
      <c r="AS165" s="230">
        <v>1405950</v>
      </c>
      <c r="AT165" s="230">
        <v>671450</v>
      </c>
      <c r="AU165" s="229">
        <v>0.47760000000000002</v>
      </c>
      <c r="AV165" s="230">
        <v>1847300</v>
      </c>
      <c r="AW165" s="230">
        <v>1298700</v>
      </c>
      <c r="AX165" s="230">
        <v>548600</v>
      </c>
      <c r="AY165" s="229">
        <v>0.4224</v>
      </c>
      <c r="AZ165" s="230">
        <v>199550</v>
      </c>
      <c r="BA165" s="230">
        <v>91650</v>
      </c>
      <c r="BB165" s="230">
        <v>107900</v>
      </c>
      <c r="BC165" s="229">
        <v>1.1773</v>
      </c>
      <c r="BD165" s="230">
        <v>30550</v>
      </c>
      <c r="BE165" s="230">
        <v>15600</v>
      </c>
      <c r="BF165" s="230">
        <v>14950</v>
      </c>
      <c r="BG165" s="229">
        <v>0.95830000000000004</v>
      </c>
      <c r="BH165" s="230">
        <v>3074500</v>
      </c>
      <c r="BI165" s="230">
        <v>1954550</v>
      </c>
      <c r="BJ165" s="230">
        <v>1119950</v>
      </c>
      <c r="BK165" s="229">
        <v>0.57299999999999995</v>
      </c>
      <c r="BL165" s="230">
        <v>1448200</v>
      </c>
      <c r="BM165" s="230">
        <v>650000</v>
      </c>
      <c r="BN165" s="230">
        <v>798200</v>
      </c>
      <c r="BO165" s="229">
        <v>1.228</v>
      </c>
      <c r="BP165" s="230">
        <v>6600100</v>
      </c>
      <c r="BQ165" s="230">
        <v>4010500</v>
      </c>
      <c r="BR165" s="230">
        <v>2589600</v>
      </c>
      <c r="BS165" s="229">
        <v>0.64570000000000005</v>
      </c>
      <c r="BT165" s="230">
        <v>1296646</v>
      </c>
      <c r="BU165" s="230">
        <v>852410</v>
      </c>
      <c r="BV165" s="230">
        <v>444236</v>
      </c>
      <c r="BW165" s="229">
        <v>0.5212</v>
      </c>
      <c r="BX165" s="230">
        <v>15192450</v>
      </c>
      <c r="BY165" s="230">
        <v>14973400</v>
      </c>
      <c r="BZ165" s="230">
        <v>219050</v>
      </c>
      <c r="CA165" s="229">
        <v>1.46E-2</v>
      </c>
      <c r="CB165" s="230">
        <v>14764750</v>
      </c>
      <c r="CC165" s="230">
        <v>14636050</v>
      </c>
      <c r="CD165" s="230">
        <v>128700</v>
      </c>
      <c r="CE165" s="229">
        <v>8.8000000000000005E-3</v>
      </c>
      <c r="CF165" s="230">
        <v>361400</v>
      </c>
      <c r="CG165" s="230">
        <v>290550</v>
      </c>
      <c r="CH165" s="230">
        <v>70850</v>
      </c>
      <c r="CI165" s="229">
        <v>0.24379999999999999</v>
      </c>
      <c r="CJ165" s="230">
        <v>66300</v>
      </c>
      <c r="CK165" s="230">
        <v>46800</v>
      </c>
      <c r="CL165" s="230">
        <v>19500</v>
      </c>
      <c r="CM165" s="229">
        <v>0.41670000000000001</v>
      </c>
      <c r="CN165" s="230">
        <v>4069650</v>
      </c>
      <c r="CO165" s="230">
        <v>3627650</v>
      </c>
      <c r="CP165" s="230">
        <v>442000</v>
      </c>
      <c r="CQ165" s="229">
        <v>0.12180000000000001</v>
      </c>
      <c r="CR165" s="230">
        <v>2978950</v>
      </c>
      <c r="CS165" s="230">
        <v>2462200</v>
      </c>
      <c r="CT165" s="230">
        <v>516750</v>
      </c>
      <c r="CU165" s="229">
        <v>0.2099</v>
      </c>
      <c r="CV165" s="230">
        <v>22241050</v>
      </c>
      <c r="CW165" s="230">
        <v>21063250</v>
      </c>
      <c r="CX165" s="230">
        <v>1177800</v>
      </c>
      <c r="CY165" s="229">
        <v>5.5899999999999998E-2</v>
      </c>
      <c r="CZ165" s="228">
        <v>38.409999999999997</v>
      </c>
      <c r="DA165" s="228">
        <v>36.33</v>
      </c>
      <c r="DB165" s="228">
        <v>2.08</v>
      </c>
      <c r="DC165" s="228">
        <v>2.08</v>
      </c>
      <c r="DD165" s="228">
        <v>49.5</v>
      </c>
      <c r="DE165" s="228">
        <v>49.49</v>
      </c>
      <c r="DF165" s="228">
        <v>-11.09</v>
      </c>
      <c r="DG165" s="228">
        <v>0.01</v>
      </c>
      <c r="DH165" s="228">
        <v>38.49</v>
      </c>
      <c r="DI165" s="228">
        <v>36.340000000000003</v>
      </c>
      <c r="DJ165" s="228">
        <v>2.15</v>
      </c>
      <c r="DK165" s="228">
        <v>2.15</v>
      </c>
      <c r="DL165" s="228">
        <v>38.25</v>
      </c>
      <c r="DM165" s="228">
        <v>36.299999999999997</v>
      </c>
      <c r="DN165" s="228">
        <v>1.95</v>
      </c>
      <c r="DO165" s="228">
        <v>1.95</v>
      </c>
      <c r="DP165" s="228">
        <v>0.73</v>
      </c>
      <c r="DQ165" s="228">
        <v>0.68</v>
      </c>
      <c r="DR165" s="228">
        <v>0.05</v>
      </c>
      <c r="DS165" s="229">
        <v>7.3499999999999996E-2</v>
      </c>
      <c r="DT165" s="228">
        <v>900</v>
      </c>
      <c r="DU165" s="228">
        <v>850</v>
      </c>
      <c r="DV165" s="228">
        <v>0.47</v>
      </c>
      <c r="DW165" s="228">
        <v>0.33</v>
      </c>
      <c r="DX165" s="228">
        <v>0.14000000000000001</v>
      </c>
      <c r="DY165" s="229">
        <v>0.42420000000000002</v>
      </c>
      <c r="DZ165" s="229">
        <v>2.8199999999999999E-2</v>
      </c>
      <c r="EA165" s="230">
        <v>337350</v>
      </c>
      <c r="EB165" s="229">
        <v>5.3E-3</v>
      </c>
      <c r="EC165" s="229">
        <v>2.8199999999999999E-2</v>
      </c>
      <c r="ED165" s="228">
        <v>5.26</v>
      </c>
      <c r="EE165" s="229">
        <v>6.1000000000000004E-3</v>
      </c>
      <c r="EF165" s="230">
        <v>696580</v>
      </c>
      <c r="EG165" s="230">
        <v>410389</v>
      </c>
      <c r="EH165" s="229">
        <v>0.69740000000000002</v>
      </c>
      <c r="EI165" s="229">
        <v>0.53720000000000001</v>
      </c>
      <c r="EJ165" s="231">
        <v>28363.01</v>
      </c>
      <c r="EK165" s="231">
        <v>12353.72</v>
      </c>
      <c r="EL165" s="231">
        <v>17994.75</v>
      </c>
      <c r="EM165" s="231">
        <v>2411</v>
      </c>
      <c r="EN165" s="231">
        <v>58711.48</v>
      </c>
      <c r="EO165" s="231">
        <v>36232.550000000003</v>
      </c>
      <c r="EP165" s="231">
        <v>22478.93</v>
      </c>
      <c r="EQ165" s="229">
        <v>0.62039999999999995</v>
      </c>
      <c r="ER165" s="231">
        <v>37243</v>
      </c>
      <c r="ES165" s="231">
        <v>24829</v>
      </c>
      <c r="ET165" s="231">
        <v>130428</v>
      </c>
      <c r="EU165" s="231">
        <v>28062406</v>
      </c>
      <c r="EV165" s="231">
        <v>192500</v>
      </c>
      <c r="EW165" s="231">
        <v>185829</v>
      </c>
      <c r="EX165" s="231">
        <v>6671</v>
      </c>
      <c r="EY165" s="229">
        <v>3.5900000000000001E-2</v>
      </c>
      <c r="EZ165" s="229">
        <v>0.79259999999999997</v>
      </c>
      <c r="FA165" s="227" t="s">
        <v>567</v>
      </c>
      <c r="FB165" s="161">
        <f t="shared" si="4"/>
        <v>0</v>
      </c>
    </row>
    <row r="166" spans="1:158" ht="17.25" thickBot="1" x14ac:dyDescent="0.3">
      <c r="A166" s="226">
        <v>45940</v>
      </c>
      <c r="B166" s="227" t="s">
        <v>616</v>
      </c>
      <c r="C166" s="227" t="s">
        <v>574</v>
      </c>
      <c r="D166" s="228">
        <v>350</v>
      </c>
      <c r="E166" s="231">
        <v>1752.9</v>
      </c>
      <c r="F166" s="231">
        <v>1743.9</v>
      </c>
      <c r="G166" s="228">
        <v>9</v>
      </c>
      <c r="H166" s="229">
        <v>5.1999999999999998E-3</v>
      </c>
      <c r="I166" s="231">
        <v>1745.4</v>
      </c>
      <c r="J166" s="231">
        <v>1735.7</v>
      </c>
      <c r="K166" s="228">
        <v>9.6999999999999993</v>
      </c>
      <c r="L166" s="229">
        <v>5.5999999999999999E-3</v>
      </c>
      <c r="M166" s="231">
        <v>1752.9</v>
      </c>
      <c r="N166" s="231">
        <v>1743.9</v>
      </c>
      <c r="O166" s="228">
        <v>9</v>
      </c>
      <c r="P166" s="229">
        <v>5.1999999999999998E-3</v>
      </c>
      <c r="Q166" s="231">
        <v>1761.7</v>
      </c>
      <c r="R166" s="231">
        <v>1752.4</v>
      </c>
      <c r="S166" s="228">
        <v>9.3000000000000007</v>
      </c>
      <c r="T166" s="229">
        <v>5.3E-3</v>
      </c>
      <c r="U166" s="231">
        <v>1764.9</v>
      </c>
      <c r="V166" s="231">
        <v>1764.9</v>
      </c>
      <c r="W166" s="228">
        <v>0</v>
      </c>
      <c r="X166" s="229">
        <v>0</v>
      </c>
      <c r="Y166" s="228">
        <v>7.5</v>
      </c>
      <c r="Z166" s="228">
        <v>8.1999999999999993</v>
      </c>
      <c r="AA166" s="228">
        <v>-0.7</v>
      </c>
      <c r="AB166" s="229">
        <v>4.3E-3</v>
      </c>
      <c r="AC166" s="228">
        <v>7.5</v>
      </c>
      <c r="AD166" s="228">
        <v>8.1999999999999993</v>
      </c>
      <c r="AE166" s="228">
        <v>-0.7</v>
      </c>
      <c r="AF166" s="229">
        <v>4.3E-3</v>
      </c>
      <c r="AG166" s="228">
        <v>16.3</v>
      </c>
      <c r="AH166" s="228">
        <v>16.7</v>
      </c>
      <c r="AI166" s="228">
        <v>-0.4</v>
      </c>
      <c r="AJ166" s="229">
        <v>9.2999999999999992E-3</v>
      </c>
      <c r="AK166" s="228">
        <v>19.5</v>
      </c>
      <c r="AL166" s="228">
        <v>29.2</v>
      </c>
      <c r="AM166" s="228">
        <v>-9.6999999999999993</v>
      </c>
      <c r="AN166" s="229">
        <v>1.12E-2</v>
      </c>
      <c r="AO166" s="231">
        <v>1748.26</v>
      </c>
      <c r="AP166" s="231">
        <v>1756.21</v>
      </c>
      <c r="AQ166" s="228">
        <v>0</v>
      </c>
      <c r="AR166" s="230">
        <v>1069950</v>
      </c>
      <c r="AS166" s="230">
        <v>2510200</v>
      </c>
      <c r="AT166" s="230">
        <v>-1440250</v>
      </c>
      <c r="AU166" s="229">
        <v>-0.57379999999999998</v>
      </c>
      <c r="AV166" s="230">
        <v>1035650</v>
      </c>
      <c r="AW166" s="230">
        <v>2455250</v>
      </c>
      <c r="AX166" s="230">
        <v>-1419600</v>
      </c>
      <c r="AY166" s="229">
        <v>-0.57820000000000005</v>
      </c>
      <c r="AZ166" s="230">
        <v>34300</v>
      </c>
      <c r="BA166" s="230">
        <v>54250</v>
      </c>
      <c r="BB166" s="230">
        <v>-19950</v>
      </c>
      <c r="BC166" s="229">
        <v>-0.36770000000000003</v>
      </c>
      <c r="BD166" s="228">
        <v>0</v>
      </c>
      <c r="BE166" s="228">
        <v>700</v>
      </c>
      <c r="BF166" s="228">
        <v>-700</v>
      </c>
      <c r="BG166" s="229">
        <v>-1</v>
      </c>
      <c r="BH166" s="230">
        <v>1429050</v>
      </c>
      <c r="BI166" s="230">
        <v>3866800</v>
      </c>
      <c r="BJ166" s="230">
        <v>-2437750</v>
      </c>
      <c r="BK166" s="229">
        <v>-0.63039999999999996</v>
      </c>
      <c r="BL166" s="230">
        <v>668150</v>
      </c>
      <c r="BM166" s="230">
        <v>2093350</v>
      </c>
      <c r="BN166" s="230">
        <v>-1425200</v>
      </c>
      <c r="BO166" s="229">
        <v>-0.68079999999999996</v>
      </c>
      <c r="BP166" s="230">
        <v>3167150</v>
      </c>
      <c r="BQ166" s="230">
        <v>8470350</v>
      </c>
      <c r="BR166" s="230">
        <v>-5303200</v>
      </c>
      <c r="BS166" s="229">
        <v>-0.62609999999999999</v>
      </c>
      <c r="BT166" s="230">
        <v>718301</v>
      </c>
      <c r="BU166" s="230">
        <v>1119573</v>
      </c>
      <c r="BV166" s="230">
        <v>-401272</v>
      </c>
      <c r="BW166" s="229">
        <v>-0.3584</v>
      </c>
      <c r="BX166" s="230">
        <v>6879600</v>
      </c>
      <c r="BY166" s="230">
        <v>7067550</v>
      </c>
      <c r="BZ166" s="230">
        <v>-187950</v>
      </c>
      <c r="CA166" s="229">
        <v>-2.6599999999999999E-2</v>
      </c>
      <c r="CB166" s="230">
        <v>6822550</v>
      </c>
      <c r="CC166" s="230">
        <v>7012250</v>
      </c>
      <c r="CD166" s="230">
        <v>-189700</v>
      </c>
      <c r="CE166" s="229">
        <v>-2.7099999999999999E-2</v>
      </c>
      <c r="CF166" s="230">
        <v>53200</v>
      </c>
      <c r="CG166" s="230">
        <v>51450</v>
      </c>
      <c r="CH166" s="230">
        <v>1750</v>
      </c>
      <c r="CI166" s="229">
        <v>3.4000000000000002E-2</v>
      </c>
      <c r="CJ166" s="230">
        <v>3850</v>
      </c>
      <c r="CK166" s="230">
        <v>3850</v>
      </c>
      <c r="CL166" s="228">
        <v>0</v>
      </c>
      <c r="CM166" s="229">
        <v>0</v>
      </c>
      <c r="CN166" s="230">
        <v>1189650</v>
      </c>
      <c r="CO166" s="230">
        <v>1215200</v>
      </c>
      <c r="CP166" s="230">
        <v>-25550</v>
      </c>
      <c r="CQ166" s="229">
        <v>-2.1000000000000001E-2</v>
      </c>
      <c r="CR166" s="230">
        <v>909300</v>
      </c>
      <c r="CS166" s="230">
        <v>904400</v>
      </c>
      <c r="CT166" s="230">
        <v>4900</v>
      </c>
      <c r="CU166" s="229">
        <v>5.4000000000000003E-3</v>
      </c>
      <c r="CV166" s="230">
        <v>8978550</v>
      </c>
      <c r="CW166" s="230">
        <v>9187150</v>
      </c>
      <c r="CX166" s="230">
        <v>-208600</v>
      </c>
      <c r="CY166" s="229">
        <v>-2.2700000000000001E-2</v>
      </c>
      <c r="CZ166" s="228">
        <v>29.52</v>
      </c>
      <c r="DA166" s="228">
        <v>31.08</v>
      </c>
      <c r="DB166" s="228">
        <v>-1.56</v>
      </c>
      <c r="DC166" s="228">
        <v>-1.56</v>
      </c>
      <c r="DD166" s="228">
        <v>47.85</v>
      </c>
      <c r="DE166" s="228">
        <v>47.96</v>
      </c>
      <c r="DF166" s="228">
        <v>-18.329999999999998</v>
      </c>
      <c r="DG166" s="228">
        <v>-0.11</v>
      </c>
      <c r="DH166" s="228">
        <v>29.25</v>
      </c>
      <c r="DI166" s="228">
        <v>30.7</v>
      </c>
      <c r="DJ166" s="228">
        <v>-1.45</v>
      </c>
      <c r="DK166" s="228">
        <v>-1.45</v>
      </c>
      <c r="DL166" s="228">
        <v>30.1</v>
      </c>
      <c r="DM166" s="228">
        <v>31.78</v>
      </c>
      <c r="DN166" s="228">
        <v>-1.68</v>
      </c>
      <c r="DO166" s="228">
        <v>-1.68</v>
      </c>
      <c r="DP166" s="228">
        <v>0.76</v>
      </c>
      <c r="DQ166" s="228">
        <v>0.74</v>
      </c>
      <c r="DR166" s="228">
        <v>0.02</v>
      </c>
      <c r="DS166" s="229">
        <v>2.7E-2</v>
      </c>
      <c r="DT166" s="231">
        <v>1800</v>
      </c>
      <c r="DU166" s="231">
        <v>1700</v>
      </c>
      <c r="DV166" s="228">
        <v>0.47</v>
      </c>
      <c r="DW166" s="228">
        <v>0.54</v>
      </c>
      <c r="DX166" s="228">
        <v>-7.0000000000000007E-2</v>
      </c>
      <c r="DY166" s="229">
        <v>-0.12959999999999999</v>
      </c>
      <c r="DZ166" s="229">
        <v>8.3000000000000001E-3</v>
      </c>
      <c r="EA166" s="230">
        <v>55300</v>
      </c>
      <c r="EB166" s="229">
        <v>5.0000000000000001E-3</v>
      </c>
      <c r="EC166" s="229">
        <v>8.3000000000000001E-3</v>
      </c>
      <c r="ED166" s="228">
        <v>7.95</v>
      </c>
      <c r="EE166" s="229">
        <v>4.4999999999999997E-3</v>
      </c>
      <c r="EF166" s="230">
        <v>349328</v>
      </c>
      <c r="EG166" s="230">
        <v>485566</v>
      </c>
      <c r="EH166" s="229">
        <v>-0.28060000000000002</v>
      </c>
      <c r="EI166" s="229">
        <v>0.48630000000000001</v>
      </c>
      <c r="EJ166" s="231">
        <v>26059.94</v>
      </c>
      <c r="EK166" s="231">
        <v>11619.32</v>
      </c>
      <c r="EL166" s="231">
        <v>18708.22</v>
      </c>
      <c r="EM166" s="231">
        <v>4610</v>
      </c>
      <c r="EN166" s="231">
        <v>56387.48</v>
      </c>
      <c r="EO166" s="231">
        <v>151314.96</v>
      </c>
      <c r="EP166" s="231">
        <v>-94927.48</v>
      </c>
      <c r="EQ166" s="229">
        <v>-0.62739999999999996</v>
      </c>
      <c r="ER166" s="231">
        <v>22001</v>
      </c>
      <c r="ES166" s="231">
        <v>15037</v>
      </c>
      <c r="ET166" s="231">
        <v>120598</v>
      </c>
      <c r="EU166" s="231">
        <v>51720057</v>
      </c>
      <c r="EV166" s="231">
        <v>157636</v>
      </c>
      <c r="EW166" s="231">
        <v>160680</v>
      </c>
      <c r="EX166" s="231">
        <v>-3044</v>
      </c>
      <c r="EY166" s="229">
        <v>-1.89E-2</v>
      </c>
      <c r="EZ166" s="229">
        <v>0.1736</v>
      </c>
      <c r="FA166" s="227" t="s">
        <v>556</v>
      </c>
      <c r="FB166" s="161">
        <f t="shared" si="4"/>
        <v>0</v>
      </c>
    </row>
    <row r="167" spans="1:158" ht="17.25" thickBot="1" x14ac:dyDescent="0.3">
      <c r="A167" s="226">
        <v>45940</v>
      </c>
      <c r="B167" s="227" t="s">
        <v>184</v>
      </c>
      <c r="C167" s="227" t="s">
        <v>519</v>
      </c>
      <c r="D167" s="228">
        <v>125</v>
      </c>
      <c r="E167" s="231">
        <v>7768.5</v>
      </c>
      <c r="F167" s="231">
        <v>7673</v>
      </c>
      <c r="G167" s="228">
        <v>95.5</v>
      </c>
      <c r="H167" s="229">
        <v>1.24E-2</v>
      </c>
      <c r="I167" s="231">
        <v>7730</v>
      </c>
      <c r="J167" s="231">
        <v>7631</v>
      </c>
      <c r="K167" s="228">
        <v>99</v>
      </c>
      <c r="L167" s="229">
        <v>1.2999999999999999E-2</v>
      </c>
      <c r="M167" s="231">
        <v>7768.5</v>
      </c>
      <c r="N167" s="231">
        <v>7673</v>
      </c>
      <c r="O167" s="228">
        <v>95.5</v>
      </c>
      <c r="P167" s="229">
        <v>1.24E-2</v>
      </c>
      <c r="Q167" s="231">
        <v>7806.5</v>
      </c>
      <c r="R167" s="231">
        <v>7711.5</v>
      </c>
      <c r="S167" s="228">
        <v>95</v>
      </c>
      <c r="T167" s="229">
        <v>1.23E-2</v>
      </c>
      <c r="U167" s="231">
        <v>7847</v>
      </c>
      <c r="V167" s="231">
        <v>7746.5</v>
      </c>
      <c r="W167" s="228">
        <v>100.5</v>
      </c>
      <c r="X167" s="229">
        <v>1.2999999999999999E-2</v>
      </c>
      <c r="Y167" s="228">
        <v>38.5</v>
      </c>
      <c r="Z167" s="228">
        <v>42</v>
      </c>
      <c r="AA167" s="228">
        <v>-3.5</v>
      </c>
      <c r="AB167" s="229">
        <v>5.0000000000000001E-3</v>
      </c>
      <c r="AC167" s="228">
        <v>38.5</v>
      </c>
      <c r="AD167" s="228">
        <v>42</v>
      </c>
      <c r="AE167" s="228">
        <v>-3.5</v>
      </c>
      <c r="AF167" s="229">
        <v>5.0000000000000001E-3</v>
      </c>
      <c r="AG167" s="228">
        <v>76.5</v>
      </c>
      <c r="AH167" s="228">
        <v>80.5</v>
      </c>
      <c r="AI167" s="228">
        <v>-4</v>
      </c>
      <c r="AJ167" s="229">
        <v>9.9000000000000008E-3</v>
      </c>
      <c r="AK167" s="228">
        <v>117</v>
      </c>
      <c r="AL167" s="228">
        <v>115.5</v>
      </c>
      <c r="AM167" s="228">
        <v>1.5</v>
      </c>
      <c r="AN167" s="229">
        <v>1.5100000000000001E-2</v>
      </c>
      <c r="AO167" s="231">
        <v>7778.91</v>
      </c>
      <c r="AP167" s="231">
        <v>7816.38</v>
      </c>
      <c r="AQ167" s="228">
        <v>0</v>
      </c>
      <c r="AR167" s="230">
        <v>536000</v>
      </c>
      <c r="AS167" s="230">
        <v>316750</v>
      </c>
      <c r="AT167" s="230">
        <v>219250</v>
      </c>
      <c r="AU167" s="229">
        <v>0.69220000000000004</v>
      </c>
      <c r="AV167" s="230">
        <v>498250</v>
      </c>
      <c r="AW167" s="230">
        <v>307625</v>
      </c>
      <c r="AX167" s="230">
        <v>190625</v>
      </c>
      <c r="AY167" s="229">
        <v>0.61970000000000003</v>
      </c>
      <c r="AZ167" s="230">
        <v>31500</v>
      </c>
      <c r="BA167" s="230">
        <v>8250</v>
      </c>
      <c r="BB167" s="230">
        <v>23250</v>
      </c>
      <c r="BC167" s="229">
        <v>2.8182</v>
      </c>
      <c r="BD167" s="230">
        <v>6250</v>
      </c>
      <c r="BE167" s="228">
        <v>875</v>
      </c>
      <c r="BF167" s="230">
        <v>5375</v>
      </c>
      <c r="BG167" s="229">
        <v>6.1429</v>
      </c>
      <c r="BH167" s="230">
        <v>3311250</v>
      </c>
      <c r="BI167" s="230">
        <v>662250</v>
      </c>
      <c r="BJ167" s="230">
        <v>2649000</v>
      </c>
      <c r="BK167" s="229">
        <v>4</v>
      </c>
      <c r="BL167" s="230">
        <v>882000</v>
      </c>
      <c r="BM167" s="230">
        <v>442125</v>
      </c>
      <c r="BN167" s="230">
        <v>439875</v>
      </c>
      <c r="BO167" s="229">
        <v>0.99490000000000001</v>
      </c>
      <c r="BP167" s="230">
        <v>4729250</v>
      </c>
      <c r="BQ167" s="230">
        <v>1421125</v>
      </c>
      <c r="BR167" s="230">
        <v>3308125</v>
      </c>
      <c r="BS167" s="229">
        <v>2.3277999999999999</v>
      </c>
      <c r="BT167" s="230">
        <v>245958</v>
      </c>
      <c r="BU167" s="230">
        <v>100522</v>
      </c>
      <c r="BV167" s="230">
        <v>145436</v>
      </c>
      <c r="BW167" s="229">
        <v>1.4468000000000001</v>
      </c>
      <c r="BX167" s="230">
        <v>1751750</v>
      </c>
      <c r="BY167" s="230">
        <v>1724625</v>
      </c>
      <c r="BZ167" s="230">
        <v>27125</v>
      </c>
      <c r="CA167" s="229">
        <v>1.5699999999999999E-2</v>
      </c>
      <c r="CB167" s="230">
        <v>1703375</v>
      </c>
      <c r="CC167" s="230">
        <v>1687250</v>
      </c>
      <c r="CD167" s="230">
        <v>16125</v>
      </c>
      <c r="CE167" s="229">
        <v>9.5999999999999992E-3</v>
      </c>
      <c r="CF167" s="230">
        <v>41500</v>
      </c>
      <c r="CG167" s="230">
        <v>32000</v>
      </c>
      <c r="CH167" s="230">
        <v>9500</v>
      </c>
      <c r="CI167" s="229">
        <v>0.2969</v>
      </c>
      <c r="CJ167" s="230">
        <v>6875</v>
      </c>
      <c r="CK167" s="230">
        <v>5375</v>
      </c>
      <c r="CL167" s="230">
        <v>1500</v>
      </c>
      <c r="CM167" s="229">
        <v>0.27910000000000001</v>
      </c>
      <c r="CN167" s="230">
        <v>875750</v>
      </c>
      <c r="CO167" s="230">
        <v>656500</v>
      </c>
      <c r="CP167" s="230">
        <v>219250</v>
      </c>
      <c r="CQ167" s="229">
        <v>0.33400000000000002</v>
      </c>
      <c r="CR167" s="230">
        <v>421625</v>
      </c>
      <c r="CS167" s="230">
        <v>379625</v>
      </c>
      <c r="CT167" s="230">
        <v>42000</v>
      </c>
      <c r="CU167" s="229">
        <v>0.1106</v>
      </c>
      <c r="CV167" s="230">
        <v>3049125</v>
      </c>
      <c r="CW167" s="230">
        <v>2760750</v>
      </c>
      <c r="CX167" s="230">
        <v>288375</v>
      </c>
      <c r="CY167" s="229">
        <v>0.1045</v>
      </c>
      <c r="CZ167" s="228">
        <v>31.65</v>
      </c>
      <c r="DA167" s="228">
        <v>31.65</v>
      </c>
      <c r="DB167" s="228">
        <v>0</v>
      </c>
      <c r="DC167" s="228">
        <v>0</v>
      </c>
      <c r="DD167" s="228">
        <v>41.15</v>
      </c>
      <c r="DE167" s="228">
        <v>41.21</v>
      </c>
      <c r="DF167" s="228">
        <v>-9.5</v>
      </c>
      <c r="DG167" s="228">
        <v>-0.06</v>
      </c>
      <c r="DH167" s="228">
        <v>31.12</v>
      </c>
      <c r="DI167" s="228">
        <v>30.2</v>
      </c>
      <c r="DJ167" s="228">
        <v>0.92</v>
      </c>
      <c r="DK167" s="228">
        <v>0.92</v>
      </c>
      <c r="DL167" s="228">
        <v>33.64</v>
      </c>
      <c r="DM167" s="228">
        <v>33.82</v>
      </c>
      <c r="DN167" s="228">
        <v>-0.18</v>
      </c>
      <c r="DO167" s="228">
        <v>-0.18</v>
      </c>
      <c r="DP167" s="228">
        <v>0.48</v>
      </c>
      <c r="DQ167" s="228">
        <v>0.57999999999999996</v>
      </c>
      <c r="DR167" s="228">
        <v>-0.1</v>
      </c>
      <c r="DS167" s="229">
        <v>-0.1724</v>
      </c>
      <c r="DT167" s="231">
        <v>8000</v>
      </c>
      <c r="DU167" s="231">
        <v>7000</v>
      </c>
      <c r="DV167" s="228">
        <v>0.27</v>
      </c>
      <c r="DW167" s="228">
        <v>0.67</v>
      </c>
      <c r="DX167" s="228">
        <v>-0.4</v>
      </c>
      <c r="DY167" s="229">
        <v>-0.59699999999999998</v>
      </c>
      <c r="DZ167" s="229">
        <v>2.76E-2</v>
      </c>
      <c r="EA167" s="230">
        <v>37375</v>
      </c>
      <c r="EB167" s="229">
        <v>4.8999999999999998E-3</v>
      </c>
      <c r="EC167" s="229">
        <v>2.76E-2</v>
      </c>
      <c r="ED167" s="228">
        <v>37.47</v>
      </c>
      <c r="EE167" s="229">
        <v>4.7999999999999996E-3</v>
      </c>
      <c r="EF167" s="230">
        <v>63954</v>
      </c>
      <c r="EG167" s="230">
        <v>47566</v>
      </c>
      <c r="EH167" s="229">
        <v>0.34449999999999997</v>
      </c>
      <c r="EI167" s="229">
        <v>0.26</v>
      </c>
      <c r="EJ167" s="231">
        <v>268247.63</v>
      </c>
      <c r="EK167" s="231">
        <v>65170.65</v>
      </c>
      <c r="EL167" s="231">
        <v>41711.82</v>
      </c>
      <c r="EM167" s="231">
        <v>2766</v>
      </c>
      <c r="EN167" s="231">
        <v>375130.1</v>
      </c>
      <c r="EO167" s="231">
        <v>109207.65</v>
      </c>
      <c r="EP167" s="231">
        <v>265922.45</v>
      </c>
      <c r="EQ167" s="229">
        <v>2.4350000000000001</v>
      </c>
      <c r="ER167" s="231">
        <v>68739</v>
      </c>
      <c r="ES167" s="231">
        <v>30613</v>
      </c>
      <c r="ET167" s="231">
        <v>136106</v>
      </c>
      <c r="EU167" s="231">
        <v>8350688</v>
      </c>
      <c r="EV167" s="231">
        <v>235458</v>
      </c>
      <c r="EW167" s="231">
        <v>210724</v>
      </c>
      <c r="EX167" s="231">
        <v>24734</v>
      </c>
      <c r="EY167" s="229">
        <v>0.1174</v>
      </c>
      <c r="EZ167" s="229">
        <v>0.36509999999999998</v>
      </c>
      <c r="FA167" s="227" t="s">
        <v>555</v>
      </c>
      <c r="FB167" s="161">
        <f t="shared" si="4"/>
        <v>0</v>
      </c>
    </row>
    <row r="168" spans="1:158" ht="17.25" thickBot="1" x14ac:dyDescent="0.3">
      <c r="A168" s="226">
        <v>45940</v>
      </c>
      <c r="B168" s="227" t="s">
        <v>161</v>
      </c>
      <c r="C168" s="227" t="s">
        <v>276</v>
      </c>
      <c r="D168" s="228">
        <v>1900</v>
      </c>
      <c r="E168" s="228">
        <v>289.60000000000002</v>
      </c>
      <c r="F168" s="228">
        <v>286.89999999999998</v>
      </c>
      <c r="G168" s="228">
        <v>2.7</v>
      </c>
      <c r="H168" s="229">
        <v>9.4000000000000004E-3</v>
      </c>
      <c r="I168" s="228">
        <v>289.14999999999998</v>
      </c>
      <c r="J168" s="228">
        <v>286.14999999999998</v>
      </c>
      <c r="K168" s="228">
        <v>3</v>
      </c>
      <c r="L168" s="229">
        <v>1.0500000000000001E-2</v>
      </c>
      <c r="M168" s="228">
        <v>289.60000000000002</v>
      </c>
      <c r="N168" s="228">
        <v>286.89999999999998</v>
      </c>
      <c r="O168" s="228">
        <v>2.7</v>
      </c>
      <c r="P168" s="229">
        <v>9.4000000000000004E-3</v>
      </c>
      <c r="Q168" s="228">
        <v>287.85000000000002</v>
      </c>
      <c r="R168" s="228">
        <v>285.05</v>
      </c>
      <c r="S168" s="228">
        <v>2.8</v>
      </c>
      <c r="T168" s="229">
        <v>9.7999999999999997E-3</v>
      </c>
      <c r="U168" s="228">
        <v>289.89999999999998</v>
      </c>
      <c r="V168" s="228">
        <v>286.5</v>
      </c>
      <c r="W168" s="228">
        <v>3.4</v>
      </c>
      <c r="X168" s="229">
        <v>1.1900000000000001E-2</v>
      </c>
      <c r="Y168" s="228">
        <v>0.45</v>
      </c>
      <c r="Z168" s="228">
        <v>0.75</v>
      </c>
      <c r="AA168" s="228">
        <v>-0.3</v>
      </c>
      <c r="AB168" s="229">
        <v>1.6000000000000001E-3</v>
      </c>
      <c r="AC168" s="228">
        <v>0.45</v>
      </c>
      <c r="AD168" s="228">
        <v>0.75</v>
      </c>
      <c r="AE168" s="228">
        <v>-0.3</v>
      </c>
      <c r="AF168" s="229">
        <v>1.6000000000000001E-3</v>
      </c>
      <c r="AG168" s="228">
        <v>-1.3</v>
      </c>
      <c r="AH168" s="228">
        <v>-1.1000000000000001</v>
      </c>
      <c r="AI168" s="228">
        <v>-0.2</v>
      </c>
      <c r="AJ168" s="229">
        <v>-4.4999999999999997E-3</v>
      </c>
      <c r="AK168" s="228">
        <v>0.75</v>
      </c>
      <c r="AL168" s="228">
        <v>0.35</v>
      </c>
      <c r="AM168" s="228">
        <v>0.4</v>
      </c>
      <c r="AN168" s="229">
        <v>2.5999999999999999E-3</v>
      </c>
      <c r="AO168" s="228">
        <v>290.17</v>
      </c>
      <c r="AP168" s="228">
        <v>288.23</v>
      </c>
      <c r="AQ168" s="228">
        <v>0</v>
      </c>
      <c r="AR168" s="230">
        <v>10351200</v>
      </c>
      <c r="AS168" s="230">
        <v>7548700</v>
      </c>
      <c r="AT168" s="230">
        <v>2802500</v>
      </c>
      <c r="AU168" s="229">
        <v>0.37130000000000002</v>
      </c>
      <c r="AV168" s="230">
        <v>9327100</v>
      </c>
      <c r="AW168" s="230">
        <v>6748800</v>
      </c>
      <c r="AX168" s="230">
        <v>2578300</v>
      </c>
      <c r="AY168" s="229">
        <v>0.38200000000000001</v>
      </c>
      <c r="AZ168" s="230">
        <v>811300</v>
      </c>
      <c r="BA168" s="230">
        <v>668800</v>
      </c>
      <c r="BB168" s="230">
        <v>142500</v>
      </c>
      <c r="BC168" s="229">
        <v>0.21310000000000001</v>
      </c>
      <c r="BD168" s="230">
        <v>212800</v>
      </c>
      <c r="BE168" s="230">
        <v>131100</v>
      </c>
      <c r="BF168" s="230">
        <v>81700</v>
      </c>
      <c r="BG168" s="229">
        <v>0.62319999999999998</v>
      </c>
      <c r="BH168" s="230">
        <v>34663600</v>
      </c>
      <c r="BI168" s="230">
        <v>19509200</v>
      </c>
      <c r="BJ168" s="230">
        <v>15154400</v>
      </c>
      <c r="BK168" s="229">
        <v>0.77680000000000005</v>
      </c>
      <c r="BL168" s="230">
        <v>14421000</v>
      </c>
      <c r="BM168" s="230">
        <v>11439900</v>
      </c>
      <c r="BN168" s="230">
        <v>2981100</v>
      </c>
      <c r="BO168" s="229">
        <v>0.2606</v>
      </c>
      <c r="BP168" s="230">
        <v>59435800</v>
      </c>
      <c r="BQ168" s="230">
        <v>38497800</v>
      </c>
      <c r="BR168" s="230">
        <v>20938000</v>
      </c>
      <c r="BS168" s="229">
        <v>0.54390000000000005</v>
      </c>
      <c r="BT168" s="230">
        <v>11024571</v>
      </c>
      <c r="BU168" s="230">
        <v>11091309</v>
      </c>
      <c r="BV168" s="230">
        <v>-66738</v>
      </c>
      <c r="BW168" s="229">
        <v>-6.0000000000000001E-3</v>
      </c>
      <c r="BX168" s="230">
        <v>73381800</v>
      </c>
      <c r="BY168" s="230">
        <v>73125300</v>
      </c>
      <c r="BZ168" s="230">
        <v>256500</v>
      </c>
      <c r="CA168" s="229">
        <v>3.5000000000000001E-3</v>
      </c>
      <c r="CB168" s="230">
        <v>70775000</v>
      </c>
      <c r="CC168" s="230">
        <v>70583100</v>
      </c>
      <c r="CD168" s="230">
        <v>191900</v>
      </c>
      <c r="CE168" s="229">
        <v>2.7000000000000001E-3</v>
      </c>
      <c r="CF168" s="230">
        <v>2394000</v>
      </c>
      <c r="CG168" s="230">
        <v>2414900</v>
      </c>
      <c r="CH168" s="230">
        <v>-20900</v>
      </c>
      <c r="CI168" s="229">
        <v>-8.6999999999999994E-3</v>
      </c>
      <c r="CJ168" s="230">
        <v>212800</v>
      </c>
      <c r="CK168" s="230">
        <v>127300</v>
      </c>
      <c r="CL168" s="230">
        <v>85500</v>
      </c>
      <c r="CM168" s="229">
        <v>0.67159999999999997</v>
      </c>
      <c r="CN168" s="230">
        <v>31044100</v>
      </c>
      <c r="CO168" s="230">
        <v>31201800</v>
      </c>
      <c r="CP168" s="230">
        <v>-157700</v>
      </c>
      <c r="CQ168" s="229">
        <v>-5.1000000000000004E-3</v>
      </c>
      <c r="CR168" s="230">
        <v>15808000</v>
      </c>
      <c r="CS168" s="230">
        <v>15927700</v>
      </c>
      <c r="CT168" s="230">
        <v>-119700</v>
      </c>
      <c r="CU168" s="229">
        <v>-7.4999999999999997E-3</v>
      </c>
      <c r="CV168" s="230">
        <v>120233900</v>
      </c>
      <c r="CW168" s="230">
        <v>120254800</v>
      </c>
      <c r="CX168" s="230">
        <v>-20900</v>
      </c>
      <c r="CY168" s="229">
        <v>-2.0000000000000001E-4</v>
      </c>
      <c r="CZ168" s="228">
        <v>17.600000000000001</v>
      </c>
      <c r="DA168" s="228">
        <v>19.5</v>
      </c>
      <c r="DB168" s="228">
        <v>-1.9</v>
      </c>
      <c r="DC168" s="228">
        <v>-1.9</v>
      </c>
      <c r="DD168" s="228">
        <v>29.6</v>
      </c>
      <c r="DE168" s="228">
        <v>29.64</v>
      </c>
      <c r="DF168" s="228">
        <v>-12</v>
      </c>
      <c r="DG168" s="228">
        <v>-0.04</v>
      </c>
      <c r="DH168" s="228">
        <v>17.61</v>
      </c>
      <c r="DI168" s="228">
        <v>19.809999999999999</v>
      </c>
      <c r="DJ168" s="228">
        <v>-2.2000000000000002</v>
      </c>
      <c r="DK168" s="228">
        <v>-2.2000000000000002</v>
      </c>
      <c r="DL168" s="228">
        <v>17.57</v>
      </c>
      <c r="DM168" s="228">
        <v>18.98</v>
      </c>
      <c r="DN168" s="228">
        <v>-1.41</v>
      </c>
      <c r="DO168" s="228">
        <v>-1.41</v>
      </c>
      <c r="DP168" s="228">
        <v>0.51</v>
      </c>
      <c r="DQ168" s="228">
        <v>0.51</v>
      </c>
      <c r="DR168" s="228">
        <v>0</v>
      </c>
      <c r="DS168" s="229">
        <v>0</v>
      </c>
      <c r="DT168" s="228">
        <v>300</v>
      </c>
      <c r="DU168" s="228">
        <v>290</v>
      </c>
      <c r="DV168" s="228">
        <v>0.42</v>
      </c>
      <c r="DW168" s="228">
        <v>0.59</v>
      </c>
      <c r="DX168" s="228">
        <v>-0.17</v>
      </c>
      <c r="DY168" s="229">
        <v>-0.28810000000000002</v>
      </c>
      <c r="DZ168" s="229">
        <v>3.5499999999999997E-2</v>
      </c>
      <c r="EA168" s="230">
        <v>2542200</v>
      </c>
      <c r="EB168" s="229">
        <v>-6.0000000000000001E-3</v>
      </c>
      <c r="EC168" s="229">
        <v>3.5499999999999997E-2</v>
      </c>
      <c r="ED168" s="228">
        <v>-1.94</v>
      </c>
      <c r="EE168" s="229">
        <v>-6.7000000000000002E-3</v>
      </c>
      <c r="EF168" s="230">
        <v>7283704</v>
      </c>
      <c r="EG168" s="230">
        <v>7136728</v>
      </c>
      <c r="EH168" s="229">
        <v>2.06E-2</v>
      </c>
      <c r="EI168" s="229">
        <v>0.66069999999999995</v>
      </c>
      <c r="EJ168" s="231">
        <v>103156.78</v>
      </c>
      <c r="EK168" s="231">
        <v>41839.46</v>
      </c>
      <c r="EL168" s="231">
        <v>30020.59</v>
      </c>
      <c r="EM168" s="231">
        <v>4838</v>
      </c>
      <c r="EN168" s="231">
        <v>175016.83</v>
      </c>
      <c r="EO168" s="231">
        <v>111956.64</v>
      </c>
      <c r="EP168" s="231">
        <v>63060.19</v>
      </c>
      <c r="EQ168" s="229">
        <v>0.56330000000000002</v>
      </c>
      <c r="ER168" s="231">
        <v>92896</v>
      </c>
      <c r="ES168" s="231">
        <v>45051</v>
      </c>
      <c r="ET168" s="231">
        <v>212472</v>
      </c>
      <c r="EU168" s="231">
        <v>488832949</v>
      </c>
      <c r="EV168" s="231">
        <v>350419</v>
      </c>
      <c r="EW168" s="231">
        <v>348315</v>
      </c>
      <c r="EX168" s="231">
        <v>2104</v>
      </c>
      <c r="EY168" s="229">
        <v>6.0000000000000001E-3</v>
      </c>
      <c r="EZ168" s="229">
        <v>0.246</v>
      </c>
      <c r="FA168" s="227" t="s">
        <v>555</v>
      </c>
      <c r="FB168" s="161">
        <f t="shared" si="4"/>
        <v>0</v>
      </c>
    </row>
    <row r="169" spans="1:158" ht="17.25" thickBot="1" x14ac:dyDescent="0.3">
      <c r="A169" s="226">
        <v>45940</v>
      </c>
      <c r="B169" s="227" t="s">
        <v>184</v>
      </c>
      <c r="C169" s="227" t="s">
        <v>689</v>
      </c>
      <c r="D169" s="228">
        <v>50</v>
      </c>
      <c r="E169" s="231">
        <v>17716</v>
      </c>
      <c r="F169" s="231">
        <v>17840</v>
      </c>
      <c r="G169" s="228">
        <v>-124</v>
      </c>
      <c r="H169" s="229">
        <v>-7.0000000000000001E-3</v>
      </c>
      <c r="I169" s="231">
        <v>17645</v>
      </c>
      <c r="J169" s="231">
        <v>17731</v>
      </c>
      <c r="K169" s="228">
        <v>-86</v>
      </c>
      <c r="L169" s="229">
        <v>-4.8999999999999998E-3</v>
      </c>
      <c r="M169" s="231">
        <v>17716</v>
      </c>
      <c r="N169" s="231">
        <v>17840</v>
      </c>
      <c r="O169" s="228">
        <v>-124</v>
      </c>
      <c r="P169" s="229">
        <v>-7.0000000000000001E-3</v>
      </c>
      <c r="Q169" s="231">
        <v>17766</v>
      </c>
      <c r="R169" s="231">
        <v>17883</v>
      </c>
      <c r="S169" s="228">
        <v>-117</v>
      </c>
      <c r="T169" s="229">
        <v>-6.4999999999999997E-3</v>
      </c>
      <c r="U169" s="228">
        <v>0</v>
      </c>
      <c r="V169" s="228">
        <v>0</v>
      </c>
      <c r="W169" s="228">
        <v>0</v>
      </c>
      <c r="X169" s="229">
        <v>0</v>
      </c>
      <c r="Y169" s="228">
        <v>71</v>
      </c>
      <c r="Z169" s="228">
        <v>109</v>
      </c>
      <c r="AA169" s="228">
        <v>-38</v>
      </c>
      <c r="AB169" s="229">
        <v>4.0000000000000001E-3</v>
      </c>
      <c r="AC169" s="228">
        <v>71</v>
      </c>
      <c r="AD169" s="228">
        <v>109</v>
      </c>
      <c r="AE169" s="228">
        <v>-38</v>
      </c>
      <c r="AF169" s="229">
        <v>4.0000000000000001E-3</v>
      </c>
      <c r="AG169" s="228">
        <v>121</v>
      </c>
      <c r="AH169" s="228">
        <v>152</v>
      </c>
      <c r="AI169" s="228">
        <v>-31</v>
      </c>
      <c r="AJ169" s="229">
        <v>6.8999999999999999E-3</v>
      </c>
      <c r="AK169" s="228">
        <v>0</v>
      </c>
      <c r="AL169" s="228">
        <v>0</v>
      </c>
      <c r="AM169" s="228">
        <v>0</v>
      </c>
      <c r="AN169" s="229">
        <v>0</v>
      </c>
      <c r="AO169" s="231">
        <v>17845.77</v>
      </c>
      <c r="AP169" s="231">
        <v>17823.330000000002</v>
      </c>
      <c r="AQ169" s="228">
        <v>0</v>
      </c>
      <c r="AR169" s="230">
        <v>17100</v>
      </c>
      <c r="AS169" s="230">
        <v>17200</v>
      </c>
      <c r="AT169" s="228">
        <v>-100</v>
      </c>
      <c r="AU169" s="229">
        <v>-5.7999999999999996E-3</v>
      </c>
      <c r="AV169" s="230">
        <v>16800</v>
      </c>
      <c r="AW169" s="230">
        <v>16650</v>
      </c>
      <c r="AX169" s="228">
        <v>150</v>
      </c>
      <c r="AY169" s="229">
        <v>8.9999999999999993E-3</v>
      </c>
      <c r="AZ169" s="228">
        <v>300</v>
      </c>
      <c r="BA169" s="228">
        <v>550</v>
      </c>
      <c r="BB169" s="228">
        <v>-250</v>
      </c>
      <c r="BC169" s="229">
        <v>-0.45450000000000002</v>
      </c>
      <c r="BD169" s="228">
        <v>0</v>
      </c>
      <c r="BE169" s="228">
        <v>0</v>
      </c>
      <c r="BF169" s="228">
        <v>0</v>
      </c>
      <c r="BG169" s="229">
        <v>0</v>
      </c>
      <c r="BH169" s="230">
        <v>22450</v>
      </c>
      <c r="BI169" s="230">
        <v>37550</v>
      </c>
      <c r="BJ169" s="230">
        <v>-15100</v>
      </c>
      <c r="BK169" s="229">
        <v>-0.40210000000000001</v>
      </c>
      <c r="BL169" s="230">
        <v>4250</v>
      </c>
      <c r="BM169" s="230">
        <v>8750</v>
      </c>
      <c r="BN169" s="230">
        <v>-4500</v>
      </c>
      <c r="BO169" s="229">
        <v>-0.51429999999999998</v>
      </c>
      <c r="BP169" s="230">
        <v>43800</v>
      </c>
      <c r="BQ169" s="230">
        <v>63500</v>
      </c>
      <c r="BR169" s="230">
        <v>-19700</v>
      </c>
      <c r="BS169" s="229">
        <v>-0.31019999999999998</v>
      </c>
      <c r="BT169" s="230">
        <v>50960</v>
      </c>
      <c r="BU169" s="230">
        <v>47546</v>
      </c>
      <c r="BV169" s="230">
        <v>3414</v>
      </c>
      <c r="BW169" s="229">
        <v>7.1800000000000003E-2</v>
      </c>
      <c r="BX169" s="230">
        <v>61150</v>
      </c>
      <c r="BY169" s="230">
        <v>58000</v>
      </c>
      <c r="BZ169" s="230">
        <v>3150</v>
      </c>
      <c r="CA169" s="229">
        <v>5.4300000000000001E-2</v>
      </c>
      <c r="CB169" s="230">
        <v>60200</v>
      </c>
      <c r="CC169" s="230">
        <v>57200</v>
      </c>
      <c r="CD169" s="230">
        <v>3000</v>
      </c>
      <c r="CE169" s="229">
        <v>5.2400000000000002E-2</v>
      </c>
      <c r="CF169" s="228">
        <v>950</v>
      </c>
      <c r="CG169" s="228">
        <v>800</v>
      </c>
      <c r="CH169" s="228">
        <v>150</v>
      </c>
      <c r="CI169" s="229">
        <v>0.1875</v>
      </c>
      <c r="CJ169" s="228">
        <v>0</v>
      </c>
      <c r="CK169" s="228">
        <v>0</v>
      </c>
      <c r="CL169" s="228">
        <v>0</v>
      </c>
      <c r="CM169" s="229">
        <v>0</v>
      </c>
      <c r="CN169" s="230">
        <v>42600</v>
      </c>
      <c r="CO169" s="230">
        <v>39950</v>
      </c>
      <c r="CP169" s="230">
        <v>2650</v>
      </c>
      <c r="CQ169" s="229">
        <v>6.6299999999999998E-2</v>
      </c>
      <c r="CR169" s="230">
        <v>11900</v>
      </c>
      <c r="CS169" s="230">
        <v>12050</v>
      </c>
      <c r="CT169" s="228">
        <v>-150</v>
      </c>
      <c r="CU169" s="229">
        <v>-1.24E-2</v>
      </c>
      <c r="CV169" s="230">
        <v>115650</v>
      </c>
      <c r="CW169" s="230">
        <v>110000</v>
      </c>
      <c r="CX169" s="230">
        <v>5650</v>
      </c>
      <c r="CY169" s="229">
        <v>5.1400000000000001E-2</v>
      </c>
      <c r="CZ169" s="228">
        <v>37.700000000000003</v>
      </c>
      <c r="DA169" s="228">
        <v>36.53</v>
      </c>
      <c r="DB169" s="228">
        <v>1.17</v>
      </c>
      <c r="DC169" s="228">
        <v>1.17</v>
      </c>
      <c r="DD169" s="228">
        <v>58.46</v>
      </c>
      <c r="DE169" s="228">
        <v>58.61</v>
      </c>
      <c r="DF169" s="228">
        <v>-20.76</v>
      </c>
      <c r="DG169" s="228">
        <v>-0.15</v>
      </c>
      <c r="DH169" s="228">
        <v>37.869999999999997</v>
      </c>
      <c r="DI169" s="228">
        <v>36.049999999999997</v>
      </c>
      <c r="DJ169" s="228">
        <v>1.82</v>
      </c>
      <c r="DK169" s="228">
        <v>1.82</v>
      </c>
      <c r="DL169" s="228">
        <v>36.799999999999997</v>
      </c>
      <c r="DM169" s="228">
        <v>38.61</v>
      </c>
      <c r="DN169" s="228">
        <v>-1.81</v>
      </c>
      <c r="DO169" s="228">
        <v>-1.81</v>
      </c>
      <c r="DP169" s="228">
        <v>0.28000000000000003</v>
      </c>
      <c r="DQ169" s="228">
        <v>0.3</v>
      </c>
      <c r="DR169" s="228">
        <v>-0.02</v>
      </c>
      <c r="DS169" s="229">
        <v>-6.6699999999999995E-2</v>
      </c>
      <c r="DT169" s="231">
        <v>20000</v>
      </c>
      <c r="DU169" s="231">
        <v>17000</v>
      </c>
      <c r="DV169" s="228">
        <v>0.19</v>
      </c>
      <c r="DW169" s="228">
        <v>0.23</v>
      </c>
      <c r="DX169" s="228">
        <v>-0.04</v>
      </c>
      <c r="DY169" s="229">
        <v>-0.1739</v>
      </c>
      <c r="DZ169" s="229">
        <v>1.55E-2</v>
      </c>
      <c r="EA169" s="228">
        <v>800</v>
      </c>
      <c r="EB169" s="229">
        <v>2.8E-3</v>
      </c>
      <c r="EC169" s="229">
        <v>1.55E-2</v>
      </c>
      <c r="ED169" s="228">
        <v>-22.44</v>
      </c>
      <c r="EE169" s="229">
        <v>-1.2999999999999999E-3</v>
      </c>
      <c r="EF169" s="230">
        <v>15805</v>
      </c>
      <c r="EG169" s="230">
        <v>14483</v>
      </c>
      <c r="EH169" s="229">
        <v>9.1300000000000006E-2</v>
      </c>
      <c r="EI169" s="229">
        <v>0.31009999999999999</v>
      </c>
      <c r="EJ169" s="231">
        <v>4269.53</v>
      </c>
      <c r="EK169" s="228">
        <v>723.05</v>
      </c>
      <c r="EL169" s="231">
        <v>3051.56</v>
      </c>
      <c r="EM169" s="228">
        <v>673</v>
      </c>
      <c r="EN169" s="231">
        <v>8044.14</v>
      </c>
      <c r="EO169" s="231">
        <v>11769.2</v>
      </c>
      <c r="EP169" s="231">
        <v>-3725.06</v>
      </c>
      <c r="EQ169" s="229">
        <v>-0.3165</v>
      </c>
      <c r="ER169" s="231">
        <v>8076</v>
      </c>
      <c r="ES169" s="231">
        <v>2058</v>
      </c>
      <c r="ET169" s="231">
        <v>10834</v>
      </c>
      <c r="EU169" s="231">
        <v>1917916</v>
      </c>
      <c r="EV169" s="231">
        <v>20967</v>
      </c>
      <c r="EW169" s="231">
        <v>20013</v>
      </c>
      <c r="EX169" s="228">
        <v>954</v>
      </c>
      <c r="EY169" s="229">
        <v>4.7699999999999999E-2</v>
      </c>
      <c r="EZ169" s="229">
        <v>6.0299999999999999E-2</v>
      </c>
      <c r="FA169" s="227" t="s">
        <v>567</v>
      </c>
      <c r="FB169" s="161">
        <f t="shared" si="4"/>
        <v>0</v>
      </c>
    </row>
    <row r="170" spans="1:158" ht="17.25" thickBot="1" x14ac:dyDescent="0.3">
      <c r="A170" s="226">
        <v>45940</v>
      </c>
      <c r="B170" s="227" t="s">
        <v>170</v>
      </c>
      <c r="C170" s="227" t="s">
        <v>680</v>
      </c>
      <c r="D170" s="228">
        <v>2500</v>
      </c>
      <c r="E170" s="228">
        <v>202.83</v>
      </c>
      <c r="F170" s="228">
        <v>198.72</v>
      </c>
      <c r="G170" s="228">
        <v>4.1100000000000003</v>
      </c>
      <c r="H170" s="229">
        <v>2.07E-2</v>
      </c>
      <c r="I170" s="228">
        <v>201.69</v>
      </c>
      <c r="J170" s="228">
        <v>197.67</v>
      </c>
      <c r="K170" s="228">
        <v>4.0199999999999996</v>
      </c>
      <c r="L170" s="229">
        <v>2.0299999999999999E-2</v>
      </c>
      <c r="M170" s="228">
        <v>202.83</v>
      </c>
      <c r="N170" s="228">
        <v>198.72</v>
      </c>
      <c r="O170" s="228">
        <v>4.1100000000000003</v>
      </c>
      <c r="P170" s="229">
        <v>2.07E-2</v>
      </c>
      <c r="Q170" s="228">
        <v>203.81</v>
      </c>
      <c r="R170" s="228">
        <v>199.53</v>
      </c>
      <c r="S170" s="228">
        <v>4.28</v>
      </c>
      <c r="T170" s="229">
        <v>2.1499999999999998E-2</v>
      </c>
      <c r="U170" s="228">
        <v>205.73</v>
      </c>
      <c r="V170" s="228">
        <v>199.41</v>
      </c>
      <c r="W170" s="228">
        <v>6.32</v>
      </c>
      <c r="X170" s="229">
        <v>3.1699999999999999E-2</v>
      </c>
      <c r="Y170" s="228">
        <v>1.1399999999999999</v>
      </c>
      <c r="Z170" s="228">
        <v>1.05</v>
      </c>
      <c r="AA170" s="228">
        <v>0.09</v>
      </c>
      <c r="AB170" s="229">
        <v>5.7000000000000002E-3</v>
      </c>
      <c r="AC170" s="228">
        <v>1.1399999999999999</v>
      </c>
      <c r="AD170" s="228">
        <v>1.05</v>
      </c>
      <c r="AE170" s="228">
        <v>0.09</v>
      </c>
      <c r="AF170" s="229">
        <v>5.7000000000000002E-3</v>
      </c>
      <c r="AG170" s="228">
        <v>2.12</v>
      </c>
      <c r="AH170" s="228">
        <v>1.86</v>
      </c>
      <c r="AI170" s="228">
        <v>0.26</v>
      </c>
      <c r="AJ170" s="229">
        <v>1.0500000000000001E-2</v>
      </c>
      <c r="AK170" s="228">
        <v>4.04</v>
      </c>
      <c r="AL170" s="228">
        <v>1.74</v>
      </c>
      <c r="AM170" s="228">
        <v>2.2999999999999998</v>
      </c>
      <c r="AN170" s="229">
        <v>0.02</v>
      </c>
      <c r="AO170" s="228">
        <v>203.25</v>
      </c>
      <c r="AP170" s="228">
        <v>204.46</v>
      </c>
      <c r="AQ170" s="228">
        <v>0</v>
      </c>
      <c r="AR170" s="230">
        <v>14825000</v>
      </c>
      <c r="AS170" s="230">
        <v>5612500</v>
      </c>
      <c r="AT170" s="230">
        <v>9212500</v>
      </c>
      <c r="AU170" s="229">
        <v>1.6414</v>
      </c>
      <c r="AV170" s="230">
        <v>13880000</v>
      </c>
      <c r="AW170" s="230">
        <v>5257500</v>
      </c>
      <c r="AX170" s="230">
        <v>8622500</v>
      </c>
      <c r="AY170" s="229">
        <v>1.64</v>
      </c>
      <c r="AZ170" s="230">
        <v>905000</v>
      </c>
      <c r="BA170" s="230">
        <v>342500</v>
      </c>
      <c r="BB170" s="230">
        <v>562500</v>
      </c>
      <c r="BC170" s="229">
        <v>1.6423000000000001</v>
      </c>
      <c r="BD170" s="230">
        <v>40000</v>
      </c>
      <c r="BE170" s="230">
        <v>12500</v>
      </c>
      <c r="BF170" s="230">
        <v>27500</v>
      </c>
      <c r="BG170" s="229">
        <v>2.2000000000000002</v>
      </c>
      <c r="BH170" s="230">
        <v>43750000</v>
      </c>
      <c r="BI170" s="230">
        <v>15985000</v>
      </c>
      <c r="BJ170" s="230">
        <v>27765000</v>
      </c>
      <c r="BK170" s="229">
        <v>1.7369000000000001</v>
      </c>
      <c r="BL170" s="230">
        <v>17707500</v>
      </c>
      <c r="BM170" s="230">
        <v>4562500</v>
      </c>
      <c r="BN170" s="230">
        <v>13145000</v>
      </c>
      <c r="BO170" s="229">
        <v>2.8811</v>
      </c>
      <c r="BP170" s="230">
        <v>76282500</v>
      </c>
      <c r="BQ170" s="230">
        <v>26160000</v>
      </c>
      <c r="BR170" s="230">
        <v>50122500</v>
      </c>
      <c r="BS170" s="229">
        <v>1.9159999999999999</v>
      </c>
      <c r="BT170" s="230">
        <v>7775496</v>
      </c>
      <c r="BU170" s="230">
        <v>4412137</v>
      </c>
      <c r="BV170" s="230">
        <v>3363359</v>
      </c>
      <c r="BW170" s="229">
        <v>0.76229999999999998</v>
      </c>
      <c r="BX170" s="230">
        <v>19482500</v>
      </c>
      <c r="BY170" s="230">
        <v>18112500</v>
      </c>
      <c r="BZ170" s="230">
        <v>1370000</v>
      </c>
      <c r="CA170" s="229">
        <v>7.5600000000000001E-2</v>
      </c>
      <c r="CB170" s="230">
        <v>18497500</v>
      </c>
      <c r="CC170" s="230">
        <v>17170000</v>
      </c>
      <c r="CD170" s="230">
        <v>1327500</v>
      </c>
      <c r="CE170" s="229">
        <v>7.7299999999999994E-2</v>
      </c>
      <c r="CF170" s="230">
        <v>912500</v>
      </c>
      <c r="CG170" s="230">
        <v>882500</v>
      </c>
      <c r="CH170" s="230">
        <v>30000</v>
      </c>
      <c r="CI170" s="229">
        <v>3.4000000000000002E-2</v>
      </c>
      <c r="CJ170" s="230">
        <v>72500</v>
      </c>
      <c r="CK170" s="230">
        <v>60000</v>
      </c>
      <c r="CL170" s="230">
        <v>12500</v>
      </c>
      <c r="CM170" s="229">
        <v>0.20830000000000001</v>
      </c>
      <c r="CN170" s="230">
        <v>11510000</v>
      </c>
      <c r="CO170" s="230">
        <v>10947500</v>
      </c>
      <c r="CP170" s="230">
        <v>562500</v>
      </c>
      <c r="CQ170" s="229">
        <v>5.1400000000000001E-2</v>
      </c>
      <c r="CR170" s="230">
        <v>7605000</v>
      </c>
      <c r="CS170" s="230">
        <v>5230000</v>
      </c>
      <c r="CT170" s="230">
        <v>2375000</v>
      </c>
      <c r="CU170" s="229">
        <v>0.4541</v>
      </c>
      <c r="CV170" s="230">
        <v>38597500</v>
      </c>
      <c r="CW170" s="230">
        <v>34290000</v>
      </c>
      <c r="CX170" s="230">
        <v>4307500</v>
      </c>
      <c r="CY170" s="229">
        <v>0.12559999999999999</v>
      </c>
      <c r="CZ170" s="228">
        <v>35.18</v>
      </c>
      <c r="DA170" s="228">
        <v>33.97</v>
      </c>
      <c r="DB170" s="228">
        <v>1.21</v>
      </c>
      <c r="DC170" s="228">
        <v>1.21</v>
      </c>
      <c r="DD170" s="228">
        <v>47.29</v>
      </c>
      <c r="DE170" s="228">
        <v>47.33</v>
      </c>
      <c r="DF170" s="228">
        <v>-12.11</v>
      </c>
      <c r="DG170" s="228">
        <v>-0.04</v>
      </c>
      <c r="DH170" s="228">
        <v>35.200000000000003</v>
      </c>
      <c r="DI170" s="228">
        <v>33.75</v>
      </c>
      <c r="DJ170" s="228">
        <v>1.45</v>
      </c>
      <c r="DK170" s="228">
        <v>1.45</v>
      </c>
      <c r="DL170" s="228">
        <v>35.15</v>
      </c>
      <c r="DM170" s="228">
        <v>34.75</v>
      </c>
      <c r="DN170" s="228">
        <v>0.4</v>
      </c>
      <c r="DO170" s="228">
        <v>0.4</v>
      </c>
      <c r="DP170" s="228">
        <v>0.66</v>
      </c>
      <c r="DQ170" s="228">
        <v>0.48</v>
      </c>
      <c r="DR170" s="228">
        <v>0.18</v>
      </c>
      <c r="DS170" s="229">
        <v>0.375</v>
      </c>
      <c r="DT170" s="228">
        <v>210</v>
      </c>
      <c r="DU170" s="228">
        <v>190</v>
      </c>
      <c r="DV170" s="228">
        <v>0.4</v>
      </c>
      <c r="DW170" s="228">
        <v>0.28999999999999998</v>
      </c>
      <c r="DX170" s="228">
        <v>0.11</v>
      </c>
      <c r="DY170" s="229">
        <v>0.37930000000000003</v>
      </c>
      <c r="DZ170" s="229">
        <v>5.0599999999999999E-2</v>
      </c>
      <c r="EA170" s="230">
        <v>942500</v>
      </c>
      <c r="EB170" s="229">
        <v>4.7999999999999996E-3</v>
      </c>
      <c r="EC170" s="229">
        <v>5.0599999999999999E-2</v>
      </c>
      <c r="ED170" s="228">
        <v>1.21</v>
      </c>
      <c r="EE170" s="229">
        <v>6.0000000000000001E-3</v>
      </c>
      <c r="EF170" s="230">
        <v>1950876</v>
      </c>
      <c r="EG170" s="230">
        <v>1113302</v>
      </c>
      <c r="EH170" s="229">
        <v>0.75229999999999997</v>
      </c>
      <c r="EI170" s="229">
        <v>0.25090000000000001</v>
      </c>
      <c r="EJ170" s="231">
        <v>93355.66</v>
      </c>
      <c r="EK170" s="231">
        <v>35732.620000000003</v>
      </c>
      <c r="EL170" s="231">
        <v>30143.9</v>
      </c>
      <c r="EM170" s="231">
        <v>1355</v>
      </c>
      <c r="EN170" s="231">
        <v>159232.18</v>
      </c>
      <c r="EO170" s="231">
        <v>53394.22</v>
      </c>
      <c r="EP170" s="231">
        <v>105837.96</v>
      </c>
      <c r="EQ170" s="229">
        <v>1.9822</v>
      </c>
      <c r="ER170" s="231">
        <v>24229</v>
      </c>
      <c r="ES170" s="231">
        <v>14700</v>
      </c>
      <c r="ET170" s="231">
        <v>39527</v>
      </c>
      <c r="EU170" s="231">
        <v>120138597</v>
      </c>
      <c r="EV170" s="231">
        <v>78456</v>
      </c>
      <c r="EW170" s="231">
        <v>69019</v>
      </c>
      <c r="EX170" s="231">
        <v>9437</v>
      </c>
      <c r="EY170" s="229">
        <v>0.13669999999999999</v>
      </c>
      <c r="EZ170" s="229">
        <v>0.32129999999999997</v>
      </c>
      <c r="FA170" s="227" t="s">
        <v>555</v>
      </c>
      <c r="FB170" s="161">
        <f t="shared" si="4"/>
        <v>0</v>
      </c>
    </row>
    <row r="171" spans="1:158" ht="17.25" thickBot="1" x14ac:dyDescent="0.3">
      <c r="A171" s="226">
        <v>45940</v>
      </c>
      <c r="B171" s="227" t="s">
        <v>206</v>
      </c>
      <c r="C171" s="227" t="s">
        <v>606</v>
      </c>
      <c r="D171" s="228">
        <v>450</v>
      </c>
      <c r="E171" s="231">
        <v>1627.9</v>
      </c>
      <c r="F171" s="231">
        <v>1587.9</v>
      </c>
      <c r="G171" s="228">
        <v>40</v>
      </c>
      <c r="H171" s="229">
        <v>2.52E-2</v>
      </c>
      <c r="I171" s="231">
        <v>1621.6</v>
      </c>
      <c r="J171" s="231">
        <v>1582.9</v>
      </c>
      <c r="K171" s="228">
        <v>38.700000000000003</v>
      </c>
      <c r="L171" s="229">
        <v>2.4400000000000002E-2</v>
      </c>
      <c r="M171" s="231">
        <v>1627.9</v>
      </c>
      <c r="N171" s="231">
        <v>1587.9</v>
      </c>
      <c r="O171" s="228">
        <v>40</v>
      </c>
      <c r="P171" s="229">
        <v>2.52E-2</v>
      </c>
      <c r="Q171" s="231">
        <v>1635.4</v>
      </c>
      <c r="R171" s="231">
        <v>1594.7</v>
      </c>
      <c r="S171" s="228">
        <v>40.700000000000003</v>
      </c>
      <c r="T171" s="229">
        <v>2.5499999999999998E-2</v>
      </c>
      <c r="U171" s="231">
        <v>1645.8</v>
      </c>
      <c r="V171" s="231">
        <v>1602.2</v>
      </c>
      <c r="W171" s="228">
        <v>43.6</v>
      </c>
      <c r="X171" s="229">
        <v>2.7199999999999998E-2</v>
      </c>
      <c r="Y171" s="228">
        <v>6.3</v>
      </c>
      <c r="Z171" s="228">
        <v>5</v>
      </c>
      <c r="AA171" s="228">
        <v>1.3</v>
      </c>
      <c r="AB171" s="229">
        <v>3.8999999999999998E-3</v>
      </c>
      <c r="AC171" s="228">
        <v>6.3</v>
      </c>
      <c r="AD171" s="228">
        <v>5</v>
      </c>
      <c r="AE171" s="228">
        <v>1.3</v>
      </c>
      <c r="AF171" s="229">
        <v>3.8999999999999998E-3</v>
      </c>
      <c r="AG171" s="228">
        <v>13.8</v>
      </c>
      <c r="AH171" s="228">
        <v>11.8</v>
      </c>
      <c r="AI171" s="228">
        <v>2</v>
      </c>
      <c r="AJ171" s="229">
        <v>8.5000000000000006E-3</v>
      </c>
      <c r="AK171" s="228">
        <v>24.2</v>
      </c>
      <c r="AL171" s="228">
        <v>19.3</v>
      </c>
      <c r="AM171" s="228">
        <v>4.9000000000000004</v>
      </c>
      <c r="AN171" s="229">
        <v>1.49E-2</v>
      </c>
      <c r="AO171" s="231">
        <v>1625.19</v>
      </c>
      <c r="AP171" s="231">
        <v>1630.55</v>
      </c>
      <c r="AQ171" s="228">
        <v>0</v>
      </c>
      <c r="AR171" s="230">
        <v>1628100</v>
      </c>
      <c r="AS171" s="230">
        <v>3181950</v>
      </c>
      <c r="AT171" s="230">
        <v>-1553850</v>
      </c>
      <c r="AU171" s="229">
        <v>-0.48830000000000001</v>
      </c>
      <c r="AV171" s="230">
        <v>1561050</v>
      </c>
      <c r="AW171" s="230">
        <v>3041100</v>
      </c>
      <c r="AX171" s="230">
        <v>-1480050</v>
      </c>
      <c r="AY171" s="229">
        <v>-0.48670000000000002</v>
      </c>
      <c r="AZ171" s="230">
        <v>56700</v>
      </c>
      <c r="BA171" s="230">
        <v>130500</v>
      </c>
      <c r="BB171" s="230">
        <v>-73800</v>
      </c>
      <c r="BC171" s="229">
        <v>-0.5655</v>
      </c>
      <c r="BD171" s="230">
        <v>10350</v>
      </c>
      <c r="BE171" s="230">
        <v>10350</v>
      </c>
      <c r="BF171" s="228">
        <v>0</v>
      </c>
      <c r="BG171" s="229">
        <v>0</v>
      </c>
      <c r="BH171" s="230">
        <v>8223750</v>
      </c>
      <c r="BI171" s="230">
        <v>13000950</v>
      </c>
      <c r="BJ171" s="230">
        <v>-4777200</v>
      </c>
      <c r="BK171" s="229">
        <v>-0.36749999999999999</v>
      </c>
      <c r="BL171" s="230">
        <v>2977650</v>
      </c>
      <c r="BM171" s="230">
        <v>5531850</v>
      </c>
      <c r="BN171" s="230">
        <v>-2554200</v>
      </c>
      <c r="BO171" s="229">
        <v>-0.4617</v>
      </c>
      <c r="BP171" s="230">
        <v>12829500</v>
      </c>
      <c r="BQ171" s="230">
        <v>21714750</v>
      </c>
      <c r="BR171" s="230">
        <v>-8885250</v>
      </c>
      <c r="BS171" s="229">
        <v>-0.40920000000000001</v>
      </c>
      <c r="BT171" s="230">
        <v>1439892</v>
      </c>
      <c r="BU171" s="230">
        <v>3816470</v>
      </c>
      <c r="BV171" s="230">
        <v>-2376578</v>
      </c>
      <c r="BW171" s="229">
        <v>-0.62270000000000003</v>
      </c>
      <c r="BX171" s="230">
        <v>4528800</v>
      </c>
      <c r="BY171" s="230">
        <v>4611150</v>
      </c>
      <c r="BZ171" s="230">
        <v>-82350</v>
      </c>
      <c r="CA171" s="229">
        <v>-1.7899999999999999E-2</v>
      </c>
      <c r="CB171" s="230">
        <v>4464450</v>
      </c>
      <c r="CC171" s="230">
        <v>4545900</v>
      </c>
      <c r="CD171" s="230">
        <v>-81450</v>
      </c>
      <c r="CE171" s="229">
        <v>-1.7899999999999999E-2</v>
      </c>
      <c r="CF171" s="230">
        <v>53550</v>
      </c>
      <c r="CG171" s="230">
        <v>56700</v>
      </c>
      <c r="CH171" s="230">
        <v>-3150</v>
      </c>
      <c r="CI171" s="229">
        <v>-5.5599999999999997E-2</v>
      </c>
      <c r="CJ171" s="230">
        <v>10800</v>
      </c>
      <c r="CK171" s="230">
        <v>8550</v>
      </c>
      <c r="CL171" s="230">
        <v>2250</v>
      </c>
      <c r="CM171" s="229">
        <v>0.26319999999999999</v>
      </c>
      <c r="CN171" s="230">
        <v>1984500</v>
      </c>
      <c r="CO171" s="230">
        <v>1694700</v>
      </c>
      <c r="CP171" s="230">
        <v>289800</v>
      </c>
      <c r="CQ171" s="229">
        <v>0.17100000000000001</v>
      </c>
      <c r="CR171" s="230">
        <v>1335150</v>
      </c>
      <c r="CS171" s="230">
        <v>1170900</v>
      </c>
      <c r="CT171" s="230">
        <v>164250</v>
      </c>
      <c r="CU171" s="229">
        <v>0.14030000000000001</v>
      </c>
      <c r="CV171" s="230">
        <v>7848450</v>
      </c>
      <c r="CW171" s="230">
        <v>7476750</v>
      </c>
      <c r="CX171" s="230">
        <v>371700</v>
      </c>
      <c r="CY171" s="229">
        <v>4.9700000000000001E-2</v>
      </c>
      <c r="CZ171" s="228">
        <v>29.94</v>
      </c>
      <c r="DA171" s="228">
        <v>31.59</v>
      </c>
      <c r="DB171" s="228">
        <v>-1.65</v>
      </c>
      <c r="DC171" s="228">
        <v>-1.65</v>
      </c>
      <c r="DD171" s="228">
        <v>47.46</v>
      </c>
      <c r="DE171" s="228">
        <v>47.46</v>
      </c>
      <c r="DF171" s="228">
        <v>-17.52</v>
      </c>
      <c r="DG171" s="228">
        <v>0</v>
      </c>
      <c r="DH171" s="228">
        <v>29.98</v>
      </c>
      <c r="DI171" s="228">
        <v>31.52</v>
      </c>
      <c r="DJ171" s="228">
        <v>-1.54</v>
      </c>
      <c r="DK171" s="228">
        <v>-1.54</v>
      </c>
      <c r="DL171" s="228">
        <v>29.83</v>
      </c>
      <c r="DM171" s="228">
        <v>31.76</v>
      </c>
      <c r="DN171" s="228">
        <v>-1.93</v>
      </c>
      <c r="DO171" s="228">
        <v>-1.93</v>
      </c>
      <c r="DP171" s="228">
        <v>0.67</v>
      </c>
      <c r="DQ171" s="228">
        <v>0.69</v>
      </c>
      <c r="DR171" s="228">
        <v>-0.02</v>
      </c>
      <c r="DS171" s="229">
        <v>-2.9000000000000001E-2</v>
      </c>
      <c r="DT171" s="231">
        <v>1820</v>
      </c>
      <c r="DU171" s="231">
        <v>1600</v>
      </c>
      <c r="DV171" s="228">
        <v>0.36</v>
      </c>
      <c r="DW171" s="228">
        <v>0.43</v>
      </c>
      <c r="DX171" s="228">
        <v>-7.0000000000000007E-2</v>
      </c>
      <c r="DY171" s="229">
        <v>-0.1628</v>
      </c>
      <c r="DZ171" s="229">
        <v>1.4200000000000001E-2</v>
      </c>
      <c r="EA171" s="230">
        <v>65250</v>
      </c>
      <c r="EB171" s="229">
        <v>4.5999999999999999E-3</v>
      </c>
      <c r="EC171" s="229">
        <v>1.4200000000000001E-2</v>
      </c>
      <c r="ED171" s="228">
        <v>5.36</v>
      </c>
      <c r="EE171" s="229">
        <v>3.3E-3</v>
      </c>
      <c r="EF171" s="230">
        <v>577708</v>
      </c>
      <c r="EG171" s="230">
        <v>720587</v>
      </c>
      <c r="EH171" s="229">
        <v>-0.1983</v>
      </c>
      <c r="EI171" s="229">
        <v>0.4012</v>
      </c>
      <c r="EJ171" s="231">
        <v>140234.20000000001</v>
      </c>
      <c r="EK171" s="231">
        <v>47164.11</v>
      </c>
      <c r="EL171" s="231">
        <v>26464.32</v>
      </c>
      <c r="EM171" s="231">
        <v>2581</v>
      </c>
      <c r="EN171" s="231">
        <v>213862.63</v>
      </c>
      <c r="EO171" s="231">
        <v>353133.02</v>
      </c>
      <c r="EP171" s="231">
        <v>-139270.39000000001</v>
      </c>
      <c r="EQ171" s="229">
        <v>-0.39439999999999997</v>
      </c>
      <c r="ER171" s="231">
        <v>33705</v>
      </c>
      <c r="ES171" s="231">
        <v>20497</v>
      </c>
      <c r="ET171" s="231">
        <v>73730</v>
      </c>
      <c r="EU171" s="231">
        <v>25234534</v>
      </c>
      <c r="EV171" s="231">
        <v>127933</v>
      </c>
      <c r="EW171" s="231">
        <v>118857</v>
      </c>
      <c r="EX171" s="231">
        <v>9076</v>
      </c>
      <c r="EY171" s="229">
        <v>7.6399999999999996E-2</v>
      </c>
      <c r="EZ171" s="229">
        <v>0.311</v>
      </c>
      <c r="FA171" s="227" t="s">
        <v>556</v>
      </c>
      <c r="FB171" s="161">
        <f t="shared" si="4"/>
        <v>0</v>
      </c>
    </row>
    <row r="172" spans="1:158" ht="17.25" thickBot="1" x14ac:dyDescent="0.3">
      <c r="A172" s="226">
        <v>45940</v>
      </c>
      <c r="B172" s="227" t="s">
        <v>172</v>
      </c>
      <c r="C172" s="227" t="s">
        <v>279</v>
      </c>
      <c r="D172" s="228">
        <v>3175</v>
      </c>
      <c r="E172" s="228">
        <v>292.60000000000002</v>
      </c>
      <c r="F172" s="228">
        <v>287.75</v>
      </c>
      <c r="G172" s="228">
        <v>4.8499999999999996</v>
      </c>
      <c r="H172" s="229">
        <v>1.6899999999999998E-2</v>
      </c>
      <c r="I172" s="228">
        <v>291.60000000000002</v>
      </c>
      <c r="J172" s="228">
        <v>286.7</v>
      </c>
      <c r="K172" s="228">
        <v>4.9000000000000004</v>
      </c>
      <c r="L172" s="229">
        <v>1.7100000000000001E-2</v>
      </c>
      <c r="M172" s="228">
        <v>292.60000000000002</v>
      </c>
      <c r="N172" s="228">
        <v>287.75</v>
      </c>
      <c r="O172" s="228">
        <v>4.8499999999999996</v>
      </c>
      <c r="P172" s="229">
        <v>1.6899999999999998E-2</v>
      </c>
      <c r="Q172" s="228">
        <v>294.05</v>
      </c>
      <c r="R172" s="228">
        <v>286.5</v>
      </c>
      <c r="S172" s="228">
        <v>7.55</v>
      </c>
      <c r="T172" s="229">
        <v>2.64E-2</v>
      </c>
      <c r="U172" s="228">
        <v>290</v>
      </c>
      <c r="V172" s="228">
        <v>290</v>
      </c>
      <c r="W172" s="228">
        <v>0</v>
      </c>
      <c r="X172" s="229">
        <v>0</v>
      </c>
      <c r="Y172" s="228">
        <v>1</v>
      </c>
      <c r="Z172" s="228">
        <v>1.05</v>
      </c>
      <c r="AA172" s="228">
        <v>-0.05</v>
      </c>
      <c r="AB172" s="229">
        <v>3.3999999999999998E-3</v>
      </c>
      <c r="AC172" s="228">
        <v>1</v>
      </c>
      <c r="AD172" s="228">
        <v>1.05</v>
      </c>
      <c r="AE172" s="228">
        <v>-0.05</v>
      </c>
      <c r="AF172" s="229">
        <v>3.3999999999999998E-3</v>
      </c>
      <c r="AG172" s="228">
        <v>2.4500000000000002</v>
      </c>
      <c r="AH172" s="228">
        <v>-0.2</v>
      </c>
      <c r="AI172" s="228">
        <v>2.65</v>
      </c>
      <c r="AJ172" s="229">
        <v>8.3999999999999995E-3</v>
      </c>
      <c r="AK172" s="228">
        <v>-1.6</v>
      </c>
      <c r="AL172" s="228">
        <v>3.3</v>
      </c>
      <c r="AM172" s="228">
        <v>-4.9000000000000004</v>
      </c>
      <c r="AN172" s="229">
        <v>-5.4999999999999997E-3</v>
      </c>
      <c r="AO172" s="228">
        <v>291.61</v>
      </c>
      <c r="AP172" s="228">
        <v>293.83</v>
      </c>
      <c r="AQ172" s="228">
        <v>0</v>
      </c>
      <c r="AR172" s="230">
        <v>1279525</v>
      </c>
      <c r="AS172" s="230">
        <v>942975</v>
      </c>
      <c r="AT172" s="230">
        <v>336550</v>
      </c>
      <c r="AU172" s="229">
        <v>0.3569</v>
      </c>
      <c r="AV172" s="230">
        <v>1238250</v>
      </c>
      <c r="AW172" s="230">
        <v>939800</v>
      </c>
      <c r="AX172" s="230">
        <v>298450</v>
      </c>
      <c r="AY172" s="229">
        <v>0.31759999999999999</v>
      </c>
      <c r="AZ172" s="230">
        <v>41275</v>
      </c>
      <c r="BA172" s="230">
        <v>3175</v>
      </c>
      <c r="BB172" s="230">
        <v>38100</v>
      </c>
      <c r="BC172" s="229">
        <v>12</v>
      </c>
      <c r="BD172" s="228">
        <v>0</v>
      </c>
      <c r="BE172" s="228">
        <v>0</v>
      </c>
      <c r="BF172" s="228">
        <v>0</v>
      </c>
      <c r="BG172" s="229">
        <v>0</v>
      </c>
      <c r="BH172" s="230">
        <v>695325</v>
      </c>
      <c r="BI172" s="230">
        <v>387350</v>
      </c>
      <c r="BJ172" s="230">
        <v>307975</v>
      </c>
      <c r="BK172" s="229">
        <v>0.79510000000000003</v>
      </c>
      <c r="BL172" s="230">
        <v>292100</v>
      </c>
      <c r="BM172" s="230">
        <v>168275</v>
      </c>
      <c r="BN172" s="230">
        <v>123825</v>
      </c>
      <c r="BO172" s="229">
        <v>0.73580000000000001</v>
      </c>
      <c r="BP172" s="230">
        <v>2266950</v>
      </c>
      <c r="BQ172" s="230">
        <v>1498600</v>
      </c>
      <c r="BR172" s="230">
        <v>768350</v>
      </c>
      <c r="BS172" s="229">
        <v>0.51270000000000004</v>
      </c>
      <c r="BT172" s="230">
        <v>10593519</v>
      </c>
      <c r="BU172" s="230">
        <v>7730067</v>
      </c>
      <c r="BV172" s="230">
        <v>2863452</v>
      </c>
      <c r="BW172" s="229">
        <v>0.37040000000000001</v>
      </c>
      <c r="BX172" s="230">
        <v>79508350</v>
      </c>
      <c r="BY172" s="230">
        <v>80711675</v>
      </c>
      <c r="BZ172" s="230">
        <v>-1203325</v>
      </c>
      <c r="CA172" s="229">
        <v>-1.49E-2</v>
      </c>
      <c r="CB172" s="230">
        <v>76019025</v>
      </c>
      <c r="CC172" s="230">
        <v>77181075</v>
      </c>
      <c r="CD172" s="230">
        <v>-1162050</v>
      </c>
      <c r="CE172" s="229">
        <v>-1.5100000000000001E-2</v>
      </c>
      <c r="CF172" s="230">
        <v>3355975</v>
      </c>
      <c r="CG172" s="230">
        <v>3397250</v>
      </c>
      <c r="CH172" s="230">
        <v>-41275</v>
      </c>
      <c r="CI172" s="229">
        <v>-1.21E-2</v>
      </c>
      <c r="CJ172" s="230">
        <v>133350</v>
      </c>
      <c r="CK172" s="230">
        <v>133350</v>
      </c>
      <c r="CL172" s="228">
        <v>0</v>
      </c>
      <c r="CM172" s="229">
        <v>0</v>
      </c>
      <c r="CN172" s="230">
        <v>21478875</v>
      </c>
      <c r="CO172" s="230">
        <v>22148800</v>
      </c>
      <c r="CP172" s="230">
        <v>-669925</v>
      </c>
      <c r="CQ172" s="229">
        <v>-3.0200000000000001E-2</v>
      </c>
      <c r="CR172" s="230">
        <v>9305925</v>
      </c>
      <c r="CS172" s="230">
        <v>9585325</v>
      </c>
      <c r="CT172" s="230">
        <v>-279400</v>
      </c>
      <c r="CU172" s="229">
        <v>-2.9100000000000001E-2</v>
      </c>
      <c r="CV172" s="230">
        <v>110293150</v>
      </c>
      <c r="CW172" s="230">
        <v>112445800</v>
      </c>
      <c r="CX172" s="230">
        <v>-2152650</v>
      </c>
      <c r="CY172" s="229">
        <v>-1.9099999999999999E-2</v>
      </c>
      <c r="CZ172" s="228">
        <v>44.65</v>
      </c>
      <c r="DA172" s="228">
        <v>48.55</v>
      </c>
      <c r="DB172" s="228">
        <v>-3.9</v>
      </c>
      <c r="DC172" s="228">
        <v>-3.9</v>
      </c>
      <c r="DD172" s="228">
        <v>46.74</v>
      </c>
      <c r="DE172" s="228">
        <v>46.8</v>
      </c>
      <c r="DF172" s="228">
        <v>-2.09</v>
      </c>
      <c r="DG172" s="228">
        <v>-0.06</v>
      </c>
      <c r="DH172" s="228">
        <v>44.36</v>
      </c>
      <c r="DI172" s="228">
        <v>50.25</v>
      </c>
      <c r="DJ172" s="228">
        <v>-5.89</v>
      </c>
      <c r="DK172" s="228">
        <v>-5.89</v>
      </c>
      <c r="DL172" s="228">
        <v>45.35</v>
      </c>
      <c r="DM172" s="228">
        <v>44.64</v>
      </c>
      <c r="DN172" s="228">
        <v>0.71</v>
      </c>
      <c r="DO172" s="228">
        <v>0.71</v>
      </c>
      <c r="DP172" s="228">
        <v>0.43</v>
      </c>
      <c r="DQ172" s="228">
        <v>0.43</v>
      </c>
      <c r="DR172" s="228">
        <v>0</v>
      </c>
      <c r="DS172" s="229">
        <v>0</v>
      </c>
      <c r="DT172" s="228">
        <v>300</v>
      </c>
      <c r="DU172" s="228">
        <v>250</v>
      </c>
      <c r="DV172" s="228">
        <v>0.42</v>
      </c>
      <c r="DW172" s="228">
        <v>0.43</v>
      </c>
      <c r="DX172" s="228">
        <v>-0.01</v>
      </c>
      <c r="DY172" s="229">
        <v>-2.3300000000000001E-2</v>
      </c>
      <c r="DZ172" s="229">
        <v>4.3900000000000002E-2</v>
      </c>
      <c r="EA172" s="230">
        <v>3530600</v>
      </c>
      <c r="EB172" s="229">
        <v>5.0000000000000001E-3</v>
      </c>
      <c r="EC172" s="229">
        <v>4.3900000000000002E-2</v>
      </c>
      <c r="ED172" s="228">
        <v>2.2200000000000002</v>
      </c>
      <c r="EE172" s="229">
        <v>7.6E-3</v>
      </c>
      <c r="EF172" s="230">
        <v>4483751</v>
      </c>
      <c r="EG172" s="230">
        <v>2566586</v>
      </c>
      <c r="EH172" s="229">
        <v>0.747</v>
      </c>
      <c r="EI172" s="229">
        <v>0.42330000000000001</v>
      </c>
      <c r="EJ172" s="231">
        <v>2073.62</v>
      </c>
      <c r="EK172" s="228">
        <v>765.97</v>
      </c>
      <c r="EL172" s="231">
        <v>3732.15</v>
      </c>
      <c r="EM172" s="231">
        <v>1068</v>
      </c>
      <c r="EN172" s="231">
        <v>6571.74</v>
      </c>
      <c r="EO172" s="231">
        <v>4303.92</v>
      </c>
      <c r="EP172" s="231">
        <v>2267.8200000000002</v>
      </c>
      <c r="EQ172" s="229">
        <v>0.52690000000000003</v>
      </c>
      <c r="ER172" s="231">
        <v>62039</v>
      </c>
      <c r="ES172" s="231">
        <v>24152</v>
      </c>
      <c r="ET172" s="231">
        <v>232687</v>
      </c>
      <c r="EU172" s="231">
        <v>91351468</v>
      </c>
      <c r="EV172" s="231">
        <v>318877</v>
      </c>
      <c r="EW172" s="231">
        <v>320985</v>
      </c>
      <c r="EX172" s="231">
        <v>-2108</v>
      </c>
      <c r="EY172" s="229">
        <v>-6.6E-3</v>
      </c>
      <c r="EZ172" s="229">
        <v>1.2073</v>
      </c>
      <c r="FA172" s="227" t="s">
        <v>556</v>
      </c>
      <c r="FB172" s="161">
        <f t="shared" si="4"/>
        <v>0</v>
      </c>
    </row>
    <row r="173" spans="1:158" ht="17.25" thickBot="1" x14ac:dyDescent="0.3">
      <c r="A173" s="226">
        <v>45940</v>
      </c>
      <c r="B173" s="227" t="s">
        <v>175</v>
      </c>
      <c r="C173" s="227" t="s">
        <v>280</v>
      </c>
      <c r="D173" s="228">
        <v>1275</v>
      </c>
      <c r="E173" s="228">
        <v>374.65</v>
      </c>
      <c r="F173" s="228">
        <v>373.7</v>
      </c>
      <c r="G173" s="228">
        <v>0.95</v>
      </c>
      <c r="H173" s="229">
        <v>2.5000000000000001E-3</v>
      </c>
      <c r="I173" s="228">
        <v>372.95</v>
      </c>
      <c r="J173" s="228">
        <v>371.6</v>
      </c>
      <c r="K173" s="228">
        <v>1.35</v>
      </c>
      <c r="L173" s="229">
        <v>3.5999999999999999E-3</v>
      </c>
      <c r="M173" s="228">
        <v>374.65</v>
      </c>
      <c r="N173" s="228">
        <v>373.7</v>
      </c>
      <c r="O173" s="228">
        <v>0.95</v>
      </c>
      <c r="P173" s="229">
        <v>2.5000000000000001E-3</v>
      </c>
      <c r="Q173" s="228">
        <v>374.15</v>
      </c>
      <c r="R173" s="228">
        <v>372.35</v>
      </c>
      <c r="S173" s="228">
        <v>1.8</v>
      </c>
      <c r="T173" s="229">
        <v>4.7999999999999996E-3</v>
      </c>
      <c r="U173" s="228">
        <v>376.1</v>
      </c>
      <c r="V173" s="228">
        <v>374.4</v>
      </c>
      <c r="W173" s="228">
        <v>1.7</v>
      </c>
      <c r="X173" s="229">
        <v>4.4999999999999997E-3</v>
      </c>
      <c r="Y173" s="228">
        <v>1.7</v>
      </c>
      <c r="Z173" s="228">
        <v>2.1</v>
      </c>
      <c r="AA173" s="228">
        <v>-0.4</v>
      </c>
      <c r="AB173" s="229">
        <v>4.5999999999999999E-3</v>
      </c>
      <c r="AC173" s="228">
        <v>1.7</v>
      </c>
      <c r="AD173" s="228">
        <v>2.1</v>
      </c>
      <c r="AE173" s="228">
        <v>-0.4</v>
      </c>
      <c r="AF173" s="229">
        <v>4.5999999999999999E-3</v>
      </c>
      <c r="AG173" s="228">
        <v>1.2</v>
      </c>
      <c r="AH173" s="228">
        <v>0.75</v>
      </c>
      <c r="AI173" s="228">
        <v>0.45</v>
      </c>
      <c r="AJ173" s="229">
        <v>3.2000000000000002E-3</v>
      </c>
      <c r="AK173" s="228">
        <v>3.15</v>
      </c>
      <c r="AL173" s="228">
        <v>2.8</v>
      </c>
      <c r="AM173" s="228">
        <v>0.35</v>
      </c>
      <c r="AN173" s="229">
        <v>8.3999999999999995E-3</v>
      </c>
      <c r="AO173" s="228">
        <v>376.72</v>
      </c>
      <c r="AP173" s="228">
        <v>375.66</v>
      </c>
      <c r="AQ173" s="228">
        <v>0</v>
      </c>
      <c r="AR173" s="230">
        <v>10398900</v>
      </c>
      <c r="AS173" s="230">
        <v>5676300</v>
      </c>
      <c r="AT173" s="230">
        <v>4722600</v>
      </c>
      <c r="AU173" s="229">
        <v>0.83199999999999996</v>
      </c>
      <c r="AV173" s="230">
        <v>7003575</v>
      </c>
      <c r="AW173" s="230">
        <v>4248300</v>
      </c>
      <c r="AX173" s="230">
        <v>2755275</v>
      </c>
      <c r="AY173" s="229">
        <v>0.64859999999999995</v>
      </c>
      <c r="AZ173" s="230">
        <v>3118650</v>
      </c>
      <c r="BA173" s="230">
        <v>1268625</v>
      </c>
      <c r="BB173" s="230">
        <v>1850025</v>
      </c>
      <c r="BC173" s="229">
        <v>1.4582999999999999</v>
      </c>
      <c r="BD173" s="230">
        <v>276675</v>
      </c>
      <c r="BE173" s="230">
        <v>159375</v>
      </c>
      <c r="BF173" s="230">
        <v>117300</v>
      </c>
      <c r="BG173" s="229">
        <v>0.73599999999999999</v>
      </c>
      <c r="BH173" s="230">
        <v>16105800</v>
      </c>
      <c r="BI173" s="230">
        <v>12236175</v>
      </c>
      <c r="BJ173" s="230">
        <v>3869625</v>
      </c>
      <c r="BK173" s="229">
        <v>0.31619999999999998</v>
      </c>
      <c r="BL173" s="230">
        <v>6440025</v>
      </c>
      <c r="BM173" s="230">
        <v>5344800</v>
      </c>
      <c r="BN173" s="230">
        <v>1095225</v>
      </c>
      <c r="BO173" s="229">
        <v>0.2049</v>
      </c>
      <c r="BP173" s="230">
        <v>32944725</v>
      </c>
      <c r="BQ173" s="230">
        <v>23257275</v>
      </c>
      <c r="BR173" s="230">
        <v>9687450</v>
      </c>
      <c r="BS173" s="229">
        <v>0.41649999999999998</v>
      </c>
      <c r="BT173" s="230">
        <v>3865532</v>
      </c>
      <c r="BU173" s="230">
        <v>5101646</v>
      </c>
      <c r="BV173" s="230">
        <v>-1236114</v>
      </c>
      <c r="BW173" s="229">
        <v>-0.24229999999999999</v>
      </c>
      <c r="BX173" s="230">
        <v>84188250</v>
      </c>
      <c r="BY173" s="230">
        <v>81385800</v>
      </c>
      <c r="BZ173" s="230">
        <v>2802450</v>
      </c>
      <c r="CA173" s="229">
        <v>3.44E-2</v>
      </c>
      <c r="CB173" s="230">
        <v>69974550</v>
      </c>
      <c r="CC173" s="230">
        <v>69502800</v>
      </c>
      <c r="CD173" s="230">
        <v>471750</v>
      </c>
      <c r="CE173" s="229">
        <v>6.7999999999999996E-3</v>
      </c>
      <c r="CF173" s="230">
        <v>13729200</v>
      </c>
      <c r="CG173" s="230">
        <v>11524725</v>
      </c>
      <c r="CH173" s="230">
        <v>2204475</v>
      </c>
      <c r="CI173" s="229">
        <v>0.1913</v>
      </c>
      <c r="CJ173" s="230">
        <v>484500</v>
      </c>
      <c r="CK173" s="230">
        <v>358275</v>
      </c>
      <c r="CL173" s="230">
        <v>126225</v>
      </c>
      <c r="CM173" s="229">
        <v>0.3523</v>
      </c>
      <c r="CN173" s="230">
        <v>26505975</v>
      </c>
      <c r="CO173" s="230">
        <v>25642800</v>
      </c>
      <c r="CP173" s="230">
        <v>863175</v>
      </c>
      <c r="CQ173" s="229">
        <v>3.3700000000000001E-2</v>
      </c>
      <c r="CR173" s="230">
        <v>23535225</v>
      </c>
      <c r="CS173" s="230">
        <v>23340150</v>
      </c>
      <c r="CT173" s="230">
        <v>195075</v>
      </c>
      <c r="CU173" s="229">
        <v>8.3999999999999995E-3</v>
      </c>
      <c r="CV173" s="230">
        <v>134229450</v>
      </c>
      <c r="CW173" s="230">
        <v>130368750</v>
      </c>
      <c r="CX173" s="230">
        <v>3860700</v>
      </c>
      <c r="CY173" s="229">
        <v>2.9600000000000001E-2</v>
      </c>
      <c r="CZ173" s="228">
        <v>26.43</v>
      </c>
      <c r="DA173" s="228">
        <v>26.97</v>
      </c>
      <c r="DB173" s="228">
        <v>-0.54</v>
      </c>
      <c r="DC173" s="228">
        <v>-0.54</v>
      </c>
      <c r="DD173" s="228">
        <v>45.35</v>
      </c>
      <c r="DE173" s="228">
        <v>45.47</v>
      </c>
      <c r="DF173" s="228">
        <v>-18.920000000000002</v>
      </c>
      <c r="DG173" s="228">
        <v>-0.12</v>
      </c>
      <c r="DH173" s="228">
        <v>26.37</v>
      </c>
      <c r="DI173" s="228">
        <v>26.94</v>
      </c>
      <c r="DJ173" s="228">
        <v>-0.56999999999999995</v>
      </c>
      <c r="DK173" s="228">
        <v>-0.56999999999999995</v>
      </c>
      <c r="DL173" s="228">
        <v>26.59</v>
      </c>
      <c r="DM173" s="228">
        <v>27.04</v>
      </c>
      <c r="DN173" s="228">
        <v>-0.45</v>
      </c>
      <c r="DO173" s="228">
        <v>-0.45</v>
      </c>
      <c r="DP173" s="228">
        <v>0.89</v>
      </c>
      <c r="DQ173" s="228">
        <v>0.91</v>
      </c>
      <c r="DR173" s="228">
        <v>-0.02</v>
      </c>
      <c r="DS173" s="229">
        <v>-2.1999999999999999E-2</v>
      </c>
      <c r="DT173" s="228">
        <v>380</v>
      </c>
      <c r="DU173" s="228">
        <v>370</v>
      </c>
      <c r="DV173" s="228">
        <v>0.4</v>
      </c>
      <c r="DW173" s="228">
        <v>0.44</v>
      </c>
      <c r="DX173" s="228">
        <v>-0.04</v>
      </c>
      <c r="DY173" s="229">
        <v>-9.0899999999999995E-2</v>
      </c>
      <c r="DZ173" s="229">
        <v>0.16880000000000001</v>
      </c>
      <c r="EA173" s="230">
        <v>11883000</v>
      </c>
      <c r="EB173" s="229">
        <v>-1.2999999999999999E-3</v>
      </c>
      <c r="EC173" s="229">
        <v>0.16880000000000001</v>
      </c>
      <c r="ED173" s="228">
        <v>-1.06</v>
      </c>
      <c r="EE173" s="229">
        <v>-2.8E-3</v>
      </c>
      <c r="EF173" s="230">
        <v>2336259</v>
      </c>
      <c r="EG173" s="230">
        <v>3508863</v>
      </c>
      <c r="EH173" s="229">
        <v>-0.3342</v>
      </c>
      <c r="EI173" s="229">
        <v>0.60440000000000005</v>
      </c>
      <c r="EJ173" s="231">
        <v>63263.39</v>
      </c>
      <c r="EK173" s="231">
        <v>24151.439999999999</v>
      </c>
      <c r="EL173" s="231">
        <v>39143.79</v>
      </c>
      <c r="EM173" s="231">
        <v>4427</v>
      </c>
      <c r="EN173" s="231">
        <v>126558.62</v>
      </c>
      <c r="EO173" s="231">
        <v>88869.9</v>
      </c>
      <c r="EP173" s="231">
        <v>37688.720000000001</v>
      </c>
      <c r="EQ173" s="229">
        <v>0.42409999999999998</v>
      </c>
      <c r="ER173" s="231">
        <v>104568</v>
      </c>
      <c r="ES173" s="231">
        <v>86103</v>
      </c>
      <c r="ET173" s="231">
        <v>315350</v>
      </c>
      <c r="EU173" s="231">
        <v>187084550</v>
      </c>
      <c r="EV173" s="231">
        <v>506020</v>
      </c>
      <c r="EW173" s="231">
        <v>490616</v>
      </c>
      <c r="EX173" s="231">
        <v>15404</v>
      </c>
      <c r="EY173" s="229">
        <v>3.1399999999999997E-2</v>
      </c>
      <c r="EZ173" s="229">
        <v>0.71750000000000003</v>
      </c>
      <c r="FA173" s="227" t="s">
        <v>555</v>
      </c>
      <c r="FB173" s="161">
        <f t="shared" si="4"/>
        <v>0</v>
      </c>
    </row>
    <row r="174" spans="1:158" ht="17.25" thickBot="1" x14ac:dyDescent="0.3">
      <c r="A174" s="226">
        <v>45940</v>
      </c>
      <c r="B174" s="227" t="s">
        <v>193</v>
      </c>
      <c r="C174" s="227" t="s">
        <v>281</v>
      </c>
      <c r="D174" s="228">
        <v>500</v>
      </c>
      <c r="E174" s="231">
        <v>1387.8</v>
      </c>
      <c r="F174" s="231">
        <v>1381.9</v>
      </c>
      <c r="G174" s="228">
        <v>5.9</v>
      </c>
      <c r="H174" s="229">
        <v>4.3E-3</v>
      </c>
      <c r="I174" s="231">
        <v>1381.7</v>
      </c>
      <c r="J174" s="231">
        <v>1377.8</v>
      </c>
      <c r="K174" s="228">
        <v>3.9</v>
      </c>
      <c r="L174" s="229">
        <v>2.8E-3</v>
      </c>
      <c r="M174" s="231">
        <v>1387.8</v>
      </c>
      <c r="N174" s="231">
        <v>1381.9</v>
      </c>
      <c r="O174" s="228">
        <v>5.9</v>
      </c>
      <c r="P174" s="229">
        <v>4.3E-3</v>
      </c>
      <c r="Q174" s="231">
        <v>1395.6</v>
      </c>
      <c r="R174" s="231">
        <v>1389.3</v>
      </c>
      <c r="S174" s="228">
        <v>6.3</v>
      </c>
      <c r="T174" s="229">
        <v>4.4999999999999997E-3</v>
      </c>
      <c r="U174" s="231">
        <v>1403.7</v>
      </c>
      <c r="V174" s="231">
        <v>1398.1</v>
      </c>
      <c r="W174" s="228">
        <v>5.6</v>
      </c>
      <c r="X174" s="229">
        <v>4.0000000000000001E-3</v>
      </c>
      <c r="Y174" s="228">
        <v>6.1</v>
      </c>
      <c r="Z174" s="228">
        <v>4.0999999999999996</v>
      </c>
      <c r="AA174" s="228">
        <v>2</v>
      </c>
      <c r="AB174" s="229">
        <v>4.4000000000000003E-3</v>
      </c>
      <c r="AC174" s="228">
        <v>6.1</v>
      </c>
      <c r="AD174" s="228">
        <v>4.0999999999999996</v>
      </c>
      <c r="AE174" s="228">
        <v>2</v>
      </c>
      <c r="AF174" s="229">
        <v>4.4000000000000003E-3</v>
      </c>
      <c r="AG174" s="228">
        <v>13.9</v>
      </c>
      <c r="AH174" s="228">
        <v>11.5</v>
      </c>
      <c r="AI174" s="228">
        <v>2.4</v>
      </c>
      <c r="AJ174" s="229">
        <v>1.01E-2</v>
      </c>
      <c r="AK174" s="228">
        <v>22</v>
      </c>
      <c r="AL174" s="228">
        <v>20.3</v>
      </c>
      <c r="AM174" s="228">
        <v>1.7</v>
      </c>
      <c r="AN174" s="229">
        <v>1.5900000000000001E-2</v>
      </c>
      <c r="AO174" s="231">
        <v>1388.88</v>
      </c>
      <c r="AP174" s="231">
        <v>1396.27</v>
      </c>
      <c r="AQ174" s="228">
        <v>0</v>
      </c>
      <c r="AR174" s="230">
        <v>10952000</v>
      </c>
      <c r="AS174" s="230">
        <v>11281500</v>
      </c>
      <c r="AT174" s="230">
        <v>-329500</v>
      </c>
      <c r="AU174" s="229">
        <v>-2.92E-2</v>
      </c>
      <c r="AV174" s="230">
        <v>8888000</v>
      </c>
      <c r="AW174" s="230">
        <v>9987000</v>
      </c>
      <c r="AX174" s="230">
        <v>-1099000</v>
      </c>
      <c r="AY174" s="229">
        <v>-0.11</v>
      </c>
      <c r="AZ174" s="230">
        <v>1721500</v>
      </c>
      <c r="BA174" s="230">
        <v>1193000</v>
      </c>
      <c r="BB174" s="230">
        <v>528500</v>
      </c>
      <c r="BC174" s="229">
        <v>0.443</v>
      </c>
      <c r="BD174" s="230">
        <v>342500</v>
      </c>
      <c r="BE174" s="230">
        <v>101500</v>
      </c>
      <c r="BF174" s="230">
        <v>241000</v>
      </c>
      <c r="BG174" s="229">
        <v>2.3744000000000001</v>
      </c>
      <c r="BH174" s="230">
        <v>35249500</v>
      </c>
      <c r="BI174" s="230">
        <v>41011500</v>
      </c>
      <c r="BJ174" s="230">
        <v>-5762000</v>
      </c>
      <c r="BK174" s="229">
        <v>-0.14050000000000001</v>
      </c>
      <c r="BL174" s="230">
        <v>18642500</v>
      </c>
      <c r="BM174" s="230">
        <v>23164500</v>
      </c>
      <c r="BN174" s="230">
        <v>-4522000</v>
      </c>
      <c r="BO174" s="229">
        <v>-0.19520000000000001</v>
      </c>
      <c r="BP174" s="230">
        <v>64844000</v>
      </c>
      <c r="BQ174" s="230">
        <v>75457500</v>
      </c>
      <c r="BR174" s="230">
        <v>-10613500</v>
      </c>
      <c r="BS174" s="229">
        <v>-0.14069999999999999</v>
      </c>
      <c r="BT174" s="230">
        <v>6871600</v>
      </c>
      <c r="BU174" s="230">
        <v>9797453</v>
      </c>
      <c r="BV174" s="230">
        <v>-2925853</v>
      </c>
      <c r="BW174" s="229">
        <v>-0.29859999999999998</v>
      </c>
      <c r="BX174" s="230">
        <v>136848000</v>
      </c>
      <c r="BY174" s="230">
        <v>136393000</v>
      </c>
      <c r="BZ174" s="230">
        <v>455000</v>
      </c>
      <c r="CA174" s="229">
        <v>3.3E-3</v>
      </c>
      <c r="CB174" s="230">
        <v>127481000</v>
      </c>
      <c r="CC174" s="230">
        <v>128296500</v>
      </c>
      <c r="CD174" s="230">
        <v>-815500</v>
      </c>
      <c r="CE174" s="229">
        <v>-6.4000000000000003E-3</v>
      </c>
      <c r="CF174" s="230">
        <v>7663500</v>
      </c>
      <c r="CG174" s="230">
        <v>6599500</v>
      </c>
      <c r="CH174" s="230">
        <v>1064000</v>
      </c>
      <c r="CI174" s="229">
        <v>0.16120000000000001</v>
      </c>
      <c r="CJ174" s="230">
        <v>1703500</v>
      </c>
      <c r="CK174" s="230">
        <v>1497000</v>
      </c>
      <c r="CL174" s="230">
        <v>206500</v>
      </c>
      <c r="CM174" s="229">
        <v>0.13789999999999999</v>
      </c>
      <c r="CN174" s="230">
        <v>50490000</v>
      </c>
      <c r="CO174" s="230">
        <v>50442000</v>
      </c>
      <c r="CP174" s="230">
        <v>48000</v>
      </c>
      <c r="CQ174" s="229">
        <v>1E-3</v>
      </c>
      <c r="CR174" s="230">
        <v>36843500</v>
      </c>
      <c r="CS174" s="230">
        <v>36622000</v>
      </c>
      <c r="CT174" s="230">
        <v>221500</v>
      </c>
      <c r="CU174" s="229">
        <v>6.0000000000000001E-3</v>
      </c>
      <c r="CV174" s="230">
        <v>224181500</v>
      </c>
      <c r="CW174" s="230">
        <v>223457000</v>
      </c>
      <c r="CX174" s="230">
        <v>724500</v>
      </c>
      <c r="CY174" s="229">
        <v>3.2000000000000002E-3</v>
      </c>
      <c r="CZ174" s="228">
        <v>18.920000000000002</v>
      </c>
      <c r="DA174" s="228">
        <v>18.8</v>
      </c>
      <c r="DB174" s="228">
        <v>0.12</v>
      </c>
      <c r="DC174" s="228">
        <v>0.12</v>
      </c>
      <c r="DD174" s="228">
        <v>24.39</v>
      </c>
      <c r="DE174" s="228">
        <v>24.45</v>
      </c>
      <c r="DF174" s="228">
        <v>-5.47</v>
      </c>
      <c r="DG174" s="228">
        <v>-0.06</v>
      </c>
      <c r="DH174" s="228">
        <v>18.829999999999998</v>
      </c>
      <c r="DI174" s="228">
        <v>18.79</v>
      </c>
      <c r="DJ174" s="228">
        <v>0.04</v>
      </c>
      <c r="DK174" s="228">
        <v>0.04</v>
      </c>
      <c r="DL174" s="228">
        <v>19.079999999999998</v>
      </c>
      <c r="DM174" s="228">
        <v>18.82</v>
      </c>
      <c r="DN174" s="228">
        <v>0.26</v>
      </c>
      <c r="DO174" s="228">
        <v>0.26</v>
      </c>
      <c r="DP174" s="228">
        <v>0.73</v>
      </c>
      <c r="DQ174" s="228">
        <v>0.73</v>
      </c>
      <c r="DR174" s="228">
        <v>0</v>
      </c>
      <c r="DS174" s="229">
        <v>0</v>
      </c>
      <c r="DT174" s="231">
        <v>1400</v>
      </c>
      <c r="DU174" s="231">
        <v>1400</v>
      </c>
      <c r="DV174" s="228">
        <v>0.53</v>
      </c>
      <c r="DW174" s="228">
        <v>0.56000000000000005</v>
      </c>
      <c r="DX174" s="228">
        <v>-0.03</v>
      </c>
      <c r="DY174" s="229">
        <v>-5.3600000000000002E-2</v>
      </c>
      <c r="DZ174" s="229">
        <v>6.8400000000000002E-2</v>
      </c>
      <c r="EA174" s="230">
        <v>8096500</v>
      </c>
      <c r="EB174" s="229">
        <v>5.5999999999999999E-3</v>
      </c>
      <c r="EC174" s="229">
        <v>6.8400000000000002E-2</v>
      </c>
      <c r="ED174" s="228">
        <v>7.39</v>
      </c>
      <c r="EE174" s="229">
        <v>5.3E-3</v>
      </c>
      <c r="EF174" s="230">
        <v>3649468</v>
      </c>
      <c r="EG174" s="230">
        <v>4303602</v>
      </c>
      <c r="EH174" s="229">
        <v>-0.152</v>
      </c>
      <c r="EI174" s="229">
        <v>0.53110000000000002</v>
      </c>
      <c r="EJ174" s="231">
        <v>504228.79</v>
      </c>
      <c r="EK174" s="231">
        <v>255588.66</v>
      </c>
      <c r="EL174" s="231">
        <v>152292.41</v>
      </c>
      <c r="EM174" s="231">
        <v>27913</v>
      </c>
      <c r="EN174" s="231">
        <v>912109.86</v>
      </c>
      <c r="EO174" s="231">
        <v>1055579.1499999999</v>
      </c>
      <c r="EP174" s="231">
        <v>-143469.29</v>
      </c>
      <c r="EQ174" s="229">
        <v>-0.13589999999999999</v>
      </c>
      <c r="ER174" s="231">
        <v>719516</v>
      </c>
      <c r="ES174" s="231">
        <v>506522</v>
      </c>
      <c r="ET174" s="231">
        <v>1900045</v>
      </c>
      <c r="EU174" s="231">
        <v>662701060</v>
      </c>
      <c r="EV174" s="231">
        <v>3126084</v>
      </c>
      <c r="EW174" s="231">
        <v>3106943</v>
      </c>
      <c r="EX174" s="231">
        <v>19141</v>
      </c>
      <c r="EY174" s="229">
        <v>6.1999999999999998E-3</v>
      </c>
      <c r="EZ174" s="229">
        <v>0.33829999999999999</v>
      </c>
      <c r="FA174" s="227" t="s">
        <v>555</v>
      </c>
      <c r="FB174" s="161">
        <f t="shared" si="4"/>
        <v>0</v>
      </c>
    </row>
    <row r="175" spans="1:158" ht="17.25" thickBot="1" x14ac:dyDescent="0.3">
      <c r="A175" s="226">
        <v>45940</v>
      </c>
      <c r="B175" s="227" t="s">
        <v>215</v>
      </c>
      <c r="C175" s="227" t="s">
        <v>677</v>
      </c>
      <c r="D175" s="228">
        <v>1375</v>
      </c>
      <c r="E175" s="228">
        <v>340.65</v>
      </c>
      <c r="F175" s="228">
        <v>343.4</v>
      </c>
      <c r="G175" s="228">
        <v>-2.75</v>
      </c>
      <c r="H175" s="229">
        <v>-8.0000000000000002E-3</v>
      </c>
      <c r="I175" s="228">
        <v>342</v>
      </c>
      <c r="J175" s="228">
        <v>344.4</v>
      </c>
      <c r="K175" s="228">
        <v>-2.4</v>
      </c>
      <c r="L175" s="229">
        <v>-7.0000000000000001E-3</v>
      </c>
      <c r="M175" s="228">
        <v>340.65</v>
      </c>
      <c r="N175" s="228">
        <v>343.4</v>
      </c>
      <c r="O175" s="228">
        <v>-2.75</v>
      </c>
      <c r="P175" s="229">
        <v>-8.0000000000000002E-3</v>
      </c>
      <c r="Q175" s="228">
        <v>334.1</v>
      </c>
      <c r="R175" s="228">
        <v>336.6</v>
      </c>
      <c r="S175" s="228">
        <v>-2.5</v>
      </c>
      <c r="T175" s="229">
        <v>-7.4000000000000003E-3</v>
      </c>
      <c r="U175" s="228">
        <v>329.75</v>
      </c>
      <c r="V175" s="228">
        <v>331.25</v>
      </c>
      <c r="W175" s="228">
        <v>-1.5</v>
      </c>
      <c r="X175" s="229">
        <v>-4.4999999999999997E-3</v>
      </c>
      <c r="Y175" s="228">
        <v>-1.35</v>
      </c>
      <c r="Z175" s="228">
        <v>-1</v>
      </c>
      <c r="AA175" s="228">
        <v>-0.35</v>
      </c>
      <c r="AB175" s="229">
        <v>-3.8999999999999998E-3</v>
      </c>
      <c r="AC175" s="228">
        <v>-1.35</v>
      </c>
      <c r="AD175" s="228">
        <v>-1</v>
      </c>
      <c r="AE175" s="228">
        <v>-0.35</v>
      </c>
      <c r="AF175" s="229">
        <v>-3.8999999999999998E-3</v>
      </c>
      <c r="AG175" s="228">
        <v>-7.9</v>
      </c>
      <c r="AH175" s="228">
        <v>-7.8</v>
      </c>
      <c r="AI175" s="228">
        <v>-0.1</v>
      </c>
      <c r="AJ175" s="229">
        <v>-2.3099999999999999E-2</v>
      </c>
      <c r="AK175" s="228">
        <v>-12.25</v>
      </c>
      <c r="AL175" s="228">
        <v>-13.15</v>
      </c>
      <c r="AM175" s="228">
        <v>0.9</v>
      </c>
      <c r="AN175" s="229">
        <v>-3.5799999999999998E-2</v>
      </c>
      <c r="AO175" s="228">
        <v>343.33</v>
      </c>
      <c r="AP175" s="228">
        <v>336.25</v>
      </c>
      <c r="AQ175" s="228">
        <v>0</v>
      </c>
      <c r="AR175" s="230">
        <v>5075125</v>
      </c>
      <c r="AS175" s="230">
        <v>6572500</v>
      </c>
      <c r="AT175" s="230">
        <v>-1497375</v>
      </c>
      <c r="AU175" s="229">
        <v>-0.2278</v>
      </c>
      <c r="AV175" s="230">
        <v>3520000</v>
      </c>
      <c r="AW175" s="230">
        <v>5348750</v>
      </c>
      <c r="AX175" s="230">
        <v>-1828750</v>
      </c>
      <c r="AY175" s="229">
        <v>-0.34189999999999998</v>
      </c>
      <c r="AZ175" s="230">
        <v>1288375</v>
      </c>
      <c r="BA175" s="230">
        <v>1104125</v>
      </c>
      <c r="BB175" s="230">
        <v>184250</v>
      </c>
      <c r="BC175" s="229">
        <v>0.16689999999999999</v>
      </c>
      <c r="BD175" s="230">
        <v>266750</v>
      </c>
      <c r="BE175" s="230">
        <v>119625</v>
      </c>
      <c r="BF175" s="230">
        <v>147125</v>
      </c>
      <c r="BG175" s="229">
        <v>1.2299</v>
      </c>
      <c r="BH175" s="230">
        <v>10506375</v>
      </c>
      <c r="BI175" s="230">
        <v>17403375</v>
      </c>
      <c r="BJ175" s="230">
        <v>-6897000</v>
      </c>
      <c r="BK175" s="229">
        <v>-0.39629999999999999</v>
      </c>
      <c r="BL175" s="230">
        <v>3174875</v>
      </c>
      <c r="BM175" s="230">
        <v>4754750</v>
      </c>
      <c r="BN175" s="230">
        <v>-1579875</v>
      </c>
      <c r="BO175" s="229">
        <v>-0.33229999999999998</v>
      </c>
      <c r="BP175" s="230">
        <v>18756375</v>
      </c>
      <c r="BQ175" s="230">
        <v>28730625</v>
      </c>
      <c r="BR175" s="230">
        <v>-9974250</v>
      </c>
      <c r="BS175" s="229">
        <v>-0.34720000000000001</v>
      </c>
      <c r="BT175" s="230">
        <v>3215316</v>
      </c>
      <c r="BU175" s="230">
        <v>4429121</v>
      </c>
      <c r="BV175" s="230">
        <v>-1213805</v>
      </c>
      <c r="BW175" s="229">
        <v>-0.27410000000000001</v>
      </c>
      <c r="BX175" s="230">
        <v>38588000</v>
      </c>
      <c r="BY175" s="230">
        <v>38054500</v>
      </c>
      <c r="BZ175" s="230">
        <v>533500</v>
      </c>
      <c r="CA175" s="229">
        <v>1.4E-2</v>
      </c>
      <c r="CB175" s="230">
        <v>32899625</v>
      </c>
      <c r="CC175" s="230">
        <v>32888625</v>
      </c>
      <c r="CD175" s="230">
        <v>11000</v>
      </c>
      <c r="CE175" s="229">
        <v>2.9999999999999997E-4</v>
      </c>
      <c r="CF175" s="230">
        <v>4867500</v>
      </c>
      <c r="CG175" s="230">
        <v>4537500</v>
      </c>
      <c r="CH175" s="230">
        <v>330000</v>
      </c>
      <c r="CI175" s="229">
        <v>7.2700000000000001E-2</v>
      </c>
      <c r="CJ175" s="230">
        <v>820875</v>
      </c>
      <c r="CK175" s="230">
        <v>628375</v>
      </c>
      <c r="CL175" s="230">
        <v>192500</v>
      </c>
      <c r="CM175" s="229">
        <v>0.30630000000000002</v>
      </c>
      <c r="CN175" s="230">
        <v>20369250</v>
      </c>
      <c r="CO175" s="230">
        <v>19839875</v>
      </c>
      <c r="CP175" s="230">
        <v>529375</v>
      </c>
      <c r="CQ175" s="229">
        <v>2.6700000000000002E-2</v>
      </c>
      <c r="CR175" s="230">
        <v>8241750</v>
      </c>
      <c r="CS175" s="230">
        <v>7899375</v>
      </c>
      <c r="CT175" s="230">
        <v>342375</v>
      </c>
      <c r="CU175" s="229">
        <v>4.3299999999999998E-2</v>
      </c>
      <c r="CV175" s="230">
        <v>67199000</v>
      </c>
      <c r="CW175" s="230">
        <v>65793750</v>
      </c>
      <c r="CX175" s="230">
        <v>1405250</v>
      </c>
      <c r="CY175" s="229">
        <v>2.1399999999999999E-2</v>
      </c>
      <c r="CZ175" s="228">
        <v>38.43</v>
      </c>
      <c r="DA175" s="228">
        <v>38.369999999999997</v>
      </c>
      <c r="DB175" s="228">
        <v>0.06</v>
      </c>
      <c r="DC175" s="228">
        <v>0.06</v>
      </c>
      <c r="DD175" s="228">
        <v>58.34</v>
      </c>
      <c r="DE175" s="228">
        <v>58.47</v>
      </c>
      <c r="DF175" s="228">
        <v>-19.91</v>
      </c>
      <c r="DG175" s="228">
        <v>-0.13</v>
      </c>
      <c r="DH175" s="228">
        <v>39.1</v>
      </c>
      <c r="DI175" s="228">
        <v>38.590000000000003</v>
      </c>
      <c r="DJ175" s="228">
        <v>0.51</v>
      </c>
      <c r="DK175" s="228">
        <v>0.51</v>
      </c>
      <c r="DL175" s="228">
        <v>36.22</v>
      </c>
      <c r="DM175" s="228">
        <v>37.58</v>
      </c>
      <c r="DN175" s="228">
        <v>-1.36</v>
      </c>
      <c r="DO175" s="228">
        <v>-1.36</v>
      </c>
      <c r="DP175" s="228">
        <v>0.4</v>
      </c>
      <c r="DQ175" s="228">
        <v>0.4</v>
      </c>
      <c r="DR175" s="228">
        <v>0</v>
      </c>
      <c r="DS175" s="229">
        <v>0</v>
      </c>
      <c r="DT175" s="228">
        <v>400</v>
      </c>
      <c r="DU175" s="228">
        <v>310</v>
      </c>
      <c r="DV175" s="228">
        <v>0.3</v>
      </c>
      <c r="DW175" s="228">
        <v>0.27</v>
      </c>
      <c r="DX175" s="228">
        <v>0.03</v>
      </c>
      <c r="DY175" s="229">
        <v>0.1111</v>
      </c>
      <c r="DZ175" s="229">
        <v>0.1474</v>
      </c>
      <c r="EA175" s="230">
        <v>5165875</v>
      </c>
      <c r="EB175" s="229">
        <v>-1.9199999999999998E-2</v>
      </c>
      <c r="EC175" s="229">
        <v>0.1474</v>
      </c>
      <c r="ED175" s="228">
        <v>-7.08</v>
      </c>
      <c r="EE175" s="229">
        <v>-2.06E-2</v>
      </c>
      <c r="EF175" s="230">
        <v>1164921</v>
      </c>
      <c r="EG175" s="230">
        <v>1178651</v>
      </c>
      <c r="EH175" s="229">
        <v>-1.1599999999999999E-2</v>
      </c>
      <c r="EI175" s="229">
        <v>0.36230000000000001</v>
      </c>
      <c r="EJ175" s="231">
        <v>38531.81</v>
      </c>
      <c r="EK175" s="231">
        <v>10778.16</v>
      </c>
      <c r="EL175" s="231">
        <v>17300.13</v>
      </c>
      <c r="EM175" s="231">
        <v>5825</v>
      </c>
      <c r="EN175" s="231">
        <v>66610.100000000006</v>
      </c>
      <c r="EO175" s="231">
        <v>101943.58</v>
      </c>
      <c r="EP175" s="231">
        <v>-35333.480000000003</v>
      </c>
      <c r="EQ175" s="229">
        <v>-0.34660000000000002</v>
      </c>
      <c r="ER175" s="231">
        <v>75404</v>
      </c>
      <c r="ES175" s="231">
        <v>27150</v>
      </c>
      <c r="ET175" s="231">
        <v>131042</v>
      </c>
      <c r="EU175" s="231">
        <v>84941460</v>
      </c>
      <c r="EV175" s="231">
        <v>233596</v>
      </c>
      <c r="EW175" s="231">
        <v>229782</v>
      </c>
      <c r="EX175" s="231">
        <v>3814</v>
      </c>
      <c r="EY175" s="229">
        <v>1.66E-2</v>
      </c>
      <c r="EZ175" s="229">
        <v>0.79110000000000003</v>
      </c>
      <c r="FA175" s="227" t="s">
        <v>567</v>
      </c>
      <c r="FB175" s="161">
        <f t="shared" si="4"/>
        <v>0</v>
      </c>
    </row>
    <row r="176" spans="1:158" ht="17.25" thickBot="1" x14ac:dyDescent="0.3">
      <c r="A176" s="226">
        <v>45940</v>
      </c>
      <c r="B176" s="227" t="s">
        <v>227</v>
      </c>
      <c r="C176" s="227" t="s">
        <v>282</v>
      </c>
      <c r="D176" s="228">
        <v>4700</v>
      </c>
      <c r="E176" s="228">
        <v>132.71</v>
      </c>
      <c r="F176" s="228">
        <v>137.22</v>
      </c>
      <c r="G176" s="228">
        <v>-4.51</v>
      </c>
      <c r="H176" s="229">
        <v>-3.2899999999999999E-2</v>
      </c>
      <c r="I176" s="228">
        <v>132.16999999999999</v>
      </c>
      <c r="J176" s="228">
        <v>136.46</v>
      </c>
      <c r="K176" s="228">
        <v>-4.29</v>
      </c>
      <c r="L176" s="229">
        <v>-3.1399999999999997E-2</v>
      </c>
      <c r="M176" s="228">
        <v>132.71</v>
      </c>
      <c r="N176" s="228">
        <v>137.22</v>
      </c>
      <c r="O176" s="228">
        <v>-4.51</v>
      </c>
      <c r="P176" s="229">
        <v>-3.2899999999999999E-2</v>
      </c>
      <c r="Q176" s="228">
        <v>133.16999999999999</v>
      </c>
      <c r="R176" s="228">
        <v>137.66999999999999</v>
      </c>
      <c r="S176" s="228">
        <v>-4.5</v>
      </c>
      <c r="T176" s="229">
        <v>-3.27E-2</v>
      </c>
      <c r="U176" s="228">
        <v>133.94999999999999</v>
      </c>
      <c r="V176" s="228">
        <v>138.65</v>
      </c>
      <c r="W176" s="228">
        <v>-4.7</v>
      </c>
      <c r="X176" s="229">
        <v>-3.39E-2</v>
      </c>
      <c r="Y176" s="228">
        <v>0.54</v>
      </c>
      <c r="Z176" s="228">
        <v>0.76</v>
      </c>
      <c r="AA176" s="228">
        <v>-0.22</v>
      </c>
      <c r="AB176" s="229">
        <v>4.1000000000000003E-3</v>
      </c>
      <c r="AC176" s="228">
        <v>0.54</v>
      </c>
      <c r="AD176" s="228">
        <v>0.76</v>
      </c>
      <c r="AE176" s="228">
        <v>-0.22</v>
      </c>
      <c r="AF176" s="229">
        <v>4.1000000000000003E-3</v>
      </c>
      <c r="AG176" s="228">
        <v>1</v>
      </c>
      <c r="AH176" s="228">
        <v>1.21</v>
      </c>
      <c r="AI176" s="228">
        <v>-0.21</v>
      </c>
      <c r="AJ176" s="229">
        <v>7.6E-3</v>
      </c>
      <c r="AK176" s="228">
        <v>1.78</v>
      </c>
      <c r="AL176" s="228">
        <v>2.19</v>
      </c>
      <c r="AM176" s="228">
        <v>-0.41</v>
      </c>
      <c r="AN176" s="229">
        <v>1.35E-2</v>
      </c>
      <c r="AO176" s="228">
        <v>133.4</v>
      </c>
      <c r="AP176" s="228">
        <v>134.11000000000001</v>
      </c>
      <c r="AQ176" s="228">
        <v>0</v>
      </c>
      <c r="AR176" s="230">
        <v>38502400</v>
      </c>
      <c r="AS176" s="230">
        <v>63515800</v>
      </c>
      <c r="AT176" s="230">
        <v>-25013400</v>
      </c>
      <c r="AU176" s="229">
        <v>-0.39379999999999998</v>
      </c>
      <c r="AV176" s="230">
        <v>34103200</v>
      </c>
      <c r="AW176" s="230">
        <v>58308200</v>
      </c>
      <c r="AX176" s="230">
        <v>-24205000</v>
      </c>
      <c r="AY176" s="229">
        <v>-0.41510000000000002</v>
      </c>
      <c r="AZ176" s="230">
        <v>4098400</v>
      </c>
      <c r="BA176" s="230">
        <v>4953800</v>
      </c>
      <c r="BB176" s="230">
        <v>-855400</v>
      </c>
      <c r="BC176" s="229">
        <v>-0.17269999999999999</v>
      </c>
      <c r="BD176" s="230">
        <v>300800</v>
      </c>
      <c r="BE176" s="230">
        <v>253800</v>
      </c>
      <c r="BF176" s="230">
        <v>47000</v>
      </c>
      <c r="BG176" s="229">
        <v>0.1852</v>
      </c>
      <c r="BH176" s="230">
        <v>76981300</v>
      </c>
      <c r="BI176" s="230">
        <v>131285100</v>
      </c>
      <c r="BJ176" s="230">
        <v>-54303800</v>
      </c>
      <c r="BK176" s="229">
        <v>-0.41360000000000002</v>
      </c>
      <c r="BL176" s="230">
        <v>31057600</v>
      </c>
      <c r="BM176" s="230">
        <v>66998500</v>
      </c>
      <c r="BN176" s="230">
        <v>-35940900</v>
      </c>
      <c r="BO176" s="229">
        <v>-0.53639999999999999</v>
      </c>
      <c r="BP176" s="230">
        <v>146541300</v>
      </c>
      <c r="BQ176" s="230">
        <v>261799400</v>
      </c>
      <c r="BR176" s="230">
        <v>-115258100</v>
      </c>
      <c r="BS176" s="229">
        <v>-0.44030000000000002</v>
      </c>
      <c r="BT176" s="230">
        <v>22564882</v>
      </c>
      <c r="BU176" s="230">
        <v>48345073</v>
      </c>
      <c r="BV176" s="230">
        <v>-25780191</v>
      </c>
      <c r="BW176" s="229">
        <v>-0.5333</v>
      </c>
      <c r="BX176" s="230">
        <v>201601800</v>
      </c>
      <c r="BY176" s="230">
        <v>197935800</v>
      </c>
      <c r="BZ176" s="230">
        <v>3666000</v>
      </c>
      <c r="CA176" s="229">
        <v>1.8499999999999999E-2</v>
      </c>
      <c r="CB176" s="230">
        <v>192032600</v>
      </c>
      <c r="CC176" s="230">
        <v>190331200</v>
      </c>
      <c r="CD176" s="230">
        <v>1701400</v>
      </c>
      <c r="CE176" s="229">
        <v>8.8999999999999999E-3</v>
      </c>
      <c r="CF176" s="230">
        <v>8864200</v>
      </c>
      <c r="CG176" s="230">
        <v>7115800</v>
      </c>
      <c r="CH176" s="230">
        <v>1748400</v>
      </c>
      <c r="CI176" s="229">
        <v>0.2457</v>
      </c>
      <c r="CJ176" s="230">
        <v>705000</v>
      </c>
      <c r="CK176" s="230">
        <v>488800</v>
      </c>
      <c r="CL176" s="230">
        <v>216200</v>
      </c>
      <c r="CM176" s="229">
        <v>0.44230000000000003</v>
      </c>
      <c r="CN176" s="230">
        <v>55760800</v>
      </c>
      <c r="CO176" s="230">
        <v>43329300</v>
      </c>
      <c r="CP176" s="230">
        <v>12431500</v>
      </c>
      <c r="CQ176" s="229">
        <v>0.28689999999999999</v>
      </c>
      <c r="CR176" s="230">
        <v>28590100</v>
      </c>
      <c r="CS176" s="230">
        <v>25112100</v>
      </c>
      <c r="CT176" s="230">
        <v>3478000</v>
      </c>
      <c r="CU176" s="229">
        <v>0.13850000000000001</v>
      </c>
      <c r="CV176" s="230">
        <v>285952700</v>
      </c>
      <c r="CW176" s="230">
        <v>266377200</v>
      </c>
      <c r="CX176" s="230">
        <v>19575500</v>
      </c>
      <c r="CY176" s="229">
        <v>7.3499999999999996E-2</v>
      </c>
      <c r="CZ176" s="228">
        <v>34.61</v>
      </c>
      <c r="DA176" s="228">
        <v>32.82</v>
      </c>
      <c r="DB176" s="228">
        <v>1.79</v>
      </c>
      <c r="DC176" s="228">
        <v>1.79</v>
      </c>
      <c r="DD176" s="228">
        <v>45.61</v>
      </c>
      <c r="DE176" s="228">
        <v>45.5</v>
      </c>
      <c r="DF176" s="228">
        <v>-11</v>
      </c>
      <c r="DG176" s="228">
        <v>0.11</v>
      </c>
      <c r="DH176" s="228">
        <v>34.840000000000003</v>
      </c>
      <c r="DI176" s="228">
        <v>32.42</v>
      </c>
      <c r="DJ176" s="228">
        <v>2.42</v>
      </c>
      <c r="DK176" s="228">
        <v>2.42</v>
      </c>
      <c r="DL176" s="228">
        <v>34.049999999999997</v>
      </c>
      <c r="DM176" s="228">
        <v>33.590000000000003</v>
      </c>
      <c r="DN176" s="228">
        <v>0.46</v>
      </c>
      <c r="DO176" s="228">
        <v>0.46</v>
      </c>
      <c r="DP176" s="228">
        <v>0.51</v>
      </c>
      <c r="DQ176" s="228">
        <v>0.57999999999999996</v>
      </c>
      <c r="DR176" s="228">
        <v>-7.0000000000000007E-2</v>
      </c>
      <c r="DS176" s="229">
        <v>-0.1207</v>
      </c>
      <c r="DT176" s="228">
        <v>140</v>
      </c>
      <c r="DU176" s="228">
        <v>125</v>
      </c>
      <c r="DV176" s="228">
        <v>0.4</v>
      </c>
      <c r="DW176" s="228">
        <v>0.51</v>
      </c>
      <c r="DX176" s="228">
        <v>-0.11</v>
      </c>
      <c r="DY176" s="229">
        <v>-0.2157</v>
      </c>
      <c r="DZ176" s="229">
        <v>4.7500000000000001E-2</v>
      </c>
      <c r="EA176" s="230">
        <v>7604600</v>
      </c>
      <c r="EB176" s="229">
        <v>3.5000000000000001E-3</v>
      </c>
      <c r="EC176" s="229">
        <v>4.7500000000000001E-2</v>
      </c>
      <c r="ED176" s="228">
        <v>0.71</v>
      </c>
      <c r="EE176" s="229">
        <v>5.3E-3</v>
      </c>
      <c r="EF176" s="230">
        <v>9792037</v>
      </c>
      <c r="EG176" s="230">
        <v>16535553</v>
      </c>
      <c r="EH176" s="229">
        <v>-0.4078</v>
      </c>
      <c r="EI176" s="229">
        <v>0.434</v>
      </c>
      <c r="EJ176" s="231">
        <v>108097.96</v>
      </c>
      <c r="EK176" s="231">
        <v>41655.29</v>
      </c>
      <c r="EL176" s="231">
        <v>51395.85</v>
      </c>
      <c r="EM176" s="231">
        <v>8544</v>
      </c>
      <c r="EN176" s="231">
        <v>201149.1</v>
      </c>
      <c r="EO176" s="231">
        <v>362500.17</v>
      </c>
      <c r="EP176" s="231">
        <v>-161351.07</v>
      </c>
      <c r="EQ176" s="229">
        <v>-0.4451</v>
      </c>
      <c r="ER176" s="231">
        <v>77529</v>
      </c>
      <c r="ES176" s="231">
        <v>37186</v>
      </c>
      <c r="ET176" s="231">
        <v>267595</v>
      </c>
      <c r="EU176" s="231">
        <v>216861410</v>
      </c>
      <c r="EV176" s="231">
        <v>382311</v>
      </c>
      <c r="EW176" s="231">
        <v>365136</v>
      </c>
      <c r="EX176" s="231">
        <v>17175</v>
      </c>
      <c r="EY176" s="229">
        <v>4.7E-2</v>
      </c>
      <c r="EZ176" s="229">
        <v>1.3186</v>
      </c>
      <c r="FA176" s="227" t="s">
        <v>567</v>
      </c>
      <c r="FB176" s="161">
        <f t="shared" si="4"/>
        <v>0</v>
      </c>
    </row>
    <row r="177" spans="1:158" ht="17.25" thickBot="1" x14ac:dyDescent="0.3">
      <c r="A177" s="226">
        <v>45940</v>
      </c>
      <c r="B177" s="227" t="s">
        <v>175</v>
      </c>
      <c r="C177" s="227" t="s">
        <v>688</v>
      </c>
      <c r="D177" s="228">
        <v>4300</v>
      </c>
      <c r="E177" s="228">
        <v>163.13</v>
      </c>
      <c r="F177" s="228">
        <v>162.19999999999999</v>
      </c>
      <c r="G177" s="228">
        <v>0.93</v>
      </c>
      <c r="H177" s="229">
        <v>5.7000000000000002E-3</v>
      </c>
      <c r="I177" s="228">
        <v>162.22</v>
      </c>
      <c r="J177" s="228">
        <v>161.06</v>
      </c>
      <c r="K177" s="228">
        <v>1.1599999999999999</v>
      </c>
      <c r="L177" s="229">
        <v>7.1999999999999998E-3</v>
      </c>
      <c r="M177" s="228">
        <v>163.13</v>
      </c>
      <c r="N177" s="228">
        <v>162.19999999999999</v>
      </c>
      <c r="O177" s="228">
        <v>0.93</v>
      </c>
      <c r="P177" s="229">
        <v>5.7000000000000002E-3</v>
      </c>
      <c r="Q177" s="228">
        <v>164.02</v>
      </c>
      <c r="R177" s="228">
        <v>163.06</v>
      </c>
      <c r="S177" s="228">
        <v>0.96</v>
      </c>
      <c r="T177" s="229">
        <v>5.8999999999999999E-3</v>
      </c>
      <c r="U177" s="228">
        <v>164.59</v>
      </c>
      <c r="V177" s="228">
        <v>164.06</v>
      </c>
      <c r="W177" s="228">
        <v>0.53</v>
      </c>
      <c r="X177" s="229">
        <v>3.2000000000000002E-3</v>
      </c>
      <c r="Y177" s="228">
        <v>0.91</v>
      </c>
      <c r="Z177" s="228">
        <v>1.1399999999999999</v>
      </c>
      <c r="AA177" s="228">
        <v>-0.23</v>
      </c>
      <c r="AB177" s="229">
        <v>5.5999999999999999E-3</v>
      </c>
      <c r="AC177" s="228">
        <v>0.91</v>
      </c>
      <c r="AD177" s="228">
        <v>1.1399999999999999</v>
      </c>
      <c r="AE177" s="228">
        <v>-0.23</v>
      </c>
      <c r="AF177" s="229">
        <v>5.5999999999999999E-3</v>
      </c>
      <c r="AG177" s="228">
        <v>1.8</v>
      </c>
      <c r="AH177" s="228">
        <v>2</v>
      </c>
      <c r="AI177" s="228">
        <v>-0.2</v>
      </c>
      <c r="AJ177" s="229">
        <v>1.11E-2</v>
      </c>
      <c r="AK177" s="228">
        <v>2.37</v>
      </c>
      <c r="AL177" s="228">
        <v>3</v>
      </c>
      <c r="AM177" s="228">
        <v>-0.63</v>
      </c>
      <c r="AN177" s="229">
        <v>1.46E-2</v>
      </c>
      <c r="AO177" s="228">
        <v>163.54</v>
      </c>
      <c r="AP177" s="228">
        <v>164.43</v>
      </c>
      <c r="AQ177" s="228">
        <v>0</v>
      </c>
      <c r="AR177" s="230">
        <v>24591700</v>
      </c>
      <c r="AS177" s="230">
        <v>14073900</v>
      </c>
      <c r="AT177" s="230">
        <v>10517800</v>
      </c>
      <c r="AU177" s="229">
        <v>0.74729999999999996</v>
      </c>
      <c r="AV177" s="230">
        <v>22566400</v>
      </c>
      <c r="AW177" s="230">
        <v>13016100</v>
      </c>
      <c r="AX177" s="230">
        <v>9550300</v>
      </c>
      <c r="AY177" s="229">
        <v>0.73370000000000002</v>
      </c>
      <c r="AZ177" s="230">
        <v>1926400</v>
      </c>
      <c r="BA177" s="230">
        <v>954600</v>
      </c>
      <c r="BB177" s="230">
        <v>971800</v>
      </c>
      <c r="BC177" s="229">
        <v>1.018</v>
      </c>
      <c r="BD177" s="230">
        <v>98900</v>
      </c>
      <c r="BE177" s="230">
        <v>103200</v>
      </c>
      <c r="BF177" s="230">
        <v>-4300</v>
      </c>
      <c r="BG177" s="229">
        <v>-4.1700000000000001E-2</v>
      </c>
      <c r="BH177" s="230">
        <v>48108400</v>
      </c>
      <c r="BI177" s="230">
        <v>18872700</v>
      </c>
      <c r="BJ177" s="230">
        <v>29235700</v>
      </c>
      <c r="BK177" s="229">
        <v>1.5490999999999999</v>
      </c>
      <c r="BL177" s="230">
        <v>24002600</v>
      </c>
      <c r="BM177" s="230">
        <v>13489100</v>
      </c>
      <c r="BN177" s="230">
        <v>10513500</v>
      </c>
      <c r="BO177" s="229">
        <v>0.77939999999999998</v>
      </c>
      <c r="BP177" s="230">
        <v>96702700</v>
      </c>
      <c r="BQ177" s="230">
        <v>46435700</v>
      </c>
      <c r="BR177" s="230">
        <v>50267000</v>
      </c>
      <c r="BS177" s="229">
        <v>1.0825</v>
      </c>
      <c r="BT177" s="230">
        <v>23055868</v>
      </c>
      <c r="BU177" s="230">
        <v>14834158</v>
      </c>
      <c r="BV177" s="230">
        <v>8221710</v>
      </c>
      <c r="BW177" s="229">
        <v>0.55420000000000003</v>
      </c>
      <c r="BX177" s="230">
        <v>114160700</v>
      </c>
      <c r="BY177" s="230">
        <v>110931400</v>
      </c>
      <c r="BZ177" s="230">
        <v>3229300</v>
      </c>
      <c r="CA177" s="229">
        <v>2.9100000000000001E-2</v>
      </c>
      <c r="CB177" s="230">
        <v>109611300</v>
      </c>
      <c r="CC177" s="230">
        <v>106971100</v>
      </c>
      <c r="CD177" s="230">
        <v>2640200</v>
      </c>
      <c r="CE177" s="229">
        <v>2.47E-2</v>
      </c>
      <c r="CF177" s="230">
        <v>4347300</v>
      </c>
      <c r="CG177" s="230">
        <v>3784000</v>
      </c>
      <c r="CH177" s="230">
        <v>563300</v>
      </c>
      <c r="CI177" s="229">
        <v>0.1489</v>
      </c>
      <c r="CJ177" s="230">
        <v>202100</v>
      </c>
      <c r="CK177" s="230">
        <v>176300</v>
      </c>
      <c r="CL177" s="230">
        <v>25800</v>
      </c>
      <c r="CM177" s="229">
        <v>0.14630000000000001</v>
      </c>
      <c r="CN177" s="230">
        <v>30800900</v>
      </c>
      <c r="CO177" s="230">
        <v>28177900</v>
      </c>
      <c r="CP177" s="230">
        <v>2623000</v>
      </c>
      <c r="CQ177" s="229">
        <v>9.3100000000000002E-2</v>
      </c>
      <c r="CR177" s="230">
        <v>31015900</v>
      </c>
      <c r="CS177" s="230">
        <v>29020700</v>
      </c>
      <c r="CT177" s="230">
        <v>1995200</v>
      </c>
      <c r="CU177" s="229">
        <v>6.88E-2</v>
      </c>
      <c r="CV177" s="230">
        <v>175977500</v>
      </c>
      <c r="CW177" s="230">
        <v>168130000</v>
      </c>
      <c r="CX177" s="230">
        <v>7847500</v>
      </c>
      <c r="CY177" s="229">
        <v>4.6699999999999998E-2</v>
      </c>
      <c r="CZ177" s="228">
        <v>36.380000000000003</v>
      </c>
      <c r="DA177" s="228">
        <v>37.479999999999997</v>
      </c>
      <c r="DB177" s="228">
        <v>-1.1000000000000001</v>
      </c>
      <c r="DC177" s="228">
        <v>-1.1000000000000001</v>
      </c>
      <c r="DD177" s="228">
        <v>57.84</v>
      </c>
      <c r="DE177" s="228">
        <v>57.98</v>
      </c>
      <c r="DF177" s="228">
        <v>-21.46</v>
      </c>
      <c r="DG177" s="228">
        <v>-0.14000000000000001</v>
      </c>
      <c r="DH177" s="228">
        <v>36.340000000000003</v>
      </c>
      <c r="DI177" s="228">
        <v>37.409999999999997</v>
      </c>
      <c r="DJ177" s="228">
        <v>-1.07</v>
      </c>
      <c r="DK177" s="228">
        <v>-1.07</v>
      </c>
      <c r="DL177" s="228">
        <v>36.47</v>
      </c>
      <c r="DM177" s="228">
        <v>37.58</v>
      </c>
      <c r="DN177" s="228">
        <v>-1.1100000000000001</v>
      </c>
      <c r="DO177" s="228">
        <v>-1.1100000000000001</v>
      </c>
      <c r="DP177" s="228">
        <v>1.01</v>
      </c>
      <c r="DQ177" s="228">
        <v>1.03</v>
      </c>
      <c r="DR177" s="228">
        <v>-0.02</v>
      </c>
      <c r="DS177" s="229">
        <v>-1.9400000000000001E-2</v>
      </c>
      <c r="DT177" s="228">
        <v>160</v>
      </c>
      <c r="DU177" s="228">
        <v>160</v>
      </c>
      <c r="DV177" s="228">
        <v>0.5</v>
      </c>
      <c r="DW177" s="228">
        <v>0.71</v>
      </c>
      <c r="DX177" s="228">
        <v>-0.21</v>
      </c>
      <c r="DY177" s="229">
        <v>-0.29580000000000001</v>
      </c>
      <c r="DZ177" s="229">
        <v>3.9899999999999998E-2</v>
      </c>
      <c r="EA177" s="230">
        <v>3960300</v>
      </c>
      <c r="EB177" s="229">
        <v>5.4999999999999997E-3</v>
      </c>
      <c r="EC177" s="229">
        <v>3.9899999999999998E-2</v>
      </c>
      <c r="ED177" s="228">
        <v>0.89</v>
      </c>
      <c r="EE177" s="229">
        <v>5.4000000000000003E-3</v>
      </c>
      <c r="EF177" s="230">
        <v>9179059</v>
      </c>
      <c r="EG177" s="230">
        <v>6976637</v>
      </c>
      <c r="EH177" s="229">
        <v>0.31569999999999998</v>
      </c>
      <c r="EI177" s="229">
        <v>0.39810000000000001</v>
      </c>
      <c r="EJ177" s="231">
        <v>82653.37</v>
      </c>
      <c r="EK177" s="231">
        <v>38336.25</v>
      </c>
      <c r="EL177" s="231">
        <v>40236.65</v>
      </c>
      <c r="EM177" s="231">
        <v>5369</v>
      </c>
      <c r="EN177" s="231">
        <v>161226.26999999999</v>
      </c>
      <c r="EO177" s="231">
        <v>75887.649999999994</v>
      </c>
      <c r="EP177" s="231">
        <v>85338.62</v>
      </c>
      <c r="EQ177" s="229">
        <v>1.1245000000000001</v>
      </c>
      <c r="ER177" s="231">
        <v>50631</v>
      </c>
      <c r="ES177" s="231">
        <v>45997</v>
      </c>
      <c r="ET177" s="231">
        <v>186272</v>
      </c>
      <c r="EU177" s="231">
        <v>122326971</v>
      </c>
      <c r="EV177" s="231">
        <v>282901</v>
      </c>
      <c r="EW177" s="231">
        <v>268758</v>
      </c>
      <c r="EX177" s="231">
        <v>14143</v>
      </c>
      <c r="EY177" s="229">
        <v>5.2600000000000001E-2</v>
      </c>
      <c r="EZ177" s="229">
        <v>1.4386000000000001</v>
      </c>
      <c r="FA177" s="227" t="s">
        <v>555</v>
      </c>
      <c r="FB177" s="161">
        <f t="shared" si="4"/>
        <v>0</v>
      </c>
    </row>
    <row r="178" spans="1:158" ht="17.25" thickBot="1" x14ac:dyDescent="0.3">
      <c r="A178" s="226">
        <v>45940</v>
      </c>
      <c r="B178" s="227" t="s">
        <v>175</v>
      </c>
      <c r="C178" s="227" t="s">
        <v>536</v>
      </c>
      <c r="D178" s="228">
        <v>800</v>
      </c>
      <c r="E178" s="228">
        <v>912.2</v>
      </c>
      <c r="F178" s="228">
        <v>912.75</v>
      </c>
      <c r="G178" s="228">
        <v>-0.55000000000000004</v>
      </c>
      <c r="H178" s="229">
        <v>-5.9999999999999995E-4</v>
      </c>
      <c r="I178" s="228">
        <v>921.75</v>
      </c>
      <c r="J178" s="228">
        <v>923.1</v>
      </c>
      <c r="K178" s="228">
        <v>-1.35</v>
      </c>
      <c r="L178" s="229">
        <v>-1.5E-3</v>
      </c>
      <c r="M178" s="228">
        <v>912.2</v>
      </c>
      <c r="N178" s="228">
        <v>912.75</v>
      </c>
      <c r="O178" s="228">
        <v>-0.55000000000000004</v>
      </c>
      <c r="P178" s="229">
        <v>-5.9999999999999995E-4</v>
      </c>
      <c r="Q178" s="228">
        <v>898.9</v>
      </c>
      <c r="R178" s="228">
        <v>900.9</v>
      </c>
      <c r="S178" s="228">
        <v>-2</v>
      </c>
      <c r="T178" s="229">
        <v>-2.2000000000000001E-3</v>
      </c>
      <c r="U178" s="228">
        <v>890.6</v>
      </c>
      <c r="V178" s="228">
        <v>891.3</v>
      </c>
      <c r="W178" s="228">
        <v>-0.7</v>
      </c>
      <c r="X178" s="229">
        <v>-8.0000000000000004E-4</v>
      </c>
      <c r="Y178" s="228">
        <v>-9.5500000000000007</v>
      </c>
      <c r="Z178" s="228">
        <v>-10.35</v>
      </c>
      <c r="AA178" s="228">
        <v>0.8</v>
      </c>
      <c r="AB178" s="229">
        <v>-1.04E-2</v>
      </c>
      <c r="AC178" s="228">
        <v>-9.5500000000000007</v>
      </c>
      <c r="AD178" s="228">
        <v>-10.35</v>
      </c>
      <c r="AE178" s="228">
        <v>0.8</v>
      </c>
      <c r="AF178" s="229">
        <v>-1.04E-2</v>
      </c>
      <c r="AG178" s="228">
        <v>-22.85</v>
      </c>
      <c r="AH178" s="228">
        <v>-22.2</v>
      </c>
      <c r="AI178" s="228">
        <v>-0.65</v>
      </c>
      <c r="AJ178" s="229">
        <v>-2.4799999999999999E-2</v>
      </c>
      <c r="AK178" s="228">
        <v>-31.15</v>
      </c>
      <c r="AL178" s="228">
        <v>-31.8</v>
      </c>
      <c r="AM178" s="228">
        <v>0.65</v>
      </c>
      <c r="AN178" s="229">
        <v>-3.3799999999999997E-2</v>
      </c>
      <c r="AO178" s="228">
        <v>912.24</v>
      </c>
      <c r="AP178" s="228">
        <v>900.55</v>
      </c>
      <c r="AQ178" s="228">
        <v>0</v>
      </c>
      <c r="AR178" s="230">
        <v>2750400</v>
      </c>
      <c r="AS178" s="230">
        <v>2456800</v>
      </c>
      <c r="AT178" s="230">
        <v>293600</v>
      </c>
      <c r="AU178" s="229">
        <v>0.1195</v>
      </c>
      <c r="AV178" s="230">
        <v>1936800</v>
      </c>
      <c r="AW178" s="230">
        <v>2136000</v>
      </c>
      <c r="AX178" s="230">
        <v>-199200</v>
      </c>
      <c r="AY178" s="229">
        <v>-9.3299999999999994E-2</v>
      </c>
      <c r="AZ178" s="230">
        <v>672000</v>
      </c>
      <c r="BA178" s="230">
        <v>312000</v>
      </c>
      <c r="BB178" s="230">
        <v>360000</v>
      </c>
      <c r="BC178" s="229">
        <v>1.1537999999999999</v>
      </c>
      <c r="BD178" s="230">
        <v>141600</v>
      </c>
      <c r="BE178" s="230">
        <v>8800</v>
      </c>
      <c r="BF178" s="230">
        <v>132800</v>
      </c>
      <c r="BG178" s="229">
        <v>15.0909</v>
      </c>
      <c r="BH178" s="230">
        <v>5612800</v>
      </c>
      <c r="BI178" s="230">
        <v>5753600</v>
      </c>
      <c r="BJ178" s="230">
        <v>-140800</v>
      </c>
      <c r="BK178" s="229">
        <v>-2.4500000000000001E-2</v>
      </c>
      <c r="BL178" s="230">
        <v>2653600</v>
      </c>
      <c r="BM178" s="230">
        <v>3148800</v>
      </c>
      <c r="BN178" s="230">
        <v>-495200</v>
      </c>
      <c r="BO178" s="229">
        <v>-0.1573</v>
      </c>
      <c r="BP178" s="230">
        <v>11016800</v>
      </c>
      <c r="BQ178" s="230">
        <v>11359200</v>
      </c>
      <c r="BR178" s="230">
        <v>-342400</v>
      </c>
      <c r="BS178" s="229">
        <v>-3.0099999999999998E-2</v>
      </c>
      <c r="BT178" s="230">
        <v>635880</v>
      </c>
      <c r="BU178" s="230">
        <v>584233</v>
      </c>
      <c r="BV178" s="230">
        <v>51647</v>
      </c>
      <c r="BW178" s="229">
        <v>8.8400000000000006E-2</v>
      </c>
      <c r="BX178" s="230">
        <v>20193600</v>
      </c>
      <c r="BY178" s="230">
        <v>19810400</v>
      </c>
      <c r="BZ178" s="230">
        <v>383200</v>
      </c>
      <c r="CA178" s="229">
        <v>1.9300000000000001E-2</v>
      </c>
      <c r="CB178" s="230">
        <v>18229600</v>
      </c>
      <c r="CC178" s="230">
        <v>18067200</v>
      </c>
      <c r="CD178" s="230">
        <v>162400</v>
      </c>
      <c r="CE178" s="229">
        <v>8.9999999999999993E-3</v>
      </c>
      <c r="CF178" s="230">
        <v>1350400</v>
      </c>
      <c r="CG178" s="230">
        <v>1197600</v>
      </c>
      <c r="CH178" s="230">
        <v>152800</v>
      </c>
      <c r="CI178" s="229">
        <v>0.12759999999999999</v>
      </c>
      <c r="CJ178" s="230">
        <v>613600</v>
      </c>
      <c r="CK178" s="230">
        <v>545600</v>
      </c>
      <c r="CL178" s="230">
        <v>68000</v>
      </c>
      <c r="CM178" s="229">
        <v>0.1246</v>
      </c>
      <c r="CN178" s="230">
        <v>6336800</v>
      </c>
      <c r="CO178" s="230">
        <v>6133600</v>
      </c>
      <c r="CP178" s="230">
        <v>203200</v>
      </c>
      <c r="CQ178" s="229">
        <v>3.3099999999999997E-2</v>
      </c>
      <c r="CR178" s="230">
        <v>3823200</v>
      </c>
      <c r="CS178" s="230">
        <v>3860000</v>
      </c>
      <c r="CT178" s="230">
        <v>-36800</v>
      </c>
      <c r="CU178" s="229">
        <v>-9.4999999999999998E-3</v>
      </c>
      <c r="CV178" s="230">
        <v>30353600</v>
      </c>
      <c r="CW178" s="230">
        <v>29804000</v>
      </c>
      <c r="CX178" s="230">
        <v>549600</v>
      </c>
      <c r="CY178" s="229">
        <v>1.84E-2</v>
      </c>
      <c r="CZ178" s="228">
        <v>27.28</v>
      </c>
      <c r="DA178" s="228">
        <v>27.46</v>
      </c>
      <c r="DB178" s="228">
        <v>-0.18</v>
      </c>
      <c r="DC178" s="228">
        <v>-0.18</v>
      </c>
      <c r="DD178" s="228">
        <v>30.47</v>
      </c>
      <c r="DE178" s="228">
        <v>30.55</v>
      </c>
      <c r="DF178" s="228">
        <v>-3.19</v>
      </c>
      <c r="DG178" s="228">
        <v>-0.08</v>
      </c>
      <c r="DH178" s="228">
        <v>27.25</v>
      </c>
      <c r="DI178" s="228">
        <v>27.44</v>
      </c>
      <c r="DJ178" s="228">
        <v>-0.19</v>
      </c>
      <c r="DK178" s="228">
        <v>-0.19</v>
      </c>
      <c r="DL178" s="228">
        <v>27.34</v>
      </c>
      <c r="DM178" s="228">
        <v>27.49</v>
      </c>
      <c r="DN178" s="228">
        <v>-0.15</v>
      </c>
      <c r="DO178" s="228">
        <v>-0.15</v>
      </c>
      <c r="DP178" s="228">
        <v>0.6</v>
      </c>
      <c r="DQ178" s="228">
        <v>0.63</v>
      </c>
      <c r="DR178" s="228">
        <v>-0.03</v>
      </c>
      <c r="DS178" s="229">
        <v>-4.7600000000000003E-2</v>
      </c>
      <c r="DT178" s="231">
        <v>1000</v>
      </c>
      <c r="DU178" s="228">
        <v>900</v>
      </c>
      <c r="DV178" s="228">
        <v>0.47</v>
      </c>
      <c r="DW178" s="228">
        <v>0.55000000000000004</v>
      </c>
      <c r="DX178" s="228">
        <v>-0.08</v>
      </c>
      <c r="DY178" s="229">
        <v>-0.14549999999999999</v>
      </c>
      <c r="DZ178" s="229">
        <v>9.7299999999999998E-2</v>
      </c>
      <c r="EA178" s="230">
        <v>1743200</v>
      </c>
      <c r="EB178" s="229">
        <v>-1.46E-2</v>
      </c>
      <c r="EC178" s="229">
        <v>9.7299999999999998E-2</v>
      </c>
      <c r="ED178" s="228">
        <v>-11.69</v>
      </c>
      <c r="EE178" s="229">
        <v>-1.2800000000000001E-2</v>
      </c>
      <c r="EF178" s="230">
        <v>299645</v>
      </c>
      <c r="EG178" s="230">
        <v>266181</v>
      </c>
      <c r="EH178" s="229">
        <v>0.12570000000000001</v>
      </c>
      <c r="EI178" s="229">
        <v>0.47120000000000001</v>
      </c>
      <c r="EJ178" s="231">
        <v>53648.05</v>
      </c>
      <c r="EK178" s="231">
        <v>23743.53</v>
      </c>
      <c r="EL178" s="231">
        <v>24985.3</v>
      </c>
      <c r="EM178" s="231">
        <v>5865</v>
      </c>
      <c r="EN178" s="231">
        <v>102376.88</v>
      </c>
      <c r="EO178" s="231">
        <v>105661.96</v>
      </c>
      <c r="EP178" s="231">
        <v>-3285.08</v>
      </c>
      <c r="EQ178" s="229">
        <v>-3.1099999999999999E-2</v>
      </c>
      <c r="ER178" s="231">
        <v>59904</v>
      </c>
      <c r="ES178" s="231">
        <v>32716</v>
      </c>
      <c r="ET178" s="231">
        <v>183894</v>
      </c>
      <c r="EU178" s="231">
        <v>39583537</v>
      </c>
      <c r="EV178" s="231">
        <v>276513</v>
      </c>
      <c r="EW178" s="231">
        <v>271537</v>
      </c>
      <c r="EX178" s="231">
        <v>4976</v>
      </c>
      <c r="EY178" s="229">
        <v>1.83E-2</v>
      </c>
      <c r="EZ178" s="229">
        <v>0.76680000000000004</v>
      </c>
      <c r="FA178" s="227" t="s">
        <v>567</v>
      </c>
      <c r="FB178" s="161">
        <f t="shared" si="4"/>
        <v>0</v>
      </c>
    </row>
    <row r="179" spans="1:158" ht="17.25" thickBot="1" x14ac:dyDescent="0.3">
      <c r="A179" s="226">
        <v>45940</v>
      </c>
      <c r="B179" s="227" t="s">
        <v>175</v>
      </c>
      <c r="C179" s="227" t="s">
        <v>462</v>
      </c>
      <c r="D179" s="228">
        <v>375</v>
      </c>
      <c r="E179" s="231">
        <v>1820.4</v>
      </c>
      <c r="F179" s="231">
        <v>1817.1</v>
      </c>
      <c r="G179" s="228">
        <v>3.3</v>
      </c>
      <c r="H179" s="229">
        <v>1.8E-3</v>
      </c>
      <c r="I179" s="231">
        <v>1810.4</v>
      </c>
      <c r="J179" s="231">
        <v>1809.8</v>
      </c>
      <c r="K179" s="228">
        <v>0.6</v>
      </c>
      <c r="L179" s="229">
        <v>2.9999999999999997E-4</v>
      </c>
      <c r="M179" s="231">
        <v>1820.4</v>
      </c>
      <c r="N179" s="231">
        <v>1817.1</v>
      </c>
      <c r="O179" s="228">
        <v>3.3</v>
      </c>
      <c r="P179" s="229">
        <v>1.8E-3</v>
      </c>
      <c r="Q179" s="231">
        <v>1831.1</v>
      </c>
      <c r="R179" s="231">
        <v>1826.2</v>
      </c>
      <c r="S179" s="228">
        <v>4.9000000000000004</v>
      </c>
      <c r="T179" s="229">
        <v>2.7000000000000001E-3</v>
      </c>
      <c r="U179" s="231">
        <v>1841.7</v>
      </c>
      <c r="V179" s="231">
        <v>1831.2</v>
      </c>
      <c r="W179" s="228">
        <v>10.5</v>
      </c>
      <c r="X179" s="229">
        <v>5.7000000000000002E-3</v>
      </c>
      <c r="Y179" s="228">
        <v>10</v>
      </c>
      <c r="Z179" s="228">
        <v>7.3</v>
      </c>
      <c r="AA179" s="228">
        <v>2.7</v>
      </c>
      <c r="AB179" s="229">
        <v>5.4999999999999997E-3</v>
      </c>
      <c r="AC179" s="228">
        <v>10</v>
      </c>
      <c r="AD179" s="228">
        <v>7.3</v>
      </c>
      <c r="AE179" s="228">
        <v>2.7</v>
      </c>
      <c r="AF179" s="229">
        <v>5.4999999999999997E-3</v>
      </c>
      <c r="AG179" s="228">
        <v>20.7</v>
      </c>
      <c r="AH179" s="228">
        <v>16.399999999999999</v>
      </c>
      <c r="AI179" s="228">
        <v>4.3</v>
      </c>
      <c r="AJ179" s="229">
        <v>1.14E-2</v>
      </c>
      <c r="AK179" s="228">
        <v>31.3</v>
      </c>
      <c r="AL179" s="228">
        <v>21.4</v>
      </c>
      <c r="AM179" s="228">
        <v>9.9</v>
      </c>
      <c r="AN179" s="229">
        <v>1.7299999999999999E-2</v>
      </c>
      <c r="AO179" s="231">
        <v>1835.04</v>
      </c>
      <c r="AP179" s="231">
        <v>1844.14</v>
      </c>
      <c r="AQ179" s="228">
        <v>0</v>
      </c>
      <c r="AR179" s="230">
        <v>1894875</v>
      </c>
      <c r="AS179" s="230">
        <v>1155750</v>
      </c>
      <c r="AT179" s="230">
        <v>739125</v>
      </c>
      <c r="AU179" s="229">
        <v>0.63949999999999996</v>
      </c>
      <c r="AV179" s="230">
        <v>1776750</v>
      </c>
      <c r="AW179" s="230">
        <v>1083750</v>
      </c>
      <c r="AX179" s="230">
        <v>693000</v>
      </c>
      <c r="AY179" s="229">
        <v>0.63939999999999997</v>
      </c>
      <c r="AZ179" s="230">
        <v>97500</v>
      </c>
      <c r="BA179" s="230">
        <v>63000</v>
      </c>
      <c r="BB179" s="230">
        <v>34500</v>
      </c>
      <c r="BC179" s="229">
        <v>0.54759999999999998</v>
      </c>
      <c r="BD179" s="230">
        <v>20625</v>
      </c>
      <c r="BE179" s="230">
        <v>9000</v>
      </c>
      <c r="BF179" s="230">
        <v>11625</v>
      </c>
      <c r="BG179" s="229">
        <v>1.2917000000000001</v>
      </c>
      <c r="BH179" s="230">
        <v>7191375</v>
      </c>
      <c r="BI179" s="230">
        <v>3642375</v>
      </c>
      <c r="BJ179" s="230">
        <v>3549000</v>
      </c>
      <c r="BK179" s="229">
        <v>0.97440000000000004</v>
      </c>
      <c r="BL179" s="230">
        <v>2498625</v>
      </c>
      <c r="BM179" s="230">
        <v>1511250</v>
      </c>
      <c r="BN179" s="230">
        <v>987375</v>
      </c>
      <c r="BO179" s="229">
        <v>0.65329999999999999</v>
      </c>
      <c r="BP179" s="230">
        <v>11584875</v>
      </c>
      <c r="BQ179" s="230">
        <v>6309375</v>
      </c>
      <c r="BR179" s="230">
        <v>5275500</v>
      </c>
      <c r="BS179" s="229">
        <v>0.83609999999999995</v>
      </c>
      <c r="BT179" s="230">
        <v>1114843</v>
      </c>
      <c r="BU179" s="230">
        <v>862022</v>
      </c>
      <c r="BV179" s="230">
        <v>252821</v>
      </c>
      <c r="BW179" s="229">
        <v>0.29330000000000001</v>
      </c>
      <c r="BX179" s="230">
        <v>6808875</v>
      </c>
      <c r="BY179" s="230">
        <v>6512250</v>
      </c>
      <c r="BZ179" s="230">
        <v>296625</v>
      </c>
      <c r="CA179" s="229">
        <v>4.5499999999999999E-2</v>
      </c>
      <c r="CB179" s="230">
        <v>6663375</v>
      </c>
      <c r="CC179" s="230">
        <v>6403875</v>
      </c>
      <c r="CD179" s="230">
        <v>259500</v>
      </c>
      <c r="CE179" s="229">
        <v>4.0500000000000001E-2</v>
      </c>
      <c r="CF179" s="230">
        <v>112125</v>
      </c>
      <c r="CG179" s="230">
        <v>85500</v>
      </c>
      <c r="CH179" s="230">
        <v>26625</v>
      </c>
      <c r="CI179" s="229">
        <v>0.31140000000000001</v>
      </c>
      <c r="CJ179" s="230">
        <v>33375</v>
      </c>
      <c r="CK179" s="230">
        <v>22875</v>
      </c>
      <c r="CL179" s="230">
        <v>10500</v>
      </c>
      <c r="CM179" s="229">
        <v>0.45900000000000002</v>
      </c>
      <c r="CN179" s="230">
        <v>2504625</v>
      </c>
      <c r="CO179" s="230">
        <v>1813125</v>
      </c>
      <c r="CP179" s="230">
        <v>691500</v>
      </c>
      <c r="CQ179" s="229">
        <v>0.38140000000000002</v>
      </c>
      <c r="CR179" s="230">
        <v>1221000</v>
      </c>
      <c r="CS179" s="230">
        <v>1041375</v>
      </c>
      <c r="CT179" s="230">
        <v>179625</v>
      </c>
      <c r="CU179" s="229">
        <v>0.17249999999999999</v>
      </c>
      <c r="CV179" s="230">
        <v>10534500</v>
      </c>
      <c r="CW179" s="230">
        <v>9366750</v>
      </c>
      <c r="CX179" s="230">
        <v>1167750</v>
      </c>
      <c r="CY179" s="229">
        <v>0.12470000000000001</v>
      </c>
      <c r="CZ179" s="228">
        <v>19.53</v>
      </c>
      <c r="DA179" s="228">
        <v>20.78</v>
      </c>
      <c r="DB179" s="228">
        <v>-1.25</v>
      </c>
      <c r="DC179" s="228">
        <v>-1.25</v>
      </c>
      <c r="DD179" s="228">
        <v>25.85</v>
      </c>
      <c r="DE179" s="228">
        <v>25.91</v>
      </c>
      <c r="DF179" s="228">
        <v>-6.32</v>
      </c>
      <c r="DG179" s="228">
        <v>-0.06</v>
      </c>
      <c r="DH179" s="228">
        <v>19.329999999999998</v>
      </c>
      <c r="DI179" s="228">
        <v>20.46</v>
      </c>
      <c r="DJ179" s="228">
        <v>-1.1299999999999999</v>
      </c>
      <c r="DK179" s="228">
        <v>-1.1299999999999999</v>
      </c>
      <c r="DL179" s="228">
        <v>20.12</v>
      </c>
      <c r="DM179" s="228">
        <v>21.53</v>
      </c>
      <c r="DN179" s="228">
        <v>-1.41</v>
      </c>
      <c r="DO179" s="228">
        <v>-1.41</v>
      </c>
      <c r="DP179" s="228">
        <v>0.49</v>
      </c>
      <c r="DQ179" s="228">
        <v>0.56999999999999995</v>
      </c>
      <c r="DR179" s="228">
        <v>-0.08</v>
      </c>
      <c r="DS179" s="229">
        <v>-0.1404</v>
      </c>
      <c r="DT179" s="231">
        <v>1800</v>
      </c>
      <c r="DU179" s="231">
        <v>1800</v>
      </c>
      <c r="DV179" s="228">
        <v>0.35</v>
      </c>
      <c r="DW179" s="228">
        <v>0.41</v>
      </c>
      <c r="DX179" s="228">
        <v>-0.06</v>
      </c>
      <c r="DY179" s="229">
        <v>-0.14630000000000001</v>
      </c>
      <c r="DZ179" s="229">
        <v>2.1399999999999999E-2</v>
      </c>
      <c r="EA179" s="230">
        <v>108375</v>
      </c>
      <c r="EB179" s="229">
        <v>5.8999999999999999E-3</v>
      </c>
      <c r="EC179" s="229">
        <v>2.1399999999999999E-2</v>
      </c>
      <c r="ED179" s="228">
        <v>9.1</v>
      </c>
      <c r="EE179" s="229">
        <v>5.0000000000000001E-3</v>
      </c>
      <c r="EF179" s="230">
        <v>608403</v>
      </c>
      <c r="EG179" s="230">
        <v>566550</v>
      </c>
      <c r="EH179" s="229">
        <v>7.3899999999999993E-2</v>
      </c>
      <c r="EI179" s="229">
        <v>0.54569999999999996</v>
      </c>
      <c r="EJ179" s="231">
        <v>135942.10999999999</v>
      </c>
      <c r="EK179" s="231">
        <v>45166.37</v>
      </c>
      <c r="EL179" s="231">
        <v>34785.32</v>
      </c>
      <c r="EM179" s="231">
        <v>3602</v>
      </c>
      <c r="EN179" s="231">
        <v>215893.8</v>
      </c>
      <c r="EO179" s="231">
        <v>115633.53</v>
      </c>
      <c r="EP179" s="231">
        <v>100260.27</v>
      </c>
      <c r="EQ179" s="229">
        <v>0.86709999999999998</v>
      </c>
      <c r="ER179" s="231">
        <v>46809</v>
      </c>
      <c r="ES179" s="231">
        <v>21490</v>
      </c>
      <c r="ET179" s="231">
        <v>123968</v>
      </c>
      <c r="EU179" s="231">
        <v>44735132</v>
      </c>
      <c r="EV179" s="231">
        <v>192267</v>
      </c>
      <c r="EW179" s="231">
        <v>170337</v>
      </c>
      <c r="EX179" s="231">
        <v>21930</v>
      </c>
      <c r="EY179" s="229">
        <v>0.12870000000000001</v>
      </c>
      <c r="EZ179" s="229">
        <v>0.23549999999999999</v>
      </c>
      <c r="FA179" s="227" t="s">
        <v>555</v>
      </c>
      <c r="FB179" s="161">
        <f t="shared" si="4"/>
        <v>0</v>
      </c>
    </row>
    <row r="180" spans="1:158" ht="17.25" thickBot="1" x14ac:dyDescent="0.3">
      <c r="A180" s="226">
        <v>45940</v>
      </c>
      <c r="B180" s="227" t="s">
        <v>172</v>
      </c>
      <c r="C180" s="227" t="s">
        <v>283</v>
      </c>
      <c r="D180" s="228">
        <v>750</v>
      </c>
      <c r="E180" s="228">
        <v>883.35</v>
      </c>
      <c r="F180" s="228">
        <v>866.85</v>
      </c>
      <c r="G180" s="228">
        <v>16.5</v>
      </c>
      <c r="H180" s="229">
        <v>1.9E-2</v>
      </c>
      <c r="I180" s="228">
        <v>880.65</v>
      </c>
      <c r="J180" s="228">
        <v>862.1</v>
      </c>
      <c r="K180" s="228">
        <v>18.55</v>
      </c>
      <c r="L180" s="229">
        <v>2.1499999999999998E-2</v>
      </c>
      <c r="M180" s="228">
        <v>883.35</v>
      </c>
      <c r="N180" s="228">
        <v>866.85</v>
      </c>
      <c r="O180" s="228">
        <v>16.5</v>
      </c>
      <c r="P180" s="229">
        <v>1.9E-2</v>
      </c>
      <c r="Q180" s="228">
        <v>888.1</v>
      </c>
      <c r="R180" s="228">
        <v>871.15</v>
      </c>
      <c r="S180" s="228">
        <v>16.95</v>
      </c>
      <c r="T180" s="229">
        <v>1.95E-2</v>
      </c>
      <c r="U180" s="228">
        <v>893.45</v>
      </c>
      <c r="V180" s="228">
        <v>876.55</v>
      </c>
      <c r="W180" s="228">
        <v>16.899999999999999</v>
      </c>
      <c r="X180" s="229">
        <v>1.9300000000000001E-2</v>
      </c>
      <c r="Y180" s="228">
        <v>2.7</v>
      </c>
      <c r="Z180" s="228">
        <v>4.75</v>
      </c>
      <c r="AA180" s="228">
        <v>-2.0499999999999998</v>
      </c>
      <c r="AB180" s="229">
        <v>3.0999999999999999E-3</v>
      </c>
      <c r="AC180" s="228">
        <v>2.7</v>
      </c>
      <c r="AD180" s="228">
        <v>4.75</v>
      </c>
      <c r="AE180" s="228">
        <v>-2.0499999999999998</v>
      </c>
      <c r="AF180" s="229">
        <v>3.0999999999999999E-3</v>
      </c>
      <c r="AG180" s="228">
        <v>7.45</v>
      </c>
      <c r="AH180" s="228">
        <v>9.0500000000000007</v>
      </c>
      <c r="AI180" s="228">
        <v>-1.6</v>
      </c>
      <c r="AJ180" s="229">
        <v>8.5000000000000006E-3</v>
      </c>
      <c r="AK180" s="228">
        <v>12.8</v>
      </c>
      <c r="AL180" s="228">
        <v>14.45</v>
      </c>
      <c r="AM180" s="228">
        <v>-1.65</v>
      </c>
      <c r="AN180" s="229">
        <v>1.4500000000000001E-2</v>
      </c>
      <c r="AO180" s="228">
        <v>881.84</v>
      </c>
      <c r="AP180" s="228">
        <v>885.79</v>
      </c>
      <c r="AQ180" s="228">
        <v>0</v>
      </c>
      <c r="AR180" s="230">
        <v>24622500</v>
      </c>
      <c r="AS180" s="230">
        <v>10603500</v>
      </c>
      <c r="AT180" s="230">
        <v>14019000</v>
      </c>
      <c r="AU180" s="229">
        <v>1.3221000000000001</v>
      </c>
      <c r="AV180" s="230">
        <v>22533000</v>
      </c>
      <c r="AW180" s="230">
        <v>9420750</v>
      </c>
      <c r="AX180" s="230">
        <v>13112250</v>
      </c>
      <c r="AY180" s="229">
        <v>1.3917999999999999</v>
      </c>
      <c r="AZ180" s="230">
        <v>1743750</v>
      </c>
      <c r="BA180" s="230">
        <v>1091250</v>
      </c>
      <c r="BB180" s="230">
        <v>652500</v>
      </c>
      <c r="BC180" s="229">
        <v>0.59789999999999999</v>
      </c>
      <c r="BD180" s="230">
        <v>345750</v>
      </c>
      <c r="BE180" s="230">
        <v>91500</v>
      </c>
      <c r="BF180" s="230">
        <v>254250</v>
      </c>
      <c r="BG180" s="229">
        <v>2.7787000000000002</v>
      </c>
      <c r="BH180" s="230">
        <v>159164250</v>
      </c>
      <c r="BI180" s="230">
        <v>42048750</v>
      </c>
      <c r="BJ180" s="230">
        <v>117115500</v>
      </c>
      <c r="BK180" s="229">
        <v>2.7852000000000001</v>
      </c>
      <c r="BL180" s="230">
        <v>80352000</v>
      </c>
      <c r="BM180" s="230">
        <v>24466500</v>
      </c>
      <c r="BN180" s="230">
        <v>55885500</v>
      </c>
      <c r="BO180" s="229">
        <v>2.2841999999999998</v>
      </c>
      <c r="BP180" s="230">
        <v>264138750</v>
      </c>
      <c r="BQ180" s="230">
        <v>77118750</v>
      </c>
      <c r="BR180" s="230">
        <v>187020000</v>
      </c>
      <c r="BS180" s="229">
        <v>2.4251</v>
      </c>
      <c r="BT180" s="230">
        <v>15047478</v>
      </c>
      <c r="BU180" s="230">
        <v>8368435</v>
      </c>
      <c r="BV180" s="230">
        <v>6679043</v>
      </c>
      <c r="BW180" s="229">
        <v>0.79810000000000003</v>
      </c>
      <c r="BX180" s="230">
        <v>95029500</v>
      </c>
      <c r="BY180" s="230">
        <v>96759000</v>
      </c>
      <c r="BZ180" s="230">
        <v>-1729500</v>
      </c>
      <c r="CA180" s="229">
        <v>-1.7899999999999999E-2</v>
      </c>
      <c r="CB180" s="230">
        <v>91833750</v>
      </c>
      <c r="CC180" s="230">
        <v>93843000</v>
      </c>
      <c r="CD180" s="230">
        <v>-2009250</v>
      </c>
      <c r="CE180" s="229">
        <v>-2.1399999999999999E-2</v>
      </c>
      <c r="CF180" s="230">
        <v>2829750</v>
      </c>
      <c r="CG180" s="230">
        <v>2685750</v>
      </c>
      <c r="CH180" s="230">
        <v>144000</v>
      </c>
      <c r="CI180" s="229">
        <v>5.3600000000000002E-2</v>
      </c>
      <c r="CJ180" s="230">
        <v>366000</v>
      </c>
      <c r="CK180" s="230">
        <v>230250</v>
      </c>
      <c r="CL180" s="230">
        <v>135750</v>
      </c>
      <c r="CM180" s="229">
        <v>0.58960000000000001</v>
      </c>
      <c r="CN180" s="230">
        <v>46028250</v>
      </c>
      <c r="CO180" s="230">
        <v>48941250</v>
      </c>
      <c r="CP180" s="230">
        <v>-2913000</v>
      </c>
      <c r="CQ180" s="229">
        <v>-5.9499999999999997E-2</v>
      </c>
      <c r="CR180" s="230">
        <v>31173000</v>
      </c>
      <c r="CS180" s="230">
        <v>28041750</v>
      </c>
      <c r="CT180" s="230">
        <v>3131250</v>
      </c>
      <c r="CU180" s="229">
        <v>0.11169999999999999</v>
      </c>
      <c r="CV180" s="230">
        <v>172230750</v>
      </c>
      <c r="CW180" s="230">
        <v>173742000</v>
      </c>
      <c r="CX180" s="230">
        <v>-1511250</v>
      </c>
      <c r="CY180" s="229">
        <v>-8.6999999999999994E-3</v>
      </c>
      <c r="CZ180" s="228">
        <v>17.46</v>
      </c>
      <c r="DA180" s="228">
        <v>18.190000000000001</v>
      </c>
      <c r="DB180" s="228">
        <v>-0.73</v>
      </c>
      <c r="DC180" s="228">
        <v>-0.73</v>
      </c>
      <c r="DD180" s="228">
        <v>26.45</v>
      </c>
      <c r="DE180" s="228">
        <v>26.39</v>
      </c>
      <c r="DF180" s="228">
        <v>-8.99</v>
      </c>
      <c r="DG180" s="228">
        <v>0.06</v>
      </c>
      <c r="DH180" s="228">
        <v>17.149999999999999</v>
      </c>
      <c r="DI180" s="228">
        <v>18.3</v>
      </c>
      <c r="DJ180" s="228">
        <v>-1.1499999999999999</v>
      </c>
      <c r="DK180" s="228">
        <v>-1.1499999999999999</v>
      </c>
      <c r="DL180" s="228">
        <v>18.07</v>
      </c>
      <c r="DM180" s="228">
        <v>18.010000000000002</v>
      </c>
      <c r="DN180" s="228">
        <v>0.06</v>
      </c>
      <c r="DO180" s="228">
        <v>0.06</v>
      </c>
      <c r="DP180" s="228">
        <v>0.68</v>
      </c>
      <c r="DQ180" s="228">
        <v>0.56999999999999995</v>
      </c>
      <c r="DR180" s="228">
        <v>0.11</v>
      </c>
      <c r="DS180" s="229">
        <v>0.193</v>
      </c>
      <c r="DT180" s="228">
        <v>880</v>
      </c>
      <c r="DU180" s="228">
        <v>870</v>
      </c>
      <c r="DV180" s="228">
        <v>0.5</v>
      </c>
      <c r="DW180" s="228">
        <v>0.57999999999999996</v>
      </c>
      <c r="DX180" s="228">
        <v>-0.08</v>
      </c>
      <c r="DY180" s="229">
        <v>-0.13789999999999999</v>
      </c>
      <c r="DZ180" s="229">
        <v>3.3599999999999998E-2</v>
      </c>
      <c r="EA180" s="230">
        <v>2916000</v>
      </c>
      <c r="EB180" s="229">
        <v>5.4000000000000003E-3</v>
      </c>
      <c r="EC180" s="229">
        <v>3.3599999999999998E-2</v>
      </c>
      <c r="ED180" s="228">
        <v>3.95</v>
      </c>
      <c r="EE180" s="229">
        <v>4.4999999999999997E-3</v>
      </c>
      <c r="EF180" s="230">
        <v>8207382</v>
      </c>
      <c r="EG180" s="230">
        <v>3729926</v>
      </c>
      <c r="EH180" s="229">
        <v>1.2003999999999999</v>
      </c>
      <c r="EI180" s="229">
        <v>0.5454</v>
      </c>
      <c r="EJ180" s="231">
        <v>1440578.59</v>
      </c>
      <c r="EK180" s="231">
        <v>697979.94</v>
      </c>
      <c r="EL180" s="231">
        <v>217238.85</v>
      </c>
      <c r="EM180" s="231">
        <v>16561</v>
      </c>
      <c r="EN180" s="231">
        <v>2355797.38</v>
      </c>
      <c r="EO180" s="231">
        <v>678035.21</v>
      </c>
      <c r="EP180" s="231">
        <v>1677762.17</v>
      </c>
      <c r="EQ180" s="229">
        <v>2.4744000000000002</v>
      </c>
      <c r="ER180" s="231">
        <v>413330</v>
      </c>
      <c r="ES180" s="231">
        <v>264042</v>
      </c>
      <c r="ET180" s="231">
        <v>839614</v>
      </c>
      <c r="EU180" s="231">
        <v>407307212</v>
      </c>
      <c r="EV180" s="231">
        <v>1516986</v>
      </c>
      <c r="EW180" s="231">
        <v>1513121</v>
      </c>
      <c r="EX180" s="231">
        <v>3865</v>
      </c>
      <c r="EY180" s="229">
        <v>2.5999999999999999E-3</v>
      </c>
      <c r="EZ180" s="229">
        <v>0.4229</v>
      </c>
      <c r="FA180" s="227" t="s">
        <v>556</v>
      </c>
      <c r="FB180" s="161">
        <f t="shared" si="4"/>
        <v>0</v>
      </c>
    </row>
    <row r="181" spans="1:158" ht="17.25" thickBot="1" x14ac:dyDescent="0.3">
      <c r="A181" s="226">
        <v>45940</v>
      </c>
      <c r="B181" s="227" t="s">
        <v>157</v>
      </c>
      <c r="C181" s="227" t="s">
        <v>284</v>
      </c>
      <c r="D181" s="228">
        <v>25</v>
      </c>
      <c r="E181" s="231">
        <v>29605</v>
      </c>
      <c r="F181" s="231">
        <v>29655</v>
      </c>
      <c r="G181" s="228">
        <v>-50</v>
      </c>
      <c r="H181" s="229">
        <v>-1.6999999999999999E-3</v>
      </c>
      <c r="I181" s="231">
        <v>29445</v>
      </c>
      <c r="J181" s="231">
        <v>29485</v>
      </c>
      <c r="K181" s="228">
        <v>-40</v>
      </c>
      <c r="L181" s="229">
        <v>-1.4E-3</v>
      </c>
      <c r="M181" s="231">
        <v>29605</v>
      </c>
      <c r="N181" s="231">
        <v>29655</v>
      </c>
      <c r="O181" s="228">
        <v>-50</v>
      </c>
      <c r="P181" s="229">
        <v>-1.6999999999999999E-3</v>
      </c>
      <c r="Q181" s="231">
        <v>29670</v>
      </c>
      <c r="R181" s="231">
        <v>29675</v>
      </c>
      <c r="S181" s="228">
        <v>-5</v>
      </c>
      <c r="T181" s="229">
        <v>-2.0000000000000001E-4</v>
      </c>
      <c r="U181" s="231">
        <v>29790</v>
      </c>
      <c r="V181" s="231">
        <v>29790</v>
      </c>
      <c r="W181" s="228">
        <v>0</v>
      </c>
      <c r="X181" s="229">
        <v>0</v>
      </c>
      <c r="Y181" s="228">
        <v>160</v>
      </c>
      <c r="Z181" s="228">
        <v>170</v>
      </c>
      <c r="AA181" s="228">
        <v>-10</v>
      </c>
      <c r="AB181" s="229">
        <v>5.4000000000000003E-3</v>
      </c>
      <c r="AC181" s="228">
        <v>160</v>
      </c>
      <c r="AD181" s="228">
        <v>170</v>
      </c>
      <c r="AE181" s="228">
        <v>-10</v>
      </c>
      <c r="AF181" s="229">
        <v>5.4000000000000003E-3</v>
      </c>
      <c r="AG181" s="228">
        <v>225</v>
      </c>
      <c r="AH181" s="228">
        <v>190</v>
      </c>
      <c r="AI181" s="228">
        <v>35</v>
      </c>
      <c r="AJ181" s="229">
        <v>7.6E-3</v>
      </c>
      <c r="AK181" s="228">
        <v>345</v>
      </c>
      <c r="AL181" s="228">
        <v>305</v>
      </c>
      <c r="AM181" s="228">
        <v>40</v>
      </c>
      <c r="AN181" s="229">
        <v>1.17E-2</v>
      </c>
      <c r="AO181" s="231">
        <v>29645.75</v>
      </c>
      <c r="AP181" s="231">
        <v>29671.11</v>
      </c>
      <c r="AQ181" s="228">
        <v>0</v>
      </c>
      <c r="AR181" s="230">
        <v>14750</v>
      </c>
      <c r="AS181" s="230">
        <v>20225</v>
      </c>
      <c r="AT181" s="230">
        <v>-5475</v>
      </c>
      <c r="AU181" s="229">
        <v>-0.2707</v>
      </c>
      <c r="AV181" s="230">
        <v>14075</v>
      </c>
      <c r="AW181" s="230">
        <v>19475</v>
      </c>
      <c r="AX181" s="230">
        <v>-5400</v>
      </c>
      <c r="AY181" s="229">
        <v>-0.27729999999999999</v>
      </c>
      <c r="AZ181" s="228">
        <v>675</v>
      </c>
      <c r="BA181" s="228">
        <v>750</v>
      </c>
      <c r="BB181" s="228">
        <v>-75</v>
      </c>
      <c r="BC181" s="229">
        <v>-0.1</v>
      </c>
      <c r="BD181" s="228">
        <v>0</v>
      </c>
      <c r="BE181" s="228">
        <v>0</v>
      </c>
      <c r="BF181" s="228">
        <v>0</v>
      </c>
      <c r="BG181" s="229">
        <v>0</v>
      </c>
      <c r="BH181" s="230">
        <v>13475</v>
      </c>
      <c r="BI181" s="230">
        <v>19150</v>
      </c>
      <c r="BJ181" s="230">
        <v>-5675</v>
      </c>
      <c r="BK181" s="229">
        <v>-0.29630000000000001</v>
      </c>
      <c r="BL181" s="230">
        <v>3775</v>
      </c>
      <c r="BM181" s="230">
        <v>26850</v>
      </c>
      <c r="BN181" s="230">
        <v>-23075</v>
      </c>
      <c r="BO181" s="229">
        <v>-0.85940000000000005</v>
      </c>
      <c r="BP181" s="230">
        <v>32000</v>
      </c>
      <c r="BQ181" s="230">
        <v>66225</v>
      </c>
      <c r="BR181" s="230">
        <v>-34225</v>
      </c>
      <c r="BS181" s="229">
        <v>-0.51680000000000004</v>
      </c>
      <c r="BT181" s="230">
        <v>17600</v>
      </c>
      <c r="BU181" s="230">
        <v>22217</v>
      </c>
      <c r="BV181" s="230">
        <v>-4617</v>
      </c>
      <c r="BW181" s="229">
        <v>-0.20780000000000001</v>
      </c>
      <c r="BX181" s="230">
        <v>225650</v>
      </c>
      <c r="BY181" s="230">
        <v>226000</v>
      </c>
      <c r="BZ181" s="228">
        <v>-350</v>
      </c>
      <c r="CA181" s="229">
        <v>-1.5E-3</v>
      </c>
      <c r="CB181" s="230">
        <v>223950</v>
      </c>
      <c r="CC181" s="230">
        <v>224350</v>
      </c>
      <c r="CD181" s="228">
        <v>-400</v>
      </c>
      <c r="CE181" s="229">
        <v>-1.8E-3</v>
      </c>
      <c r="CF181" s="230">
        <v>1675</v>
      </c>
      <c r="CG181" s="230">
        <v>1625</v>
      </c>
      <c r="CH181" s="228">
        <v>50</v>
      </c>
      <c r="CI181" s="229">
        <v>3.0800000000000001E-2</v>
      </c>
      <c r="CJ181" s="228">
        <v>25</v>
      </c>
      <c r="CK181" s="228">
        <v>25</v>
      </c>
      <c r="CL181" s="228">
        <v>0</v>
      </c>
      <c r="CM181" s="229">
        <v>0</v>
      </c>
      <c r="CN181" s="230">
        <v>26925</v>
      </c>
      <c r="CO181" s="230">
        <v>26525</v>
      </c>
      <c r="CP181" s="228">
        <v>400</v>
      </c>
      <c r="CQ181" s="229">
        <v>1.5100000000000001E-2</v>
      </c>
      <c r="CR181" s="230">
        <v>20425</v>
      </c>
      <c r="CS181" s="230">
        <v>20550</v>
      </c>
      <c r="CT181" s="228">
        <v>-125</v>
      </c>
      <c r="CU181" s="229">
        <v>-6.1000000000000004E-3</v>
      </c>
      <c r="CV181" s="230">
        <v>273000</v>
      </c>
      <c r="CW181" s="230">
        <v>273075</v>
      </c>
      <c r="CX181" s="228">
        <v>-75</v>
      </c>
      <c r="CY181" s="229">
        <v>-2.9999999999999997E-4</v>
      </c>
      <c r="CZ181" s="228">
        <v>20.14</v>
      </c>
      <c r="DA181" s="228">
        <v>19.88</v>
      </c>
      <c r="DB181" s="228">
        <v>0.26</v>
      </c>
      <c r="DC181" s="228">
        <v>0.26</v>
      </c>
      <c r="DD181" s="228">
        <v>25.93</v>
      </c>
      <c r="DE181" s="228">
        <v>26</v>
      </c>
      <c r="DF181" s="228">
        <v>-5.79</v>
      </c>
      <c r="DG181" s="228">
        <v>-7.0000000000000007E-2</v>
      </c>
      <c r="DH181" s="228">
        <v>20.3</v>
      </c>
      <c r="DI181" s="228">
        <v>20.260000000000002</v>
      </c>
      <c r="DJ181" s="228">
        <v>0.04</v>
      </c>
      <c r="DK181" s="228">
        <v>0.04</v>
      </c>
      <c r="DL181" s="228">
        <v>19.559999999999999</v>
      </c>
      <c r="DM181" s="228">
        <v>19.62</v>
      </c>
      <c r="DN181" s="228">
        <v>-0.06</v>
      </c>
      <c r="DO181" s="228">
        <v>-0.06</v>
      </c>
      <c r="DP181" s="228">
        <v>0.76</v>
      </c>
      <c r="DQ181" s="228">
        <v>0.77</v>
      </c>
      <c r="DR181" s="228">
        <v>-0.01</v>
      </c>
      <c r="DS181" s="229">
        <v>-1.2999999999999999E-2</v>
      </c>
      <c r="DT181" s="231">
        <v>30000</v>
      </c>
      <c r="DU181" s="231">
        <v>28500</v>
      </c>
      <c r="DV181" s="228">
        <v>0.28000000000000003</v>
      </c>
      <c r="DW181" s="228">
        <v>1.4</v>
      </c>
      <c r="DX181" s="228">
        <v>-1.1200000000000001</v>
      </c>
      <c r="DY181" s="229">
        <v>-0.8</v>
      </c>
      <c r="DZ181" s="229">
        <v>7.4999999999999997E-3</v>
      </c>
      <c r="EA181" s="230">
        <v>1650</v>
      </c>
      <c r="EB181" s="229">
        <v>2.2000000000000001E-3</v>
      </c>
      <c r="EC181" s="229">
        <v>7.4999999999999997E-3</v>
      </c>
      <c r="ED181" s="228">
        <v>25.36</v>
      </c>
      <c r="EE181" s="229">
        <v>8.9999999999999998E-4</v>
      </c>
      <c r="EF181" s="230">
        <v>10967</v>
      </c>
      <c r="EG181" s="230">
        <v>12416</v>
      </c>
      <c r="EH181" s="229">
        <v>-0.1167</v>
      </c>
      <c r="EI181" s="229">
        <v>0.62309999999999999</v>
      </c>
      <c r="EJ181" s="231">
        <v>4120.34</v>
      </c>
      <c r="EK181" s="231">
        <v>1117.6099999999999</v>
      </c>
      <c r="EL181" s="231">
        <v>4372.92</v>
      </c>
      <c r="EM181" s="228">
        <v>972</v>
      </c>
      <c r="EN181" s="231">
        <v>9610.8700000000008</v>
      </c>
      <c r="EO181" s="231">
        <v>20095.02</v>
      </c>
      <c r="EP181" s="231">
        <v>-10484.15</v>
      </c>
      <c r="EQ181" s="229">
        <v>-0.52170000000000005</v>
      </c>
      <c r="ER181" s="231">
        <v>8203</v>
      </c>
      <c r="ES181" s="231">
        <v>5901</v>
      </c>
      <c r="ET181" s="231">
        <v>66805</v>
      </c>
      <c r="EU181" s="231">
        <v>1548028</v>
      </c>
      <c r="EV181" s="231">
        <v>80909</v>
      </c>
      <c r="EW181" s="231">
        <v>81031</v>
      </c>
      <c r="EX181" s="228">
        <v>-122</v>
      </c>
      <c r="EY181" s="229">
        <v>-1.5E-3</v>
      </c>
      <c r="EZ181" s="229">
        <v>0.1764</v>
      </c>
      <c r="FA181" s="227" t="s">
        <v>568</v>
      </c>
      <c r="FB181" s="161">
        <f t="shared" si="4"/>
        <v>0</v>
      </c>
    </row>
    <row r="182" spans="1:158" ht="17.25" thickBot="1" x14ac:dyDescent="0.3">
      <c r="A182" s="226">
        <v>45940</v>
      </c>
      <c r="B182" s="227" t="s">
        <v>175</v>
      </c>
      <c r="C182" s="227" t="s">
        <v>562</v>
      </c>
      <c r="D182" s="228">
        <v>825</v>
      </c>
      <c r="E182" s="228">
        <v>667.3</v>
      </c>
      <c r="F182" s="228">
        <v>671.7</v>
      </c>
      <c r="G182" s="228">
        <v>-4.4000000000000004</v>
      </c>
      <c r="H182" s="229">
        <v>-6.6E-3</v>
      </c>
      <c r="I182" s="228">
        <v>665.05</v>
      </c>
      <c r="J182" s="228">
        <v>669.05</v>
      </c>
      <c r="K182" s="228">
        <v>-4</v>
      </c>
      <c r="L182" s="229">
        <v>-6.0000000000000001E-3</v>
      </c>
      <c r="M182" s="228">
        <v>667.3</v>
      </c>
      <c r="N182" s="228">
        <v>671.7</v>
      </c>
      <c r="O182" s="228">
        <v>-4.4000000000000004</v>
      </c>
      <c r="P182" s="229">
        <v>-6.6E-3</v>
      </c>
      <c r="Q182" s="228">
        <v>666.4</v>
      </c>
      <c r="R182" s="228">
        <v>670.85</v>
      </c>
      <c r="S182" s="228">
        <v>-4.45</v>
      </c>
      <c r="T182" s="229">
        <v>-6.6E-3</v>
      </c>
      <c r="U182" s="228">
        <v>670.85</v>
      </c>
      <c r="V182" s="228">
        <v>675</v>
      </c>
      <c r="W182" s="228">
        <v>-4.1500000000000004</v>
      </c>
      <c r="X182" s="229">
        <v>-6.1000000000000004E-3</v>
      </c>
      <c r="Y182" s="228">
        <v>2.25</v>
      </c>
      <c r="Z182" s="228">
        <v>2.65</v>
      </c>
      <c r="AA182" s="228">
        <v>-0.4</v>
      </c>
      <c r="AB182" s="229">
        <v>3.3999999999999998E-3</v>
      </c>
      <c r="AC182" s="228">
        <v>2.25</v>
      </c>
      <c r="AD182" s="228">
        <v>2.65</v>
      </c>
      <c r="AE182" s="228">
        <v>-0.4</v>
      </c>
      <c r="AF182" s="229">
        <v>3.3999999999999998E-3</v>
      </c>
      <c r="AG182" s="228">
        <v>1.35</v>
      </c>
      <c r="AH182" s="228">
        <v>1.8</v>
      </c>
      <c r="AI182" s="228">
        <v>-0.45</v>
      </c>
      <c r="AJ182" s="229">
        <v>2E-3</v>
      </c>
      <c r="AK182" s="228">
        <v>5.8</v>
      </c>
      <c r="AL182" s="228">
        <v>5.95</v>
      </c>
      <c r="AM182" s="228">
        <v>-0.15</v>
      </c>
      <c r="AN182" s="229">
        <v>8.6999999999999994E-3</v>
      </c>
      <c r="AO182" s="228">
        <v>668.46</v>
      </c>
      <c r="AP182" s="228">
        <v>667.61</v>
      </c>
      <c r="AQ182" s="228">
        <v>0</v>
      </c>
      <c r="AR182" s="230">
        <v>3135000</v>
      </c>
      <c r="AS182" s="230">
        <v>3071475</v>
      </c>
      <c r="AT182" s="230">
        <v>63525</v>
      </c>
      <c r="AU182" s="229">
        <v>2.07E-2</v>
      </c>
      <c r="AV182" s="230">
        <v>2815725</v>
      </c>
      <c r="AW182" s="230">
        <v>2896575</v>
      </c>
      <c r="AX182" s="230">
        <v>-80850</v>
      </c>
      <c r="AY182" s="229">
        <v>-2.7900000000000001E-2</v>
      </c>
      <c r="AZ182" s="230">
        <v>260700</v>
      </c>
      <c r="BA182" s="230">
        <v>167475</v>
      </c>
      <c r="BB182" s="230">
        <v>93225</v>
      </c>
      <c r="BC182" s="229">
        <v>0.55669999999999997</v>
      </c>
      <c r="BD182" s="230">
        <v>58575</v>
      </c>
      <c r="BE182" s="230">
        <v>7425</v>
      </c>
      <c r="BF182" s="230">
        <v>51150</v>
      </c>
      <c r="BG182" s="229">
        <v>6.8888999999999996</v>
      </c>
      <c r="BH182" s="230">
        <v>6268350</v>
      </c>
      <c r="BI182" s="230">
        <v>5479650</v>
      </c>
      <c r="BJ182" s="230">
        <v>788700</v>
      </c>
      <c r="BK182" s="229">
        <v>0.1439</v>
      </c>
      <c r="BL182" s="230">
        <v>3597825</v>
      </c>
      <c r="BM182" s="230">
        <v>3116025</v>
      </c>
      <c r="BN182" s="230">
        <v>481800</v>
      </c>
      <c r="BO182" s="229">
        <v>0.15459999999999999</v>
      </c>
      <c r="BP182" s="230">
        <v>13001175</v>
      </c>
      <c r="BQ182" s="230">
        <v>11667150</v>
      </c>
      <c r="BR182" s="230">
        <v>1334025</v>
      </c>
      <c r="BS182" s="229">
        <v>0.1143</v>
      </c>
      <c r="BT182" s="230">
        <v>2757980</v>
      </c>
      <c r="BU182" s="230">
        <v>2395530</v>
      </c>
      <c r="BV182" s="230">
        <v>362450</v>
      </c>
      <c r="BW182" s="229">
        <v>0.15129999999999999</v>
      </c>
      <c r="BX182" s="230">
        <v>49500000</v>
      </c>
      <c r="BY182" s="230">
        <v>49803600</v>
      </c>
      <c r="BZ182" s="230">
        <v>-303600</v>
      </c>
      <c r="CA182" s="229">
        <v>-6.1000000000000004E-3</v>
      </c>
      <c r="CB182" s="230">
        <v>48184125</v>
      </c>
      <c r="CC182" s="230">
        <v>48608175</v>
      </c>
      <c r="CD182" s="230">
        <v>-424050</v>
      </c>
      <c r="CE182" s="229">
        <v>-8.6999999999999994E-3</v>
      </c>
      <c r="CF182" s="230">
        <v>1151700</v>
      </c>
      <c r="CG182" s="230">
        <v>1084050</v>
      </c>
      <c r="CH182" s="230">
        <v>67650</v>
      </c>
      <c r="CI182" s="229">
        <v>6.2399999999999997E-2</v>
      </c>
      <c r="CJ182" s="230">
        <v>164175</v>
      </c>
      <c r="CK182" s="230">
        <v>111375</v>
      </c>
      <c r="CL182" s="230">
        <v>52800</v>
      </c>
      <c r="CM182" s="229">
        <v>0.47410000000000002</v>
      </c>
      <c r="CN182" s="230">
        <v>7000950</v>
      </c>
      <c r="CO182" s="230">
        <v>7113975</v>
      </c>
      <c r="CP182" s="230">
        <v>-113025</v>
      </c>
      <c r="CQ182" s="229">
        <v>-1.5900000000000001E-2</v>
      </c>
      <c r="CR182" s="230">
        <v>6493575</v>
      </c>
      <c r="CS182" s="230">
        <v>6703950</v>
      </c>
      <c r="CT182" s="230">
        <v>-210375</v>
      </c>
      <c r="CU182" s="229">
        <v>-3.1399999999999997E-2</v>
      </c>
      <c r="CV182" s="230">
        <v>62994525</v>
      </c>
      <c r="CW182" s="230">
        <v>63621525</v>
      </c>
      <c r="CX182" s="230">
        <v>-627000</v>
      </c>
      <c r="CY182" s="229">
        <v>-9.9000000000000008E-3</v>
      </c>
      <c r="CZ182" s="228">
        <v>30.5</v>
      </c>
      <c r="DA182" s="228">
        <v>30.35</v>
      </c>
      <c r="DB182" s="228">
        <v>0.15</v>
      </c>
      <c r="DC182" s="228">
        <v>0.15</v>
      </c>
      <c r="DD182" s="228">
        <v>41</v>
      </c>
      <c r="DE182" s="228">
        <v>41.09</v>
      </c>
      <c r="DF182" s="228">
        <v>-10.5</v>
      </c>
      <c r="DG182" s="228">
        <v>-0.09</v>
      </c>
      <c r="DH182" s="228">
        <v>30.4</v>
      </c>
      <c r="DI182" s="228">
        <v>30.11</v>
      </c>
      <c r="DJ182" s="228">
        <v>0.28999999999999998</v>
      </c>
      <c r="DK182" s="228">
        <v>0.28999999999999998</v>
      </c>
      <c r="DL182" s="228">
        <v>30.68</v>
      </c>
      <c r="DM182" s="228">
        <v>30.79</v>
      </c>
      <c r="DN182" s="228">
        <v>-0.11</v>
      </c>
      <c r="DO182" s="228">
        <v>-0.11</v>
      </c>
      <c r="DP182" s="228">
        <v>0.93</v>
      </c>
      <c r="DQ182" s="228">
        <v>0.94</v>
      </c>
      <c r="DR182" s="228">
        <v>-0.01</v>
      </c>
      <c r="DS182" s="229">
        <v>-1.06E-2</v>
      </c>
      <c r="DT182" s="228">
        <v>700</v>
      </c>
      <c r="DU182" s="228">
        <v>660</v>
      </c>
      <c r="DV182" s="228">
        <v>0.56999999999999995</v>
      </c>
      <c r="DW182" s="228">
        <v>0.56999999999999995</v>
      </c>
      <c r="DX182" s="228">
        <v>0</v>
      </c>
      <c r="DY182" s="229">
        <v>0</v>
      </c>
      <c r="DZ182" s="229">
        <v>2.6599999999999999E-2</v>
      </c>
      <c r="EA182" s="230">
        <v>1195425</v>
      </c>
      <c r="EB182" s="229">
        <v>-1.2999999999999999E-3</v>
      </c>
      <c r="EC182" s="229">
        <v>2.6599999999999999E-2</v>
      </c>
      <c r="ED182" s="228">
        <v>-0.85</v>
      </c>
      <c r="EE182" s="229">
        <v>-1.2999999999999999E-3</v>
      </c>
      <c r="EF182" s="230">
        <v>1545208</v>
      </c>
      <c r="EG182" s="230">
        <v>1279854</v>
      </c>
      <c r="EH182" s="229">
        <v>0.20730000000000001</v>
      </c>
      <c r="EI182" s="229">
        <v>0.56030000000000002</v>
      </c>
      <c r="EJ182" s="231">
        <v>43771.33</v>
      </c>
      <c r="EK182" s="231">
        <v>23794.28</v>
      </c>
      <c r="EL182" s="231">
        <v>20955.59</v>
      </c>
      <c r="EM182" s="231">
        <v>7571</v>
      </c>
      <c r="EN182" s="231">
        <v>88521.2</v>
      </c>
      <c r="EO182" s="231">
        <v>79566.14</v>
      </c>
      <c r="EP182" s="231">
        <v>8955.06</v>
      </c>
      <c r="EQ182" s="229">
        <v>0.1125</v>
      </c>
      <c r="ER182" s="231">
        <v>47625</v>
      </c>
      <c r="ES182" s="231">
        <v>40936</v>
      </c>
      <c r="ET182" s="231">
        <v>330309</v>
      </c>
      <c r="EU182" s="231">
        <v>210459276</v>
      </c>
      <c r="EV182" s="231">
        <v>418871</v>
      </c>
      <c r="EW182" s="231">
        <v>425120</v>
      </c>
      <c r="EX182" s="231">
        <v>-6249</v>
      </c>
      <c r="EY182" s="229">
        <v>-1.47E-2</v>
      </c>
      <c r="EZ182" s="229">
        <v>0.29930000000000001</v>
      </c>
      <c r="FA182" s="227" t="s">
        <v>568</v>
      </c>
      <c r="FB182" s="161">
        <f t="shared" si="4"/>
        <v>0</v>
      </c>
    </row>
    <row r="183" spans="1:158" ht="17.25" thickBot="1" x14ac:dyDescent="0.3">
      <c r="A183" s="226">
        <v>45940</v>
      </c>
      <c r="B183" s="227" t="s">
        <v>184</v>
      </c>
      <c r="C183" s="227" t="s">
        <v>285</v>
      </c>
      <c r="D183" s="228">
        <v>125</v>
      </c>
      <c r="E183" s="231">
        <v>3157.5</v>
      </c>
      <c r="F183" s="231">
        <v>3188.2</v>
      </c>
      <c r="G183" s="228">
        <v>-30.7</v>
      </c>
      <c r="H183" s="229">
        <v>-9.5999999999999992E-3</v>
      </c>
      <c r="I183" s="231">
        <v>3147.4</v>
      </c>
      <c r="J183" s="231">
        <v>3178.4</v>
      </c>
      <c r="K183" s="228">
        <v>-31</v>
      </c>
      <c r="L183" s="229">
        <v>-9.7999999999999997E-3</v>
      </c>
      <c r="M183" s="231">
        <v>3157.5</v>
      </c>
      <c r="N183" s="231">
        <v>3188.2</v>
      </c>
      <c r="O183" s="228">
        <v>-30.7</v>
      </c>
      <c r="P183" s="229">
        <v>-9.5999999999999992E-3</v>
      </c>
      <c r="Q183" s="231">
        <v>3175.7</v>
      </c>
      <c r="R183" s="231">
        <v>3207.1</v>
      </c>
      <c r="S183" s="228">
        <v>-31.4</v>
      </c>
      <c r="T183" s="229">
        <v>-9.7999999999999997E-3</v>
      </c>
      <c r="U183" s="231">
        <v>3196.3</v>
      </c>
      <c r="V183" s="231">
        <v>3221</v>
      </c>
      <c r="W183" s="228">
        <v>-24.7</v>
      </c>
      <c r="X183" s="229">
        <v>-7.7000000000000002E-3</v>
      </c>
      <c r="Y183" s="228">
        <v>10.1</v>
      </c>
      <c r="Z183" s="228">
        <v>9.8000000000000007</v>
      </c>
      <c r="AA183" s="228">
        <v>0.3</v>
      </c>
      <c r="AB183" s="229">
        <v>3.2000000000000002E-3</v>
      </c>
      <c r="AC183" s="228">
        <v>10.1</v>
      </c>
      <c r="AD183" s="228">
        <v>9.8000000000000007</v>
      </c>
      <c r="AE183" s="228">
        <v>0.3</v>
      </c>
      <c r="AF183" s="229">
        <v>3.2000000000000002E-3</v>
      </c>
      <c r="AG183" s="228">
        <v>28.3</v>
      </c>
      <c r="AH183" s="228">
        <v>28.7</v>
      </c>
      <c r="AI183" s="228">
        <v>-0.4</v>
      </c>
      <c r="AJ183" s="229">
        <v>8.9999999999999993E-3</v>
      </c>
      <c r="AK183" s="228">
        <v>48.9</v>
      </c>
      <c r="AL183" s="228">
        <v>42.6</v>
      </c>
      <c r="AM183" s="228">
        <v>6.3</v>
      </c>
      <c r="AN183" s="229">
        <v>1.55E-2</v>
      </c>
      <c r="AO183" s="231">
        <v>3175.48</v>
      </c>
      <c r="AP183" s="231">
        <v>3190.41</v>
      </c>
      <c r="AQ183" s="228">
        <v>0</v>
      </c>
      <c r="AR183" s="230">
        <v>517375</v>
      </c>
      <c r="AS183" s="230">
        <v>384000</v>
      </c>
      <c r="AT183" s="230">
        <v>133375</v>
      </c>
      <c r="AU183" s="229">
        <v>0.3473</v>
      </c>
      <c r="AV183" s="230">
        <v>483375</v>
      </c>
      <c r="AW183" s="230">
        <v>364250</v>
      </c>
      <c r="AX183" s="230">
        <v>119125</v>
      </c>
      <c r="AY183" s="229">
        <v>0.32700000000000001</v>
      </c>
      <c r="AZ183" s="230">
        <v>30250</v>
      </c>
      <c r="BA183" s="230">
        <v>17625</v>
      </c>
      <c r="BB183" s="230">
        <v>12625</v>
      </c>
      <c r="BC183" s="229">
        <v>0.71630000000000005</v>
      </c>
      <c r="BD183" s="230">
        <v>3750</v>
      </c>
      <c r="BE183" s="230">
        <v>2125</v>
      </c>
      <c r="BF183" s="230">
        <v>1625</v>
      </c>
      <c r="BG183" s="229">
        <v>0.76470000000000005</v>
      </c>
      <c r="BH183" s="230">
        <v>1382375</v>
      </c>
      <c r="BI183" s="230">
        <v>1053000</v>
      </c>
      <c r="BJ183" s="230">
        <v>329375</v>
      </c>
      <c r="BK183" s="229">
        <v>0.31280000000000002</v>
      </c>
      <c r="BL183" s="230">
        <v>430125</v>
      </c>
      <c r="BM183" s="230">
        <v>520750</v>
      </c>
      <c r="BN183" s="230">
        <v>-90625</v>
      </c>
      <c r="BO183" s="229">
        <v>-0.17399999999999999</v>
      </c>
      <c r="BP183" s="230">
        <v>2329875</v>
      </c>
      <c r="BQ183" s="230">
        <v>1957750</v>
      </c>
      <c r="BR183" s="230">
        <v>372125</v>
      </c>
      <c r="BS183" s="229">
        <v>0.19009999999999999</v>
      </c>
      <c r="BT183" s="230">
        <v>244671</v>
      </c>
      <c r="BU183" s="230">
        <v>133980</v>
      </c>
      <c r="BV183" s="230">
        <v>110691</v>
      </c>
      <c r="BW183" s="229">
        <v>0.82620000000000005</v>
      </c>
      <c r="BX183" s="230">
        <v>2155500</v>
      </c>
      <c r="BY183" s="230">
        <v>2165250</v>
      </c>
      <c r="BZ183" s="230">
        <v>-9750</v>
      </c>
      <c r="CA183" s="229">
        <v>-4.4999999999999997E-3</v>
      </c>
      <c r="CB183" s="230">
        <v>2082625</v>
      </c>
      <c r="CC183" s="230">
        <v>2111750</v>
      </c>
      <c r="CD183" s="230">
        <v>-29125</v>
      </c>
      <c r="CE183" s="229">
        <v>-1.38E-2</v>
      </c>
      <c r="CF183" s="230">
        <v>63000</v>
      </c>
      <c r="CG183" s="230">
        <v>46000</v>
      </c>
      <c r="CH183" s="230">
        <v>17000</v>
      </c>
      <c r="CI183" s="229">
        <v>0.36959999999999998</v>
      </c>
      <c r="CJ183" s="230">
        <v>9875</v>
      </c>
      <c r="CK183" s="230">
        <v>7500</v>
      </c>
      <c r="CL183" s="230">
        <v>2375</v>
      </c>
      <c r="CM183" s="229">
        <v>0.31669999999999998</v>
      </c>
      <c r="CN183" s="230">
        <v>1046250</v>
      </c>
      <c r="CO183" s="230">
        <v>906875</v>
      </c>
      <c r="CP183" s="230">
        <v>139375</v>
      </c>
      <c r="CQ183" s="229">
        <v>0.1537</v>
      </c>
      <c r="CR183" s="230">
        <v>426500</v>
      </c>
      <c r="CS183" s="230">
        <v>403625</v>
      </c>
      <c r="CT183" s="230">
        <v>22875</v>
      </c>
      <c r="CU183" s="229">
        <v>5.67E-2</v>
      </c>
      <c r="CV183" s="230">
        <v>3628250</v>
      </c>
      <c r="CW183" s="230">
        <v>3475750</v>
      </c>
      <c r="CX183" s="230">
        <v>152500</v>
      </c>
      <c r="CY183" s="229">
        <v>4.3900000000000002E-2</v>
      </c>
      <c r="CZ183" s="228">
        <v>26.41</v>
      </c>
      <c r="DA183" s="228">
        <v>25.75</v>
      </c>
      <c r="DB183" s="228">
        <v>0.66</v>
      </c>
      <c r="DC183" s="228">
        <v>0.66</v>
      </c>
      <c r="DD183" s="228">
        <v>40</v>
      </c>
      <c r="DE183" s="228">
        <v>40.08</v>
      </c>
      <c r="DF183" s="228">
        <v>-13.59</v>
      </c>
      <c r="DG183" s="228">
        <v>-0.08</v>
      </c>
      <c r="DH183" s="228">
        <v>26.62</v>
      </c>
      <c r="DI183" s="228">
        <v>25.88</v>
      </c>
      <c r="DJ183" s="228">
        <v>0.74</v>
      </c>
      <c r="DK183" s="228">
        <v>0.74</v>
      </c>
      <c r="DL183" s="228">
        <v>25.74</v>
      </c>
      <c r="DM183" s="228">
        <v>25.49</v>
      </c>
      <c r="DN183" s="228">
        <v>0.25</v>
      </c>
      <c r="DO183" s="228">
        <v>0.25</v>
      </c>
      <c r="DP183" s="228">
        <v>0.41</v>
      </c>
      <c r="DQ183" s="228">
        <v>0.45</v>
      </c>
      <c r="DR183" s="228">
        <v>-0.04</v>
      </c>
      <c r="DS183" s="229">
        <v>-8.8900000000000007E-2</v>
      </c>
      <c r="DT183" s="231">
        <v>3300</v>
      </c>
      <c r="DU183" s="231">
        <v>3200</v>
      </c>
      <c r="DV183" s="228">
        <v>0.31</v>
      </c>
      <c r="DW183" s="228">
        <v>0.49</v>
      </c>
      <c r="DX183" s="228">
        <v>-0.18</v>
      </c>
      <c r="DY183" s="229">
        <v>-0.36730000000000002</v>
      </c>
      <c r="DZ183" s="229">
        <v>3.3799999999999997E-2</v>
      </c>
      <c r="EA183" s="230">
        <v>53500</v>
      </c>
      <c r="EB183" s="229">
        <v>5.7999999999999996E-3</v>
      </c>
      <c r="EC183" s="229">
        <v>3.3799999999999997E-2</v>
      </c>
      <c r="ED183" s="228">
        <v>14.93</v>
      </c>
      <c r="EE183" s="229">
        <v>4.7000000000000002E-3</v>
      </c>
      <c r="EF183" s="230">
        <v>149700</v>
      </c>
      <c r="EG183" s="230">
        <v>55691</v>
      </c>
      <c r="EH183" s="229">
        <v>1.6879999999999999</v>
      </c>
      <c r="EI183" s="229">
        <v>0.61180000000000001</v>
      </c>
      <c r="EJ183" s="231">
        <v>45958.07</v>
      </c>
      <c r="EK183" s="231">
        <v>13735.84</v>
      </c>
      <c r="EL183" s="231">
        <v>16435.27</v>
      </c>
      <c r="EM183" s="231">
        <v>3199</v>
      </c>
      <c r="EN183" s="231">
        <v>76129.179999999993</v>
      </c>
      <c r="EO183" s="231">
        <v>64161.5</v>
      </c>
      <c r="EP183" s="231">
        <v>11967.68</v>
      </c>
      <c r="EQ183" s="229">
        <v>0.1865</v>
      </c>
      <c r="ER183" s="231">
        <v>34778</v>
      </c>
      <c r="ES183" s="231">
        <v>13196</v>
      </c>
      <c r="ET183" s="231">
        <v>68075</v>
      </c>
      <c r="EU183" s="231">
        <v>13354588</v>
      </c>
      <c r="EV183" s="231">
        <v>116049</v>
      </c>
      <c r="EW183" s="231">
        <v>111798</v>
      </c>
      <c r="EX183" s="231">
        <v>4251</v>
      </c>
      <c r="EY183" s="229">
        <v>3.7999999999999999E-2</v>
      </c>
      <c r="EZ183" s="229">
        <v>0.2717</v>
      </c>
      <c r="FA183" s="227" t="s">
        <v>568</v>
      </c>
      <c r="FB183" s="161">
        <f t="shared" si="4"/>
        <v>0</v>
      </c>
    </row>
    <row r="184" spans="1:158" ht="17.25" thickBot="1" x14ac:dyDescent="0.3">
      <c r="A184" s="226">
        <v>45940</v>
      </c>
      <c r="B184" s="227" t="s">
        <v>498</v>
      </c>
      <c r="C184" s="227" t="s">
        <v>647</v>
      </c>
      <c r="D184" s="228">
        <v>75</v>
      </c>
      <c r="E184" s="231">
        <v>14183</v>
      </c>
      <c r="F184" s="231">
        <v>14312</v>
      </c>
      <c r="G184" s="228">
        <v>-129</v>
      </c>
      <c r="H184" s="229">
        <v>-8.9999999999999993E-3</v>
      </c>
      <c r="I184" s="231">
        <v>14110</v>
      </c>
      <c r="J184" s="231">
        <v>14239</v>
      </c>
      <c r="K184" s="228">
        <v>-129</v>
      </c>
      <c r="L184" s="229">
        <v>-9.1000000000000004E-3</v>
      </c>
      <c r="M184" s="231">
        <v>14183</v>
      </c>
      <c r="N184" s="231">
        <v>14312</v>
      </c>
      <c r="O184" s="228">
        <v>-129</v>
      </c>
      <c r="P184" s="229">
        <v>-8.9999999999999993E-3</v>
      </c>
      <c r="Q184" s="231">
        <v>14258</v>
      </c>
      <c r="R184" s="231">
        <v>14390</v>
      </c>
      <c r="S184" s="228">
        <v>-132</v>
      </c>
      <c r="T184" s="229">
        <v>-9.1999999999999998E-3</v>
      </c>
      <c r="U184" s="231">
        <v>14362</v>
      </c>
      <c r="V184" s="231">
        <v>14465</v>
      </c>
      <c r="W184" s="228">
        <v>-103</v>
      </c>
      <c r="X184" s="229">
        <v>-7.1000000000000004E-3</v>
      </c>
      <c r="Y184" s="228">
        <v>73</v>
      </c>
      <c r="Z184" s="228">
        <v>73</v>
      </c>
      <c r="AA184" s="228">
        <v>0</v>
      </c>
      <c r="AB184" s="229">
        <v>5.1999999999999998E-3</v>
      </c>
      <c r="AC184" s="228">
        <v>73</v>
      </c>
      <c r="AD184" s="228">
        <v>73</v>
      </c>
      <c r="AE184" s="228">
        <v>0</v>
      </c>
      <c r="AF184" s="229">
        <v>5.1999999999999998E-3</v>
      </c>
      <c r="AG184" s="228">
        <v>148</v>
      </c>
      <c r="AH184" s="228">
        <v>151</v>
      </c>
      <c r="AI184" s="228">
        <v>-3</v>
      </c>
      <c r="AJ184" s="229">
        <v>1.0500000000000001E-2</v>
      </c>
      <c r="AK184" s="228">
        <v>252</v>
      </c>
      <c r="AL184" s="228">
        <v>226</v>
      </c>
      <c r="AM184" s="228">
        <v>26</v>
      </c>
      <c r="AN184" s="229">
        <v>1.7899999999999999E-2</v>
      </c>
      <c r="AO184" s="231">
        <v>14244.01</v>
      </c>
      <c r="AP184" s="231">
        <v>14324.91</v>
      </c>
      <c r="AQ184" s="228">
        <v>0</v>
      </c>
      <c r="AR184" s="230">
        <v>110925</v>
      </c>
      <c r="AS184" s="230">
        <v>134700</v>
      </c>
      <c r="AT184" s="230">
        <v>-23775</v>
      </c>
      <c r="AU184" s="229">
        <v>-0.17649999999999999</v>
      </c>
      <c r="AV184" s="230">
        <v>100350</v>
      </c>
      <c r="AW184" s="230">
        <v>125100</v>
      </c>
      <c r="AX184" s="230">
        <v>-24750</v>
      </c>
      <c r="AY184" s="229">
        <v>-0.1978</v>
      </c>
      <c r="AZ184" s="230">
        <v>8550</v>
      </c>
      <c r="BA184" s="230">
        <v>9075</v>
      </c>
      <c r="BB184" s="228">
        <v>-525</v>
      </c>
      <c r="BC184" s="229">
        <v>-5.79E-2</v>
      </c>
      <c r="BD184" s="230">
        <v>2025</v>
      </c>
      <c r="BE184" s="228">
        <v>525</v>
      </c>
      <c r="BF184" s="230">
        <v>1500</v>
      </c>
      <c r="BG184" s="229">
        <v>2.8571</v>
      </c>
      <c r="BH184" s="230">
        <v>353250</v>
      </c>
      <c r="BI184" s="230">
        <v>514050</v>
      </c>
      <c r="BJ184" s="230">
        <v>-160800</v>
      </c>
      <c r="BK184" s="229">
        <v>-0.31280000000000002</v>
      </c>
      <c r="BL184" s="230">
        <v>157950</v>
      </c>
      <c r="BM184" s="230">
        <v>185925</v>
      </c>
      <c r="BN184" s="230">
        <v>-27975</v>
      </c>
      <c r="BO184" s="229">
        <v>-0.15049999999999999</v>
      </c>
      <c r="BP184" s="230">
        <v>622125</v>
      </c>
      <c r="BQ184" s="230">
        <v>834675</v>
      </c>
      <c r="BR184" s="230">
        <v>-212550</v>
      </c>
      <c r="BS184" s="229">
        <v>-0.25469999999999998</v>
      </c>
      <c r="BT184" s="230">
        <v>64450</v>
      </c>
      <c r="BU184" s="230">
        <v>71125</v>
      </c>
      <c r="BV184" s="230">
        <v>-6675</v>
      </c>
      <c r="BW184" s="229">
        <v>-9.3799999999999994E-2</v>
      </c>
      <c r="BX184" s="230">
        <v>857925</v>
      </c>
      <c r="BY184" s="230">
        <v>839400</v>
      </c>
      <c r="BZ184" s="230">
        <v>18525</v>
      </c>
      <c r="CA184" s="229">
        <v>2.2100000000000002E-2</v>
      </c>
      <c r="CB184" s="230">
        <v>808875</v>
      </c>
      <c r="CC184" s="230">
        <v>792675</v>
      </c>
      <c r="CD184" s="230">
        <v>16200</v>
      </c>
      <c r="CE184" s="229">
        <v>2.0400000000000001E-2</v>
      </c>
      <c r="CF184" s="230">
        <v>45600</v>
      </c>
      <c r="CG184" s="230">
        <v>44400</v>
      </c>
      <c r="CH184" s="230">
        <v>1200</v>
      </c>
      <c r="CI184" s="229">
        <v>2.7E-2</v>
      </c>
      <c r="CJ184" s="230">
        <v>3450</v>
      </c>
      <c r="CK184" s="230">
        <v>2325</v>
      </c>
      <c r="CL184" s="230">
        <v>1125</v>
      </c>
      <c r="CM184" s="229">
        <v>0.4839</v>
      </c>
      <c r="CN184" s="230">
        <v>334500</v>
      </c>
      <c r="CO184" s="230">
        <v>320550</v>
      </c>
      <c r="CP184" s="230">
        <v>13950</v>
      </c>
      <c r="CQ184" s="229">
        <v>4.3499999999999997E-2</v>
      </c>
      <c r="CR184" s="230">
        <v>239850</v>
      </c>
      <c r="CS184" s="230">
        <v>240750</v>
      </c>
      <c r="CT184" s="228">
        <v>-900</v>
      </c>
      <c r="CU184" s="229">
        <v>-3.7000000000000002E-3</v>
      </c>
      <c r="CV184" s="230">
        <v>1432275</v>
      </c>
      <c r="CW184" s="230">
        <v>1400700</v>
      </c>
      <c r="CX184" s="230">
        <v>31575</v>
      </c>
      <c r="CY184" s="229">
        <v>2.2499999999999999E-2</v>
      </c>
      <c r="CZ184" s="228">
        <v>31.57</v>
      </c>
      <c r="DA184" s="228">
        <v>31.54</v>
      </c>
      <c r="DB184" s="228">
        <v>0.03</v>
      </c>
      <c r="DC184" s="228">
        <v>0.03</v>
      </c>
      <c r="DD184" s="228">
        <v>41.37</v>
      </c>
      <c r="DE184" s="228">
        <v>41.46</v>
      </c>
      <c r="DF184" s="228">
        <v>-9.8000000000000007</v>
      </c>
      <c r="DG184" s="228">
        <v>-0.09</v>
      </c>
      <c r="DH184" s="228">
        <v>31.17</v>
      </c>
      <c r="DI184" s="228">
        <v>30.44</v>
      </c>
      <c r="DJ184" s="228">
        <v>0.73</v>
      </c>
      <c r="DK184" s="228">
        <v>0.73</v>
      </c>
      <c r="DL184" s="228">
        <v>32.47</v>
      </c>
      <c r="DM184" s="228">
        <v>34.58</v>
      </c>
      <c r="DN184" s="228">
        <v>-2.11</v>
      </c>
      <c r="DO184" s="228">
        <v>-2.11</v>
      </c>
      <c r="DP184" s="228">
        <v>0.72</v>
      </c>
      <c r="DQ184" s="228">
        <v>0.75</v>
      </c>
      <c r="DR184" s="228">
        <v>-0.03</v>
      </c>
      <c r="DS184" s="229">
        <v>-0.04</v>
      </c>
      <c r="DT184" s="231">
        <v>15000</v>
      </c>
      <c r="DU184" s="231">
        <v>14000</v>
      </c>
      <c r="DV184" s="228">
        <v>0.45</v>
      </c>
      <c r="DW184" s="228">
        <v>0.36</v>
      </c>
      <c r="DX184" s="228">
        <v>0.09</v>
      </c>
      <c r="DY184" s="229">
        <v>0.25</v>
      </c>
      <c r="DZ184" s="229">
        <v>5.7200000000000001E-2</v>
      </c>
      <c r="EA184" s="230">
        <v>46725</v>
      </c>
      <c r="EB184" s="229">
        <v>5.3E-3</v>
      </c>
      <c r="EC184" s="229">
        <v>5.7200000000000001E-2</v>
      </c>
      <c r="ED184" s="228">
        <v>80.900000000000006</v>
      </c>
      <c r="EE184" s="229">
        <v>5.7000000000000002E-3</v>
      </c>
      <c r="EF184" s="230">
        <v>33066</v>
      </c>
      <c r="EG184" s="230">
        <v>29706</v>
      </c>
      <c r="EH184" s="229">
        <v>0.11310000000000001</v>
      </c>
      <c r="EI184" s="229">
        <v>0.51300000000000001</v>
      </c>
      <c r="EJ184" s="231">
        <v>53396.34</v>
      </c>
      <c r="EK184" s="231">
        <v>20973.75</v>
      </c>
      <c r="EL184" s="231">
        <v>15810.53</v>
      </c>
      <c r="EM184" s="231">
        <v>2235</v>
      </c>
      <c r="EN184" s="231">
        <v>90180.62</v>
      </c>
      <c r="EO184" s="231">
        <v>120515.41</v>
      </c>
      <c r="EP184" s="231">
        <v>-30334.79</v>
      </c>
      <c r="EQ184" s="229">
        <v>-0.25169999999999998</v>
      </c>
      <c r="ER184" s="231">
        <v>49778</v>
      </c>
      <c r="ES184" s="231">
        <v>32469</v>
      </c>
      <c r="ET184" s="231">
        <v>121720</v>
      </c>
      <c r="EU184" s="231">
        <v>3644817</v>
      </c>
      <c r="EV184" s="231">
        <v>203967</v>
      </c>
      <c r="EW184" s="231">
        <v>200254</v>
      </c>
      <c r="EX184" s="231">
        <v>3713</v>
      </c>
      <c r="EY184" s="229">
        <v>1.8499999999999999E-2</v>
      </c>
      <c r="EZ184" s="229">
        <v>0.39300000000000002</v>
      </c>
      <c r="FA184" s="227" t="s">
        <v>567</v>
      </c>
      <c r="FB184" s="161">
        <f t="shared" si="4"/>
        <v>0</v>
      </c>
    </row>
    <row r="185" spans="1:158" ht="17.25" thickBot="1" x14ac:dyDescent="0.3">
      <c r="A185" s="226">
        <v>45940</v>
      </c>
      <c r="B185" s="227" t="s">
        <v>162</v>
      </c>
      <c r="C185" s="227" t="s">
        <v>615</v>
      </c>
      <c r="D185" s="228">
        <v>1050</v>
      </c>
      <c r="E185" s="228">
        <v>434</v>
      </c>
      <c r="F185" s="228">
        <v>430.65</v>
      </c>
      <c r="G185" s="228">
        <v>3.35</v>
      </c>
      <c r="H185" s="229">
        <v>7.7999999999999996E-3</v>
      </c>
      <c r="I185" s="228">
        <v>432.8</v>
      </c>
      <c r="J185" s="228">
        <v>429.45</v>
      </c>
      <c r="K185" s="228">
        <v>3.35</v>
      </c>
      <c r="L185" s="229">
        <v>7.7999999999999996E-3</v>
      </c>
      <c r="M185" s="228">
        <v>434</v>
      </c>
      <c r="N185" s="228">
        <v>430.65</v>
      </c>
      <c r="O185" s="228">
        <v>3.35</v>
      </c>
      <c r="P185" s="229">
        <v>7.7999999999999996E-3</v>
      </c>
      <c r="Q185" s="228">
        <v>436.7</v>
      </c>
      <c r="R185" s="228">
        <v>432.95</v>
      </c>
      <c r="S185" s="228">
        <v>3.75</v>
      </c>
      <c r="T185" s="229">
        <v>8.6999999999999994E-3</v>
      </c>
      <c r="U185" s="228">
        <v>438.6</v>
      </c>
      <c r="V185" s="228">
        <v>435.6</v>
      </c>
      <c r="W185" s="228">
        <v>3</v>
      </c>
      <c r="X185" s="229">
        <v>6.8999999999999999E-3</v>
      </c>
      <c r="Y185" s="228">
        <v>1.2</v>
      </c>
      <c r="Z185" s="228">
        <v>1.2</v>
      </c>
      <c r="AA185" s="228">
        <v>0</v>
      </c>
      <c r="AB185" s="229">
        <v>2.8E-3</v>
      </c>
      <c r="AC185" s="228">
        <v>1.2</v>
      </c>
      <c r="AD185" s="228">
        <v>1.2</v>
      </c>
      <c r="AE185" s="228">
        <v>0</v>
      </c>
      <c r="AF185" s="229">
        <v>2.8E-3</v>
      </c>
      <c r="AG185" s="228">
        <v>3.9</v>
      </c>
      <c r="AH185" s="228">
        <v>3.5</v>
      </c>
      <c r="AI185" s="228">
        <v>0.4</v>
      </c>
      <c r="AJ185" s="229">
        <v>8.9999999999999993E-3</v>
      </c>
      <c r="AK185" s="228">
        <v>5.8</v>
      </c>
      <c r="AL185" s="228">
        <v>6.15</v>
      </c>
      <c r="AM185" s="228">
        <v>-0.35</v>
      </c>
      <c r="AN185" s="229">
        <v>1.34E-2</v>
      </c>
      <c r="AO185" s="228">
        <v>440.95</v>
      </c>
      <c r="AP185" s="228">
        <v>443.45</v>
      </c>
      <c r="AQ185" s="228">
        <v>0</v>
      </c>
      <c r="AR185" s="230">
        <v>8649900</v>
      </c>
      <c r="AS185" s="230">
        <v>5886300</v>
      </c>
      <c r="AT185" s="230">
        <v>2763600</v>
      </c>
      <c r="AU185" s="229">
        <v>0.46949999999999997</v>
      </c>
      <c r="AV185" s="230">
        <v>7921200</v>
      </c>
      <c r="AW185" s="230">
        <v>5298300</v>
      </c>
      <c r="AX185" s="230">
        <v>2622900</v>
      </c>
      <c r="AY185" s="229">
        <v>0.495</v>
      </c>
      <c r="AZ185" s="230">
        <v>654150</v>
      </c>
      <c r="BA185" s="230">
        <v>501900</v>
      </c>
      <c r="BB185" s="230">
        <v>152250</v>
      </c>
      <c r="BC185" s="229">
        <v>0.30330000000000001</v>
      </c>
      <c r="BD185" s="230">
        <v>74550</v>
      </c>
      <c r="BE185" s="230">
        <v>86100</v>
      </c>
      <c r="BF185" s="230">
        <v>-11550</v>
      </c>
      <c r="BG185" s="229">
        <v>-0.1341</v>
      </c>
      <c r="BH185" s="230">
        <v>27748350</v>
      </c>
      <c r="BI185" s="230">
        <v>18407550</v>
      </c>
      <c r="BJ185" s="230">
        <v>9340800</v>
      </c>
      <c r="BK185" s="229">
        <v>0.50739999999999996</v>
      </c>
      <c r="BL185" s="230">
        <v>11445000</v>
      </c>
      <c r="BM185" s="230">
        <v>7073850</v>
      </c>
      <c r="BN185" s="230">
        <v>4371150</v>
      </c>
      <c r="BO185" s="229">
        <v>0.6179</v>
      </c>
      <c r="BP185" s="230">
        <v>47843250</v>
      </c>
      <c r="BQ185" s="230">
        <v>31367700</v>
      </c>
      <c r="BR185" s="230">
        <v>16475550</v>
      </c>
      <c r="BS185" s="229">
        <v>0.5252</v>
      </c>
      <c r="BT185" s="230">
        <v>8933828</v>
      </c>
      <c r="BU185" s="230">
        <v>4912651</v>
      </c>
      <c r="BV185" s="230">
        <v>4021177</v>
      </c>
      <c r="BW185" s="229">
        <v>0.81850000000000001</v>
      </c>
      <c r="BX185" s="230">
        <v>21819000</v>
      </c>
      <c r="BY185" s="230">
        <v>23514750</v>
      </c>
      <c r="BZ185" s="230">
        <v>-1695750</v>
      </c>
      <c r="CA185" s="229">
        <v>-7.2099999999999997E-2</v>
      </c>
      <c r="CB185" s="230">
        <v>21118650</v>
      </c>
      <c r="CC185" s="230">
        <v>22817550</v>
      </c>
      <c r="CD185" s="230">
        <v>-1698900</v>
      </c>
      <c r="CE185" s="229">
        <v>-7.4499999999999997E-2</v>
      </c>
      <c r="CF185" s="230">
        <v>611100</v>
      </c>
      <c r="CG185" s="230">
        <v>612150</v>
      </c>
      <c r="CH185" s="230">
        <v>-1050</v>
      </c>
      <c r="CI185" s="229">
        <v>-1.6999999999999999E-3</v>
      </c>
      <c r="CJ185" s="230">
        <v>89250</v>
      </c>
      <c r="CK185" s="230">
        <v>85050</v>
      </c>
      <c r="CL185" s="230">
        <v>4200</v>
      </c>
      <c r="CM185" s="229">
        <v>4.9399999999999999E-2</v>
      </c>
      <c r="CN185" s="230">
        <v>6352500</v>
      </c>
      <c r="CO185" s="230">
        <v>4499250</v>
      </c>
      <c r="CP185" s="230">
        <v>1853250</v>
      </c>
      <c r="CQ185" s="229">
        <v>0.41189999999999999</v>
      </c>
      <c r="CR185" s="230">
        <v>3825150</v>
      </c>
      <c r="CS185" s="230">
        <v>3270750</v>
      </c>
      <c r="CT185" s="230">
        <v>554400</v>
      </c>
      <c r="CU185" s="229">
        <v>0.16950000000000001</v>
      </c>
      <c r="CV185" s="230">
        <v>31996650</v>
      </c>
      <c r="CW185" s="230">
        <v>31284750</v>
      </c>
      <c r="CX185" s="230">
        <v>711900</v>
      </c>
      <c r="CY185" s="229">
        <v>2.2800000000000001E-2</v>
      </c>
      <c r="CZ185" s="228">
        <v>33.33</v>
      </c>
      <c r="DA185" s="228">
        <v>34.89</v>
      </c>
      <c r="DB185" s="228">
        <v>-1.56</v>
      </c>
      <c r="DC185" s="228">
        <v>-1.56</v>
      </c>
      <c r="DD185" s="228">
        <v>41.12</v>
      </c>
      <c r="DE185" s="228">
        <v>41.21</v>
      </c>
      <c r="DF185" s="228">
        <v>-7.79</v>
      </c>
      <c r="DG185" s="228">
        <v>-0.09</v>
      </c>
      <c r="DH185" s="228">
        <v>33.65</v>
      </c>
      <c r="DI185" s="228">
        <v>34.659999999999997</v>
      </c>
      <c r="DJ185" s="228">
        <v>-1.01</v>
      </c>
      <c r="DK185" s="228">
        <v>-1.01</v>
      </c>
      <c r="DL185" s="228">
        <v>32.549999999999997</v>
      </c>
      <c r="DM185" s="228">
        <v>35.49</v>
      </c>
      <c r="DN185" s="228">
        <v>-2.94</v>
      </c>
      <c r="DO185" s="228">
        <v>-2.94</v>
      </c>
      <c r="DP185" s="228">
        <v>0.6</v>
      </c>
      <c r="DQ185" s="228">
        <v>0.73</v>
      </c>
      <c r="DR185" s="228">
        <v>-0.13</v>
      </c>
      <c r="DS185" s="229">
        <v>-0.17810000000000001</v>
      </c>
      <c r="DT185" s="228">
        <v>450</v>
      </c>
      <c r="DU185" s="228">
        <v>400</v>
      </c>
      <c r="DV185" s="228">
        <v>0.41</v>
      </c>
      <c r="DW185" s="228">
        <v>0.38</v>
      </c>
      <c r="DX185" s="228">
        <v>0.03</v>
      </c>
      <c r="DY185" s="229">
        <v>7.8899999999999998E-2</v>
      </c>
      <c r="DZ185" s="229">
        <v>3.2099999999999997E-2</v>
      </c>
      <c r="EA185" s="230">
        <v>697200</v>
      </c>
      <c r="EB185" s="229">
        <v>6.1999999999999998E-3</v>
      </c>
      <c r="EC185" s="229">
        <v>3.2099999999999997E-2</v>
      </c>
      <c r="ED185" s="228">
        <v>2.5</v>
      </c>
      <c r="EE185" s="229">
        <v>5.7000000000000002E-3</v>
      </c>
      <c r="EF185" s="230">
        <v>2853027</v>
      </c>
      <c r="EG185" s="230">
        <v>1961510</v>
      </c>
      <c r="EH185" s="229">
        <v>0.45450000000000002</v>
      </c>
      <c r="EI185" s="229">
        <v>0.31940000000000002</v>
      </c>
      <c r="EJ185" s="231">
        <v>128703.78</v>
      </c>
      <c r="EK185" s="231">
        <v>49095.85</v>
      </c>
      <c r="EL185" s="231">
        <v>38161.589999999997</v>
      </c>
      <c r="EM185" s="231">
        <v>2606</v>
      </c>
      <c r="EN185" s="231">
        <v>215961.22</v>
      </c>
      <c r="EO185" s="231">
        <v>135893.13</v>
      </c>
      <c r="EP185" s="231">
        <v>80068.09</v>
      </c>
      <c r="EQ185" s="229">
        <v>0.58919999999999995</v>
      </c>
      <c r="ER185" s="231">
        <v>28863</v>
      </c>
      <c r="ES185" s="231">
        <v>15853</v>
      </c>
      <c r="ET185" s="231">
        <v>94715</v>
      </c>
      <c r="EU185" s="231">
        <v>67126548</v>
      </c>
      <c r="EV185" s="231">
        <v>139432</v>
      </c>
      <c r="EW185" s="231">
        <v>134729</v>
      </c>
      <c r="EX185" s="231">
        <v>4703</v>
      </c>
      <c r="EY185" s="229">
        <v>3.49E-2</v>
      </c>
      <c r="EZ185" s="229">
        <v>0.47670000000000001</v>
      </c>
      <c r="FA185" s="227" t="s">
        <v>556</v>
      </c>
      <c r="FB185" s="161">
        <f t="shared" si="4"/>
        <v>0</v>
      </c>
    </row>
    <row r="186" spans="1:158" ht="17.25" thickBot="1" x14ac:dyDescent="0.3">
      <c r="A186" s="226">
        <v>45940</v>
      </c>
      <c r="B186" s="227" t="s">
        <v>197</v>
      </c>
      <c r="C186" s="227" t="s">
        <v>286</v>
      </c>
      <c r="D186" s="228">
        <v>200</v>
      </c>
      <c r="E186" s="231">
        <v>3038.8</v>
      </c>
      <c r="F186" s="231">
        <v>3012</v>
      </c>
      <c r="G186" s="228">
        <v>26.8</v>
      </c>
      <c r="H186" s="229">
        <v>8.8999999999999999E-3</v>
      </c>
      <c r="I186" s="231">
        <v>3024.5</v>
      </c>
      <c r="J186" s="231">
        <v>2996.9</v>
      </c>
      <c r="K186" s="228">
        <v>27.6</v>
      </c>
      <c r="L186" s="229">
        <v>9.1999999999999998E-3</v>
      </c>
      <c r="M186" s="231">
        <v>3038.8</v>
      </c>
      <c r="N186" s="231">
        <v>3012</v>
      </c>
      <c r="O186" s="228">
        <v>26.8</v>
      </c>
      <c r="P186" s="229">
        <v>8.8999999999999999E-3</v>
      </c>
      <c r="Q186" s="231">
        <v>3055.5</v>
      </c>
      <c r="R186" s="231">
        <v>3027.6</v>
      </c>
      <c r="S186" s="228">
        <v>27.9</v>
      </c>
      <c r="T186" s="229">
        <v>9.1999999999999998E-3</v>
      </c>
      <c r="U186" s="231">
        <v>3070</v>
      </c>
      <c r="V186" s="231">
        <v>3039.9</v>
      </c>
      <c r="W186" s="228">
        <v>30.1</v>
      </c>
      <c r="X186" s="229">
        <v>9.9000000000000008E-3</v>
      </c>
      <c r="Y186" s="228">
        <v>14.3</v>
      </c>
      <c r="Z186" s="228">
        <v>15.1</v>
      </c>
      <c r="AA186" s="228">
        <v>-0.8</v>
      </c>
      <c r="AB186" s="229">
        <v>4.7000000000000002E-3</v>
      </c>
      <c r="AC186" s="228">
        <v>14.3</v>
      </c>
      <c r="AD186" s="228">
        <v>15.1</v>
      </c>
      <c r="AE186" s="228">
        <v>-0.8</v>
      </c>
      <c r="AF186" s="229">
        <v>4.7000000000000002E-3</v>
      </c>
      <c r="AG186" s="228">
        <v>31</v>
      </c>
      <c r="AH186" s="228">
        <v>30.7</v>
      </c>
      <c r="AI186" s="228">
        <v>0.3</v>
      </c>
      <c r="AJ186" s="229">
        <v>1.0200000000000001E-2</v>
      </c>
      <c r="AK186" s="228">
        <v>45.5</v>
      </c>
      <c r="AL186" s="228">
        <v>43</v>
      </c>
      <c r="AM186" s="228">
        <v>2.5</v>
      </c>
      <c r="AN186" s="229">
        <v>1.4999999999999999E-2</v>
      </c>
      <c r="AO186" s="231">
        <v>3028.17</v>
      </c>
      <c r="AP186" s="231">
        <v>3044.85</v>
      </c>
      <c r="AQ186" s="228">
        <v>0</v>
      </c>
      <c r="AR186" s="230">
        <v>510600</v>
      </c>
      <c r="AS186" s="230">
        <v>390000</v>
      </c>
      <c r="AT186" s="230">
        <v>120600</v>
      </c>
      <c r="AU186" s="229">
        <v>0.30919999999999997</v>
      </c>
      <c r="AV186" s="230">
        <v>481200</v>
      </c>
      <c r="AW186" s="230">
        <v>374600</v>
      </c>
      <c r="AX186" s="230">
        <v>106600</v>
      </c>
      <c r="AY186" s="229">
        <v>0.28460000000000002</v>
      </c>
      <c r="AZ186" s="230">
        <v>26800</v>
      </c>
      <c r="BA186" s="230">
        <v>12000</v>
      </c>
      <c r="BB186" s="230">
        <v>14800</v>
      </c>
      <c r="BC186" s="229">
        <v>1.2333000000000001</v>
      </c>
      <c r="BD186" s="230">
        <v>2600</v>
      </c>
      <c r="BE186" s="230">
        <v>3400</v>
      </c>
      <c r="BF186" s="228">
        <v>-800</v>
      </c>
      <c r="BG186" s="229">
        <v>-0.23530000000000001</v>
      </c>
      <c r="BH186" s="230">
        <v>1419000</v>
      </c>
      <c r="BI186" s="230">
        <v>894600</v>
      </c>
      <c r="BJ186" s="230">
        <v>524400</v>
      </c>
      <c r="BK186" s="229">
        <v>0.58620000000000005</v>
      </c>
      <c r="BL186" s="230">
        <v>645200</v>
      </c>
      <c r="BM186" s="230">
        <v>425800</v>
      </c>
      <c r="BN186" s="230">
        <v>219400</v>
      </c>
      <c r="BO186" s="229">
        <v>0.51529999999999998</v>
      </c>
      <c r="BP186" s="230">
        <v>2574800</v>
      </c>
      <c r="BQ186" s="230">
        <v>1710400</v>
      </c>
      <c r="BR186" s="230">
        <v>864400</v>
      </c>
      <c r="BS186" s="229">
        <v>0.50539999999999996</v>
      </c>
      <c r="BT186" s="230">
        <v>742506</v>
      </c>
      <c r="BU186" s="230">
        <v>165334</v>
      </c>
      <c r="BV186" s="230">
        <v>577172</v>
      </c>
      <c r="BW186" s="229">
        <v>3.4908999999999999</v>
      </c>
      <c r="BX186" s="230">
        <v>2772000</v>
      </c>
      <c r="BY186" s="230">
        <v>2783400</v>
      </c>
      <c r="BZ186" s="230">
        <v>-11400</v>
      </c>
      <c r="CA186" s="229">
        <v>-4.1000000000000003E-3</v>
      </c>
      <c r="CB186" s="230">
        <v>2729600</v>
      </c>
      <c r="CC186" s="230">
        <v>2743800</v>
      </c>
      <c r="CD186" s="230">
        <v>-14200</v>
      </c>
      <c r="CE186" s="229">
        <v>-5.1999999999999998E-3</v>
      </c>
      <c r="CF186" s="230">
        <v>36600</v>
      </c>
      <c r="CG186" s="230">
        <v>34800</v>
      </c>
      <c r="CH186" s="230">
        <v>1800</v>
      </c>
      <c r="CI186" s="229">
        <v>5.1700000000000003E-2</v>
      </c>
      <c r="CJ186" s="230">
        <v>5800</v>
      </c>
      <c r="CK186" s="230">
        <v>4800</v>
      </c>
      <c r="CL186" s="230">
        <v>1000</v>
      </c>
      <c r="CM186" s="229">
        <v>0.20830000000000001</v>
      </c>
      <c r="CN186" s="230">
        <v>827000</v>
      </c>
      <c r="CO186" s="230">
        <v>757200</v>
      </c>
      <c r="CP186" s="230">
        <v>69800</v>
      </c>
      <c r="CQ186" s="229">
        <v>9.2200000000000004E-2</v>
      </c>
      <c r="CR186" s="230">
        <v>745200</v>
      </c>
      <c r="CS186" s="230">
        <v>744000</v>
      </c>
      <c r="CT186" s="230">
        <v>1200</v>
      </c>
      <c r="CU186" s="229">
        <v>1.6000000000000001E-3</v>
      </c>
      <c r="CV186" s="230">
        <v>4344200</v>
      </c>
      <c r="CW186" s="230">
        <v>4284600</v>
      </c>
      <c r="CX186" s="230">
        <v>59600</v>
      </c>
      <c r="CY186" s="229">
        <v>1.3899999999999999E-2</v>
      </c>
      <c r="CZ186" s="228">
        <v>22.98</v>
      </c>
      <c r="DA186" s="228">
        <v>23.69</v>
      </c>
      <c r="DB186" s="228">
        <v>-0.71</v>
      </c>
      <c r="DC186" s="228">
        <v>-0.71</v>
      </c>
      <c r="DD186" s="228">
        <v>32.1</v>
      </c>
      <c r="DE186" s="228">
        <v>32.159999999999997</v>
      </c>
      <c r="DF186" s="228">
        <v>-9.1199999999999992</v>
      </c>
      <c r="DG186" s="228">
        <v>-0.06</v>
      </c>
      <c r="DH186" s="228">
        <v>22.59</v>
      </c>
      <c r="DI186" s="228">
        <v>23.36</v>
      </c>
      <c r="DJ186" s="228">
        <v>-0.77</v>
      </c>
      <c r="DK186" s="228">
        <v>-0.77</v>
      </c>
      <c r="DL186" s="228">
        <v>23.84</v>
      </c>
      <c r="DM186" s="228">
        <v>24.37</v>
      </c>
      <c r="DN186" s="228">
        <v>-0.53</v>
      </c>
      <c r="DO186" s="228">
        <v>-0.53</v>
      </c>
      <c r="DP186" s="228">
        <v>0.9</v>
      </c>
      <c r="DQ186" s="228">
        <v>0.98</v>
      </c>
      <c r="DR186" s="228">
        <v>-0.08</v>
      </c>
      <c r="DS186" s="229">
        <v>-8.1600000000000006E-2</v>
      </c>
      <c r="DT186" s="231">
        <v>3100</v>
      </c>
      <c r="DU186" s="231">
        <v>2900</v>
      </c>
      <c r="DV186" s="228">
        <v>0.45</v>
      </c>
      <c r="DW186" s="228">
        <v>0.48</v>
      </c>
      <c r="DX186" s="228">
        <v>-0.03</v>
      </c>
      <c r="DY186" s="229">
        <v>-6.25E-2</v>
      </c>
      <c r="DZ186" s="229">
        <v>1.5299999999999999E-2</v>
      </c>
      <c r="EA186" s="230">
        <v>39600</v>
      </c>
      <c r="EB186" s="229">
        <v>5.4999999999999997E-3</v>
      </c>
      <c r="EC186" s="229">
        <v>1.5299999999999999E-2</v>
      </c>
      <c r="ED186" s="228">
        <v>16.68</v>
      </c>
      <c r="EE186" s="229">
        <v>5.4999999999999997E-3</v>
      </c>
      <c r="EF186" s="230">
        <v>645963</v>
      </c>
      <c r="EG186" s="230">
        <v>88078</v>
      </c>
      <c r="EH186" s="229">
        <v>6.3339999999999996</v>
      </c>
      <c r="EI186" s="229">
        <v>0.87</v>
      </c>
      <c r="EJ186" s="231">
        <v>44333.87</v>
      </c>
      <c r="EK186" s="231">
        <v>19247.189999999999</v>
      </c>
      <c r="EL186" s="231">
        <v>15467.04</v>
      </c>
      <c r="EM186" s="231">
        <v>2454</v>
      </c>
      <c r="EN186" s="231">
        <v>79048.100000000006</v>
      </c>
      <c r="EO186" s="231">
        <v>52136.59</v>
      </c>
      <c r="EP186" s="231">
        <v>26911.51</v>
      </c>
      <c r="EQ186" s="229">
        <v>0.51619999999999999</v>
      </c>
      <c r="ER186" s="231">
        <v>25291</v>
      </c>
      <c r="ES186" s="231">
        <v>21271</v>
      </c>
      <c r="ET186" s="231">
        <v>84243</v>
      </c>
      <c r="EU186" s="231">
        <v>21205300</v>
      </c>
      <c r="EV186" s="231">
        <v>130805</v>
      </c>
      <c r="EW186" s="231">
        <v>128045</v>
      </c>
      <c r="EX186" s="231">
        <v>2760</v>
      </c>
      <c r="EY186" s="229">
        <v>2.1600000000000001E-2</v>
      </c>
      <c r="EZ186" s="229">
        <v>0.2049</v>
      </c>
      <c r="FA186" s="227" t="s">
        <v>556</v>
      </c>
      <c r="FB186" s="161">
        <f t="shared" si="4"/>
        <v>0</v>
      </c>
    </row>
    <row r="187" spans="1:158" ht="17.25" thickBot="1" x14ac:dyDescent="0.3">
      <c r="A187" s="226">
        <v>45940</v>
      </c>
      <c r="B187" s="227" t="s">
        <v>170</v>
      </c>
      <c r="C187" s="227" t="s">
        <v>288</v>
      </c>
      <c r="D187" s="228">
        <v>350</v>
      </c>
      <c r="E187" s="231">
        <v>1679</v>
      </c>
      <c r="F187" s="231">
        <v>1662.2</v>
      </c>
      <c r="G187" s="228">
        <v>16.8</v>
      </c>
      <c r="H187" s="229">
        <v>1.01E-2</v>
      </c>
      <c r="I187" s="231">
        <v>1670.9</v>
      </c>
      <c r="J187" s="231">
        <v>1658.5</v>
      </c>
      <c r="K187" s="228">
        <v>12.4</v>
      </c>
      <c r="L187" s="229">
        <v>7.4999999999999997E-3</v>
      </c>
      <c r="M187" s="231">
        <v>1679</v>
      </c>
      <c r="N187" s="231">
        <v>1662.2</v>
      </c>
      <c r="O187" s="228">
        <v>16.8</v>
      </c>
      <c r="P187" s="229">
        <v>1.01E-2</v>
      </c>
      <c r="Q187" s="231">
        <v>1689</v>
      </c>
      <c r="R187" s="231">
        <v>1671.3</v>
      </c>
      <c r="S187" s="228">
        <v>17.7</v>
      </c>
      <c r="T187" s="229">
        <v>1.06E-2</v>
      </c>
      <c r="U187" s="231">
        <v>1699</v>
      </c>
      <c r="V187" s="231">
        <v>1679.9</v>
      </c>
      <c r="W187" s="228">
        <v>19.100000000000001</v>
      </c>
      <c r="X187" s="229">
        <v>1.14E-2</v>
      </c>
      <c r="Y187" s="228">
        <v>8.1</v>
      </c>
      <c r="Z187" s="228">
        <v>3.7</v>
      </c>
      <c r="AA187" s="228">
        <v>4.4000000000000004</v>
      </c>
      <c r="AB187" s="229">
        <v>4.7999999999999996E-3</v>
      </c>
      <c r="AC187" s="228">
        <v>8.1</v>
      </c>
      <c r="AD187" s="228">
        <v>3.7</v>
      </c>
      <c r="AE187" s="228">
        <v>4.4000000000000004</v>
      </c>
      <c r="AF187" s="229">
        <v>4.7999999999999996E-3</v>
      </c>
      <c r="AG187" s="228">
        <v>18.100000000000001</v>
      </c>
      <c r="AH187" s="228">
        <v>12.8</v>
      </c>
      <c r="AI187" s="228">
        <v>5.3</v>
      </c>
      <c r="AJ187" s="229">
        <v>1.0800000000000001E-2</v>
      </c>
      <c r="AK187" s="228">
        <v>28.1</v>
      </c>
      <c r="AL187" s="228">
        <v>21.4</v>
      </c>
      <c r="AM187" s="228">
        <v>6.7</v>
      </c>
      <c r="AN187" s="229">
        <v>1.6799999999999999E-2</v>
      </c>
      <c r="AO187" s="231">
        <v>1675.37</v>
      </c>
      <c r="AP187" s="231">
        <v>1683.95</v>
      </c>
      <c r="AQ187" s="228">
        <v>0</v>
      </c>
      <c r="AR187" s="230">
        <v>1640800</v>
      </c>
      <c r="AS187" s="230">
        <v>1620850</v>
      </c>
      <c r="AT187" s="230">
        <v>19950</v>
      </c>
      <c r="AU187" s="229">
        <v>1.23E-2</v>
      </c>
      <c r="AV187" s="230">
        <v>1465450</v>
      </c>
      <c r="AW187" s="230">
        <v>1523900</v>
      </c>
      <c r="AX187" s="230">
        <v>-58450</v>
      </c>
      <c r="AY187" s="229">
        <v>-3.8399999999999997E-2</v>
      </c>
      <c r="AZ187" s="230">
        <v>142450</v>
      </c>
      <c r="BA187" s="230">
        <v>93800</v>
      </c>
      <c r="BB187" s="230">
        <v>48650</v>
      </c>
      <c r="BC187" s="229">
        <v>0.51870000000000005</v>
      </c>
      <c r="BD187" s="230">
        <v>32900</v>
      </c>
      <c r="BE187" s="230">
        <v>3150</v>
      </c>
      <c r="BF187" s="230">
        <v>29750</v>
      </c>
      <c r="BG187" s="229">
        <v>9.4443999999999999</v>
      </c>
      <c r="BH187" s="230">
        <v>10752700</v>
      </c>
      <c r="BI187" s="230">
        <v>10452750</v>
      </c>
      <c r="BJ187" s="230">
        <v>299950</v>
      </c>
      <c r="BK187" s="229">
        <v>2.87E-2</v>
      </c>
      <c r="BL187" s="230">
        <v>4856600</v>
      </c>
      <c r="BM187" s="230">
        <v>4434850</v>
      </c>
      <c r="BN187" s="230">
        <v>421750</v>
      </c>
      <c r="BO187" s="229">
        <v>9.5100000000000004E-2</v>
      </c>
      <c r="BP187" s="230">
        <v>17250100</v>
      </c>
      <c r="BQ187" s="230">
        <v>16508450</v>
      </c>
      <c r="BR187" s="230">
        <v>741650</v>
      </c>
      <c r="BS187" s="229">
        <v>4.4900000000000002E-2</v>
      </c>
      <c r="BT187" s="230">
        <v>1514248</v>
      </c>
      <c r="BU187" s="230">
        <v>2253679</v>
      </c>
      <c r="BV187" s="230">
        <v>-739431</v>
      </c>
      <c r="BW187" s="229">
        <v>-0.3281</v>
      </c>
      <c r="BX187" s="230">
        <v>15582350</v>
      </c>
      <c r="BY187" s="230">
        <v>15227800</v>
      </c>
      <c r="BZ187" s="230">
        <v>354550</v>
      </c>
      <c r="CA187" s="229">
        <v>2.3300000000000001E-2</v>
      </c>
      <c r="CB187" s="230">
        <v>15294650</v>
      </c>
      <c r="CC187" s="230">
        <v>15029000</v>
      </c>
      <c r="CD187" s="230">
        <v>265650</v>
      </c>
      <c r="CE187" s="229">
        <v>1.77E-2</v>
      </c>
      <c r="CF187" s="230">
        <v>254100</v>
      </c>
      <c r="CG187" s="230">
        <v>191100</v>
      </c>
      <c r="CH187" s="230">
        <v>63000</v>
      </c>
      <c r="CI187" s="229">
        <v>0.32969999999999999</v>
      </c>
      <c r="CJ187" s="230">
        <v>33600</v>
      </c>
      <c r="CK187" s="230">
        <v>7700</v>
      </c>
      <c r="CL187" s="230">
        <v>25900</v>
      </c>
      <c r="CM187" s="229">
        <v>3.3635999999999999</v>
      </c>
      <c r="CN187" s="230">
        <v>4843650</v>
      </c>
      <c r="CO187" s="230">
        <v>4695950</v>
      </c>
      <c r="CP187" s="230">
        <v>147700</v>
      </c>
      <c r="CQ187" s="229">
        <v>3.15E-2</v>
      </c>
      <c r="CR187" s="230">
        <v>4492250</v>
      </c>
      <c r="CS187" s="230">
        <v>4266150</v>
      </c>
      <c r="CT187" s="230">
        <v>226100</v>
      </c>
      <c r="CU187" s="229">
        <v>5.2999999999999999E-2</v>
      </c>
      <c r="CV187" s="230">
        <v>24918250</v>
      </c>
      <c r="CW187" s="230">
        <v>24189900</v>
      </c>
      <c r="CX187" s="230">
        <v>728350</v>
      </c>
      <c r="CY187" s="229">
        <v>3.0099999999999998E-2</v>
      </c>
      <c r="CZ187" s="228">
        <v>17.68</v>
      </c>
      <c r="DA187" s="228">
        <v>18.55</v>
      </c>
      <c r="DB187" s="228">
        <v>-0.87</v>
      </c>
      <c r="DC187" s="228">
        <v>-0.87</v>
      </c>
      <c r="DD187" s="228">
        <v>24.14</v>
      </c>
      <c r="DE187" s="228">
        <v>24.18</v>
      </c>
      <c r="DF187" s="228">
        <v>-6.46</v>
      </c>
      <c r="DG187" s="228">
        <v>-0.04</v>
      </c>
      <c r="DH187" s="228">
        <v>16.670000000000002</v>
      </c>
      <c r="DI187" s="228">
        <v>17.850000000000001</v>
      </c>
      <c r="DJ187" s="228">
        <v>-1.18</v>
      </c>
      <c r="DK187" s="228">
        <v>-1.18</v>
      </c>
      <c r="DL187" s="228">
        <v>19.940000000000001</v>
      </c>
      <c r="DM187" s="228">
        <v>20.190000000000001</v>
      </c>
      <c r="DN187" s="228">
        <v>-0.25</v>
      </c>
      <c r="DO187" s="228">
        <v>-0.25</v>
      </c>
      <c r="DP187" s="228">
        <v>0.93</v>
      </c>
      <c r="DQ187" s="228">
        <v>0.91</v>
      </c>
      <c r="DR187" s="228">
        <v>0.02</v>
      </c>
      <c r="DS187" s="229">
        <v>2.1999999999999999E-2</v>
      </c>
      <c r="DT187" s="231">
        <v>1680</v>
      </c>
      <c r="DU187" s="231">
        <v>1500</v>
      </c>
      <c r="DV187" s="228">
        <v>0.45</v>
      </c>
      <c r="DW187" s="228">
        <v>0.42</v>
      </c>
      <c r="DX187" s="228">
        <v>0.03</v>
      </c>
      <c r="DY187" s="229">
        <v>7.1400000000000005E-2</v>
      </c>
      <c r="DZ187" s="229">
        <v>1.8499999999999999E-2</v>
      </c>
      <c r="EA187" s="230">
        <v>198800</v>
      </c>
      <c r="EB187" s="229">
        <v>6.0000000000000001E-3</v>
      </c>
      <c r="EC187" s="229">
        <v>1.8499999999999999E-2</v>
      </c>
      <c r="ED187" s="228">
        <v>8.58</v>
      </c>
      <c r="EE187" s="229">
        <v>5.1000000000000004E-3</v>
      </c>
      <c r="EF187" s="230">
        <v>808967</v>
      </c>
      <c r="EG187" s="230">
        <v>1251903</v>
      </c>
      <c r="EH187" s="229">
        <v>-0.3538</v>
      </c>
      <c r="EI187" s="229">
        <v>0.53420000000000001</v>
      </c>
      <c r="EJ187" s="231">
        <v>184573.43</v>
      </c>
      <c r="EK187" s="231">
        <v>79599.08</v>
      </c>
      <c r="EL187" s="231">
        <v>27509.02</v>
      </c>
      <c r="EM187" s="231">
        <v>4753</v>
      </c>
      <c r="EN187" s="231">
        <v>291681.53000000003</v>
      </c>
      <c r="EO187" s="231">
        <v>277633.40000000002</v>
      </c>
      <c r="EP187" s="231">
        <v>14048.13</v>
      </c>
      <c r="EQ187" s="229">
        <v>5.0599999999999999E-2</v>
      </c>
      <c r="ER187" s="231">
        <v>82177</v>
      </c>
      <c r="ES187" s="231">
        <v>70822</v>
      </c>
      <c r="ET187" s="231">
        <v>261660</v>
      </c>
      <c r="EU187" s="231">
        <v>109220043</v>
      </c>
      <c r="EV187" s="231">
        <v>414659</v>
      </c>
      <c r="EW187" s="231">
        <v>399696</v>
      </c>
      <c r="EX187" s="231">
        <v>14963</v>
      </c>
      <c r="EY187" s="229">
        <v>3.7400000000000003E-2</v>
      </c>
      <c r="EZ187" s="229">
        <v>0.2281</v>
      </c>
      <c r="FA187" s="227" t="s">
        <v>555</v>
      </c>
      <c r="FB187" s="161">
        <f t="shared" si="4"/>
        <v>0</v>
      </c>
    </row>
    <row r="188" spans="1:158" ht="17.25" thickBot="1" x14ac:dyDescent="0.3">
      <c r="A188" s="226">
        <v>45940</v>
      </c>
      <c r="B188" s="227" t="s">
        <v>184</v>
      </c>
      <c r="C188" s="227" t="s">
        <v>575</v>
      </c>
      <c r="D188" s="228">
        <v>175</v>
      </c>
      <c r="E188" s="231">
        <v>4260.3999999999996</v>
      </c>
      <c r="F188" s="231">
        <v>4194.3</v>
      </c>
      <c r="G188" s="228">
        <v>66.099999999999994</v>
      </c>
      <c r="H188" s="229">
        <v>1.5800000000000002E-2</v>
      </c>
      <c r="I188" s="231">
        <v>4237.3999999999996</v>
      </c>
      <c r="J188" s="231">
        <v>4178.8</v>
      </c>
      <c r="K188" s="228">
        <v>58.6</v>
      </c>
      <c r="L188" s="229">
        <v>1.4E-2</v>
      </c>
      <c r="M188" s="231">
        <v>4260.3999999999996</v>
      </c>
      <c r="N188" s="231">
        <v>4194.3</v>
      </c>
      <c r="O188" s="228">
        <v>66.099999999999994</v>
      </c>
      <c r="P188" s="229">
        <v>1.5800000000000002E-2</v>
      </c>
      <c r="Q188" s="231">
        <v>4276.8999999999996</v>
      </c>
      <c r="R188" s="231">
        <v>4207</v>
      </c>
      <c r="S188" s="228">
        <v>69.900000000000006</v>
      </c>
      <c r="T188" s="229">
        <v>1.66E-2</v>
      </c>
      <c r="U188" s="231">
        <v>4298</v>
      </c>
      <c r="V188" s="231">
        <v>4235</v>
      </c>
      <c r="W188" s="228">
        <v>63</v>
      </c>
      <c r="X188" s="229">
        <v>1.49E-2</v>
      </c>
      <c r="Y188" s="228">
        <v>23</v>
      </c>
      <c r="Z188" s="228">
        <v>15.5</v>
      </c>
      <c r="AA188" s="228">
        <v>7.5</v>
      </c>
      <c r="AB188" s="229">
        <v>5.4000000000000003E-3</v>
      </c>
      <c r="AC188" s="228">
        <v>23</v>
      </c>
      <c r="AD188" s="228">
        <v>15.5</v>
      </c>
      <c r="AE188" s="228">
        <v>7.5</v>
      </c>
      <c r="AF188" s="229">
        <v>5.4000000000000003E-3</v>
      </c>
      <c r="AG188" s="228">
        <v>39.5</v>
      </c>
      <c r="AH188" s="228">
        <v>28.2</v>
      </c>
      <c r="AI188" s="228">
        <v>11.3</v>
      </c>
      <c r="AJ188" s="229">
        <v>9.2999999999999992E-3</v>
      </c>
      <c r="AK188" s="228">
        <v>60.6</v>
      </c>
      <c r="AL188" s="228">
        <v>56.2</v>
      </c>
      <c r="AM188" s="228">
        <v>4.4000000000000004</v>
      </c>
      <c r="AN188" s="229">
        <v>1.43E-2</v>
      </c>
      <c r="AO188" s="231">
        <v>4242.97</v>
      </c>
      <c r="AP188" s="231">
        <v>4269.88</v>
      </c>
      <c r="AQ188" s="228">
        <v>0</v>
      </c>
      <c r="AR188" s="230">
        <v>326025</v>
      </c>
      <c r="AS188" s="230">
        <v>164325</v>
      </c>
      <c r="AT188" s="230">
        <v>161700</v>
      </c>
      <c r="AU188" s="229">
        <v>0.98399999999999999</v>
      </c>
      <c r="AV188" s="230">
        <v>318325</v>
      </c>
      <c r="AW188" s="230">
        <v>158900</v>
      </c>
      <c r="AX188" s="230">
        <v>159425</v>
      </c>
      <c r="AY188" s="229">
        <v>1.0033000000000001</v>
      </c>
      <c r="AZ188" s="230">
        <v>6125</v>
      </c>
      <c r="BA188" s="230">
        <v>4375</v>
      </c>
      <c r="BB188" s="230">
        <v>1750</v>
      </c>
      <c r="BC188" s="229">
        <v>0.4</v>
      </c>
      <c r="BD188" s="230">
        <v>1575</v>
      </c>
      <c r="BE188" s="230">
        <v>1050</v>
      </c>
      <c r="BF188" s="228">
        <v>525</v>
      </c>
      <c r="BG188" s="229">
        <v>0.5</v>
      </c>
      <c r="BH188" s="230">
        <v>338975</v>
      </c>
      <c r="BI188" s="230">
        <v>149800</v>
      </c>
      <c r="BJ188" s="230">
        <v>189175</v>
      </c>
      <c r="BK188" s="229">
        <v>1.2628999999999999</v>
      </c>
      <c r="BL188" s="230">
        <v>101325</v>
      </c>
      <c r="BM188" s="230">
        <v>65100</v>
      </c>
      <c r="BN188" s="230">
        <v>36225</v>
      </c>
      <c r="BO188" s="229">
        <v>0.55649999999999999</v>
      </c>
      <c r="BP188" s="230">
        <v>766325</v>
      </c>
      <c r="BQ188" s="230">
        <v>379225</v>
      </c>
      <c r="BR188" s="230">
        <v>387100</v>
      </c>
      <c r="BS188" s="229">
        <v>1.0207999999999999</v>
      </c>
      <c r="BT188" s="230">
        <v>186524</v>
      </c>
      <c r="BU188" s="230">
        <v>96628</v>
      </c>
      <c r="BV188" s="230">
        <v>89896</v>
      </c>
      <c r="BW188" s="229">
        <v>0.93030000000000002</v>
      </c>
      <c r="BX188" s="230">
        <v>1347150</v>
      </c>
      <c r="BY188" s="230">
        <v>1334375</v>
      </c>
      <c r="BZ188" s="230">
        <v>12775</v>
      </c>
      <c r="CA188" s="229">
        <v>9.5999999999999992E-3</v>
      </c>
      <c r="CB188" s="230">
        <v>1325275</v>
      </c>
      <c r="CC188" s="230">
        <v>1311625</v>
      </c>
      <c r="CD188" s="230">
        <v>13650</v>
      </c>
      <c r="CE188" s="229">
        <v>1.04E-2</v>
      </c>
      <c r="CF188" s="230">
        <v>19950</v>
      </c>
      <c r="CG188" s="230">
        <v>19250</v>
      </c>
      <c r="CH188" s="228">
        <v>700</v>
      </c>
      <c r="CI188" s="229">
        <v>3.6400000000000002E-2</v>
      </c>
      <c r="CJ188" s="230">
        <v>1925</v>
      </c>
      <c r="CK188" s="230">
        <v>3500</v>
      </c>
      <c r="CL188" s="230">
        <v>-1575</v>
      </c>
      <c r="CM188" s="229">
        <v>-0.45</v>
      </c>
      <c r="CN188" s="230">
        <v>297675</v>
      </c>
      <c r="CO188" s="230">
        <v>323225</v>
      </c>
      <c r="CP188" s="230">
        <v>-25550</v>
      </c>
      <c r="CQ188" s="229">
        <v>-7.9000000000000001E-2</v>
      </c>
      <c r="CR188" s="230">
        <v>187075</v>
      </c>
      <c r="CS188" s="230">
        <v>181475</v>
      </c>
      <c r="CT188" s="230">
        <v>5600</v>
      </c>
      <c r="CU188" s="229">
        <v>3.09E-2</v>
      </c>
      <c r="CV188" s="230">
        <v>1831900</v>
      </c>
      <c r="CW188" s="230">
        <v>1839075</v>
      </c>
      <c r="CX188" s="230">
        <v>-7175</v>
      </c>
      <c r="CY188" s="229">
        <v>-3.8999999999999998E-3</v>
      </c>
      <c r="CZ188" s="228">
        <v>31.68</v>
      </c>
      <c r="DA188" s="228">
        <v>32.83</v>
      </c>
      <c r="DB188" s="228">
        <v>-1.1499999999999999</v>
      </c>
      <c r="DC188" s="228">
        <v>-1.1499999999999999</v>
      </c>
      <c r="DD188" s="228">
        <v>41.71</v>
      </c>
      <c r="DE188" s="228">
        <v>41.76</v>
      </c>
      <c r="DF188" s="228">
        <v>-10.029999999999999</v>
      </c>
      <c r="DG188" s="228">
        <v>-0.05</v>
      </c>
      <c r="DH188" s="228">
        <v>31.71</v>
      </c>
      <c r="DI188" s="228">
        <v>33</v>
      </c>
      <c r="DJ188" s="228">
        <v>-1.29</v>
      </c>
      <c r="DK188" s="228">
        <v>-1.29</v>
      </c>
      <c r="DL188" s="228">
        <v>31.56</v>
      </c>
      <c r="DM188" s="228">
        <v>32.44</v>
      </c>
      <c r="DN188" s="228">
        <v>-0.88</v>
      </c>
      <c r="DO188" s="228">
        <v>-0.88</v>
      </c>
      <c r="DP188" s="228">
        <v>0.63</v>
      </c>
      <c r="DQ188" s="228">
        <v>0.56000000000000005</v>
      </c>
      <c r="DR188" s="228">
        <v>7.0000000000000007E-2</v>
      </c>
      <c r="DS188" s="229">
        <v>0.125</v>
      </c>
      <c r="DT188" s="231">
        <v>4500</v>
      </c>
      <c r="DU188" s="231">
        <v>4000</v>
      </c>
      <c r="DV188" s="228">
        <v>0.3</v>
      </c>
      <c r="DW188" s="228">
        <v>0.43</v>
      </c>
      <c r="DX188" s="228">
        <v>-0.13</v>
      </c>
      <c r="DY188" s="229">
        <v>-0.30230000000000001</v>
      </c>
      <c r="DZ188" s="229">
        <v>1.6199999999999999E-2</v>
      </c>
      <c r="EA188" s="230">
        <v>22750</v>
      </c>
      <c r="EB188" s="229">
        <v>3.8999999999999998E-3</v>
      </c>
      <c r="EC188" s="229">
        <v>1.6199999999999999E-2</v>
      </c>
      <c r="ED188" s="228">
        <v>26.91</v>
      </c>
      <c r="EE188" s="229">
        <v>6.3E-3</v>
      </c>
      <c r="EF188" s="230">
        <v>130547</v>
      </c>
      <c r="EG188" s="230">
        <v>66833</v>
      </c>
      <c r="EH188" s="229">
        <v>0.95330000000000004</v>
      </c>
      <c r="EI188" s="229">
        <v>0.69989999999999997</v>
      </c>
      <c r="EJ188" s="231">
        <v>15101.63</v>
      </c>
      <c r="EK188" s="231">
        <v>4286.75</v>
      </c>
      <c r="EL188" s="231">
        <v>13835.6</v>
      </c>
      <c r="EM188" s="231">
        <v>1171</v>
      </c>
      <c r="EN188" s="231">
        <v>33223.980000000003</v>
      </c>
      <c r="EO188" s="231">
        <v>16247.8</v>
      </c>
      <c r="EP188" s="231">
        <v>16976.18</v>
      </c>
      <c r="EQ188" s="229">
        <v>1.0448</v>
      </c>
      <c r="ER188" s="231">
        <v>13323</v>
      </c>
      <c r="ES188" s="231">
        <v>7822</v>
      </c>
      <c r="ET188" s="231">
        <v>57398</v>
      </c>
      <c r="EU188" s="231">
        <v>7242074</v>
      </c>
      <c r="EV188" s="231">
        <v>78543</v>
      </c>
      <c r="EW188" s="231">
        <v>77971</v>
      </c>
      <c r="EX188" s="228">
        <v>572</v>
      </c>
      <c r="EY188" s="229">
        <v>7.3000000000000001E-3</v>
      </c>
      <c r="EZ188" s="229">
        <v>0.253</v>
      </c>
      <c r="FA188" s="227" t="s">
        <v>555</v>
      </c>
      <c r="FB188" s="161">
        <f t="shared" si="4"/>
        <v>0</v>
      </c>
    </row>
    <row r="189" spans="1:158" ht="17.25" thickBot="1" x14ac:dyDescent="0.3">
      <c r="A189" s="226">
        <v>45940</v>
      </c>
      <c r="B189" s="227" t="s">
        <v>161</v>
      </c>
      <c r="C189" s="227" t="s">
        <v>686</v>
      </c>
      <c r="D189" s="228">
        <v>8000</v>
      </c>
      <c r="E189" s="228">
        <v>54.55</v>
      </c>
      <c r="F189" s="228">
        <v>53.46</v>
      </c>
      <c r="G189" s="228">
        <v>1.0900000000000001</v>
      </c>
      <c r="H189" s="229">
        <v>2.0400000000000001E-2</v>
      </c>
      <c r="I189" s="228">
        <v>54.31</v>
      </c>
      <c r="J189" s="228">
        <v>53.17</v>
      </c>
      <c r="K189" s="228">
        <v>1.1399999999999999</v>
      </c>
      <c r="L189" s="229">
        <v>2.1399999999999999E-2</v>
      </c>
      <c r="M189" s="228">
        <v>54.55</v>
      </c>
      <c r="N189" s="228">
        <v>53.46</v>
      </c>
      <c r="O189" s="228">
        <v>1.0900000000000001</v>
      </c>
      <c r="P189" s="229">
        <v>2.0400000000000001E-2</v>
      </c>
      <c r="Q189" s="228">
        <v>54.86</v>
      </c>
      <c r="R189" s="228">
        <v>53.75</v>
      </c>
      <c r="S189" s="228">
        <v>1.1100000000000001</v>
      </c>
      <c r="T189" s="229">
        <v>2.07E-2</v>
      </c>
      <c r="U189" s="228">
        <v>55.16</v>
      </c>
      <c r="V189" s="228">
        <v>53.98</v>
      </c>
      <c r="W189" s="228">
        <v>1.18</v>
      </c>
      <c r="X189" s="229">
        <v>2.1899999999999999E-2</v>
      </c>
      <c r="Y189" s="228">
        <v>0.24</v>
      </c>
      <c r="Z189" s="228">
        <v>0.28999999999999998</v>
      </c>
      <c r="AA189" s="228">
        <v>-0.05</v>
      </c>
      <c r="AB189" s="229">
        <v>4.4000000000000003E-3</v>
      </c>
      <c r="AC189" s="228">
        <v>0.24</v>
      </c>
      <c r="AD189" s="228">
        <v>0.28999999999999998</v>
      </c>
      <c r="AE189" s="228">
        <v>-0.05</v>
      </c>
      <c r="AF189" s="229">
        <v>4.4000000000000003E-3</v>
      </c>
      <c r="AG189" s="228">
        <v>0.55000000000000004</v>
      </c>
      <c r="AH189" s="228">
        <v>0.57999999999999996</v>
      </c>
      <c r="AI189" s="228">
        <v>-0.03</v>
      </c>
      <c r="AJ189" s="229">
        <v>1.01E-2</v>
      </c>
      <c r="AK189" s="228">
        <v>0.85</v>
      </c>
      <c r="AL189" s="228">
        <v>0.81</v>
      </c>
      <c r="AM189" s="228">
        <v>0.04</v>
      </c>
      <c r="AN189" s="229">
        <v>1.5699999999999999E-2</v>
      </c>
      <c r="AO189" s="228">
        <v>54.56</v>
      </c>
      <c r="AP189" s="228">
        <v>54.73</v>
      </c>
      <c r="AQ189" s="228">
        <v>0</v>
      </c>
      <c r="AR189" s="230">
        <v>35000000</v>
      </c>
      <c r="AS189" s="230">
        <v>30192000</v>
      </c>
      <c r="AT189" s="230">
        <v>4808000</v>
      </c>
      <c r="AU189" s="229">
        <v>0.15920000000000001</v>
      </c>
      <c r="AV189" s="230">
        <v>29040000</v>
      </c>
      <c r="AW189" s="230">
        <v>27048000</v>
      </c>
      <c r="AX189" s="230">
        <v>1992000</v>
      </c>
      <c r="AY189" s="229">
        <v>7.3599999999999999E-2</v>
      </c>
      <c r="AZ189" s="230">
        <v>5320000</v>
      </c>
      <c r="BA189" s="230">
        <v>2792000</v>
      </c>
      <c r="BB189" s="230">
        <v>2528000</v>
      </c>
      <c r="BC189" s="229">
        <v>0.90539999999999998</v>
      </c>
      <c r="BD189" s="230">
        <v>640000</v>
      </c>
      <c r="BE189" s="230">
        <v>352000</v>
      </c>
      <c r="BF189" s="230">
        <v>288000</v>
      </c>
      <c r="BG189" s="229">
        <v>0.81820000000000004</v>
      </c>
      <c r="BH189" s="230">
        <v>93752000</v>
      </c>
      <c r="BI189" s="230">
        <v>74392000</v>
      </c>
      <c r="BJ189" s="230">
        <v>19360000</v>
      </c>
      <c r="BK189" s="229">
        <v>0.26019999999999999</v>
      </c>
      <c r="BL189" s="230">
        <v>23464000</v>
      </c>
      <c r="BM189" s="230">
        <v>15112000</v>
      </c>
      <c r="BN189" s="230">
        <v>8352000</v>
      </c>
      <c r="BO189" s="229">
        <v>0.55269999999999997</v>
      </c>
      <c r="BP189" s="230">
        <v>152216000</v>
      </c>
      <c r="BQ189" s="230">
        <v>119696000</v>
      </c>
      <c r="BR189" s="230">
        <v>32520000</v>
      </c>
      <c r="BS189" s="229">
        <v>0.2717</v>
      </c>
      <c r="BT189" s="230">
        <v>68542828</v>
      </c>
      <c r="BU189" s="230">
        <v>71954255</v>
      </c>
      <c r="BV189" s="230">
        <v>-3411427</v>
      </c>
      <c r="BW189" s="229">
        <v>-4.7399999999999998E-2</v>
      </c>
      <c r="BX189" s="230">
        <v>205920000</v>
      </c>
      <c r="BY189" s="230">
        <v>205432000</v>
      </c>
      <c r="BZ189" s="230">
        <v>488000</v>
      </c>
      <c r="CA189" s="229">
        <v>2.3999999999999998E-3</v>
      </c>
      <c r="CB189" s="230">
        <v>186328000</v>
      </c>
      <c r="CC189" s="230">
        <v>186824000</v>
      </c>
      <c r="CD189" s="230">
        <v>-496000</v>
      </c>
      <c r="CE189" s="229">
        <v>-2.7000000000000001E-3</v>
      </c>
      <c r="CF189" s="230">
        <v>17776000</v>
      </c>
      <c r="CG189" s="230">
        <v>16792000</v>
      </c>
      <c r="CH189" s="230">
        <v>984000</v>
      </c>
      <c r="CI189" s="229">
        <v>5.8599999999999999E-2</v>
      </c>
      <c r="CJ189" s="230">
        <v>1816000</v>
      </c>
      <c r="CK189" s="230">
        <v>1816000</v>
      </c>
      <c r="CL189" s="228">
        <v>0</v>
      </c>
      <c r="CM189" s="229">
        <v>0</v>
      </c>
      <c r="CN189" s="230">
        <v>136288000</v>
      </c>
      <c r="CO189" s="230">
        <v>133704000</v>
      </c>
      <c r="CP189" s="230">
        <v>2584000</v>
      </c>
      <c r="CQ189" s="229">
        <v>1.9300000000000001E-2</v>
      </c>
      <c r="CR189" s="230">
        <v>68936000</v>
      </c>
      <c r="CS189" s="230">
        <v>68704000</v>
      </c>
      <c r="CT189" s="230">
        <v>232000</v>
      </c>
      <c r="CU189" s="229">
        <v>3.3999999999999998E-3</v>
      </c>
      <c r="CV189" s="230">
        <v>411144000</v>
      </c>
      <c r="CW189" s="230">
        <v>407840000</v>
      </c>
      <c r="CX189" s="230">
        <v>3304000</v>
      </c>
      <c r="CY189" s="229">
        <v>8.0999999999999996E-3</v>
      </c>
      <c r="CZ189" s="228">
        <v>35.56</v>
      </c>
      <c r="DA189" s="228">
        <v>38.200000000000003</v>
      </c>
      <c r="DB189" s="228">
        <v>-2.64</v>
      </c>
      <c r="DC189" s="228">
        <v>-2.64</v>
      </c>
      <c r="DD189" s="228">
        <v>51.02</v>
      </c>
      <c r="DE189" s="228">
        <v>51.08</v>
      </c>
      <c r="DF189" s="228">
        <v>-15.46</v>
      </c>
      <c r="DG189" s="228">
        <v>-0.06</v>
      </c>
      <c r="DH189" s="228">
        <v>36</v>
      </c>
      <c r="DI189" s="228">
        <v>38.76</v>
      </c>
      <c r="DJ189" s="228">
        <v>-2.76</v>
      </c>
      <c r="DK189" s="228">
        <v>-2.76</v>
      </c>
      <c r="DL189" s="228">
        <v>33.79</v>
      </c>
      <c r="DM189" s="228">
        <v>35.450000000000003</v>
      </c>
      <c r="DN189" s="228">
        <v>-1.66</v>
      </c>
      <c r="DO189" s="228">
        <v>-1.66</v>
      </c>
      <c r="DP189" s="228">
        <v>0.51</v>
      </c>
      <c r="DQ189" s="228">
        <v>0.51</v>
      </c>
      <c r="DR189" s="228">
        <v>0</v>
      </c>
      <c r="DS189" s="229">
        <v>0</v>
      </c>
      <c r="DT189" s="228">
        <v>60</v>
      </c>
      <c r="DU189" s="228">
        <v>56</v>
      </c>
      <c r="DV189" s="228">
        <v>0.25</v>
      </c>
      <c r="DW189" s="228">
        <v>0.2</v>
      </c>
      <c r="DX189" s="228">
        <v>0.05</v>
      </c>
      <c r="DY189" s="229">
        <v>0.25</v>
      </c>
      <c r="DZ189" s="229">
        <v>9.5100000000000004E-2</v>
      </c>
      <c r="EA189" s="230">
        <v>18608000</v>
      </c>
      <c r="EB189" s="229">
        <v>5.7000000000000002E-3</v>
      </c>
      <c r="EC189" s="229">
        <v>9.5100000000000004E-2</v>
      </c>
      <c r="ED189" s="228">
        <v>0.17</v>
      </c>
      <c r="EE189" s="229">
        <v>3.0999999999999999E-3</v>
      </c>
      <c r="EF189" s="230">
        <v>25951048</v>
      </c>
      <c r="EG189" s="230">
        <v>35067425</v>
      </c>
      <c r="EH189" s="229">
        <v>-0.26</v>
      </c>
      <c r="EI189" s="229">
        <v>0.37859999999999999</v>
      </c>
      <c r="EJ189" s="231">
        <v>54325.46</v>
      </c>
      <c r="EK189" s="231">
        <v>12594.77</v>
      </c>
      <c r="EL189" s="231">
        <v>19109.349999999999</v>
      </c>
      <c r="EM189" s="231">
        <v>3611</v>
      </c>
      <c r="EN189" s="231">
        <v>86029.58</v>
      </c>
      <c r="EO189" s="231">
        <v>67556.59</v>
      </c>
      <c r="EP189" s="231">
        <v>18472.990000000002</v>
      </c>
      <c r="EQ189" s="229">
        <v>0.27339999999999998</v>
      </c>
      <c r="ER189" s="231">
        <v>80411</v>
      </c>
      <c r="ES189" s="231">
        <v>37936</v>
      </c>
      <c r="ET189" s="231">
        <v>112396</v>
      </c>
      <c r="EU189" s="231">
        <v>1813533848</v>
      </c>
      <c r="EV189" s="231">
        <v>230743</v>
      </c>
      <c r="EW189" s="231">
        <v>226426</v>
      </c>
      <c r="EX189" s="231">
        <v>4317</v>
      </c>
      <c r="EY189" s="229">
        <v>1.9099999999999999E-2</v>
      </c>
      <c r="EZ189" s="229">
        <v>0.22670000000000001</v>
      </c>
      <c r="FA189" s="227" t="s">
        <v>555</v>
      </c>
      <c r="FB189" s="161">
        <f t="shared" si="4"/>
        <v>0</v>
      </c>
    </row>
    <row r="190" spans="1:158" ht="17.25" thickBot="1" x14ac:dyDescent="0.3">
      <c r="A190" s="226">
        <v>45940</v>
      </c>
      <c r="B190" s="227" t="s">
        <v>170</v>
      </c>
      <c r="C190" s="227" t="s">
        <v>520</v>
      </c>
      <c r="D190" s="228">
        <v>1000</v>
      </c>
      <c r="E190" s="228">
        <v>654.9</v>
      </c>
      <c r="F190" s="228">
        <v>640.25</v>
      </c>
      <c r="G190" s="228">
        <v>14.65</v>
      </c>
      <c r="H190" s="229">
        <v>2.29E-2</v>
      </c>
      <c r="I190" s="228">
        <v>651.29999999999995</v>
      </c>
      <c r="J190" s="228">
        <v>638.6</v>
      </c>
      <c r="K190" s="228">
        <v>12.7</v>
      </c>
      <c r="L190" s="229">
        <v>1.9900000000000001E-2</v>
      </c>
      <c r="M190" s="228">
        <v>654.9</v>
      </c>
      <c r="N190" s="228">
        <v>640.25</v>
      </c>
      <c r="O190" s="228">
        <v>14.65</v>
      </c>
      <c r="P190" s="229">
        <v>2.29E-2</v>
      </c>
      <c r="Q190" s="228">
        <v>658.05</v>
      </c>
      <c r="R190" s="228">
        <v>643.29999999999995</v>
      </c>
      <c r="S190" s="228">
        <v>14.75</v>
      </c>
      <c r="T190" s="229">
        <v>2.29E-2</v>
      </c>
      <c r="U190" s="228">
        <v>661.7</v>
      </c>
      <c r="V190" s="228">
        <v>647.9</v>
      </c>
      <c r="W190" s="228">
        <v>13.8</v>
      </c>
      <c r="X190" s="229">
        <v>2.1299999999999999E-2</v>
      </c>
      <c r="Y190" s="228">
        <v>3.6</v>
      </c>
      <c r="Z190" s="228">
        <v>1.65</v>
      </c>
      <c r="AA190" s="228">
        <v>1.95</v>
      </c>
      <c r="AB190" s="229">
        <v>5.4999999999999997E-3</v>
      </c>
      <c r="AC190" s="228">
        <v>3.6</v>
      </c>
      <c r="AD190" s="228">
        <v>1.65</v>
      </c>
      <c r="AE190" s="228">
        <v>1.95</v>
      </c>
      <c r="AF190" s="229">
        <v>5.4999999999999997E-3</v>
      </c>
      <c r="AG190" s="228">
        <v>6.75</v>
      </c>
      <c r="AH190" s="228">
        <v>4.7</v>
      </c>
      <c r="AI190" s="228">
        <v>2.0499999999999998</v>
      </c>
      <c r="AJ190" s="229">
        <v>1.04E-2</v>
      </c>
      <c r="AK190" s="228">
        <v>10.4</v>
      </c>
      <c r="AL190" s="228">
        <v>9.3000000000000007</v>
      </c>
      <c r="AM190" s="228">
        <v>1.1000000000000001</v>
      </c>
      <c r="AN190" s="229">
        <v>1.6E-2</v>
      </c>
      <c r="AO190" s="228">
        <v>650.41</v>
      </c>
      <c r="AP190" s="228">
        <v>653.11</v>
      </c>
      <c r="AQ190" s="228">
        <v>0</v>
      </c>
      <c r="AR190" s="230">
        <v>4086000</v>
      </c>
      <c r="AS190" s="230">
        <v>1310000</v>
      </c>
      <c r="AT190" s="230">
        <v>2776000</v>
      </c>
      <c r="AU190" s="229">
        <v>2.1191</v>
      </c>
      <c r="AV190" s="230">
        <v>3837000</v>
      </c>
      <c r="AW190" s="230">
        <v>1203000</v>
      </c>
      <c r="AX190" s="230">
        <v>2634000</v>
      </c>
      <c r="AY190" s="229">
        <v>2.1894999999999998</v>
      </c>
      <c r="AZ190" s="230">
        <v>229000</v>
      </c>
      <c r="BA190" s="230">
        <v>96000</v>
      </c>
      <c r="BB190" s="230">
        <v>133000</v>
      </c>
      <c r="BC190" s="229">
        <v>1.3854</v>
      </c>
      <c r="BD190" s="230">
        <v>20000</v>
      </c>
      <c r="BE190" s="230">
        <v>11000</v>
      </c>
      <c r="BF190" s="230">
        <v>9000</v>
      </c>
      <c r="BG190" s="229">
        <v>0.81820000000000004</v>
      </c>
      <c r="BH190" s="230">
        <v>10532000</v>
      </c>
      <c r="BI190" s="230">
        <v>2695000</v>
      </c>
      <c r="BJ190" s="230">
        <v>7837000</v>
      </c>
      <c r="BK190" s="229">
        <v>2.9079999999999999</v>
      </c>
      <c r="BL190" s="230">
        <v>4927000</v>
      </c>
      <c r="BM190" s="230">
        <v>1049000</v>
      </c>
      <c r="BN190" s="230">
        <v>3878000</v>
      </c>
      <c r="BO190" s="229">
        <v>3.6968999999999999</v>
      </c>
      <c r="BP190" s="230">
        <v>19545000</v>
      </c>
      <c r="BQ190" s="230">
        <v>5054000</v>
      </c>
      <c r="BR190" s="230">
        <v>14491000</v>
      </c>
      <c r="BS190" s="229">
        <v>2.8672</v>
      </c>
      <c r="BT190" s="230">
        <v>1269674</v>
      </c>
      <c r="BU190" s="230">
        <v>775917</v>
      </c>
      <c r="BV190" s="230">
        <v>493757</v>
      </c>
      <c r="BW190" s="229">
        <v>0.63639999999999997</v>
      </c>
      <c r="BX190" s="230">
        <v>9979000</v>
      </c>
      <c r="BY190" s="230">
        <v>9721000</v>
      </c>
      <c r="BZ190" s="230">
        <v>258000</v>
      </c>
      <c r="CA190" s="229">
        <v>2.6499999999999999E-2</v>
      </c>
      <c r="CB190" s="230">
        <v>9750000</v>
      </c>
      <c r="CC190" s="230">
        <v>9513000</v>
      </c>
      <c r="CD190" s="230">
        <v>237000</v>
      </c>
      <c r="CE190" s="229">
        <v>2.4899999999999999E-2</v>
      </c>
      <c r="CF190" s="230">
        <v>206000</v>
      </c>
      <c r="CG190" s="230">
        <v>183000</v>
      </c>
      <c r="CH190" s="230">
        <v>23000</v>
      </c>
      <c r="CI190" s="229">
        <v>0.12570000000000001</v>
      </c>
      <c r="CJ190" s="230">
        <v>23000</v>
      </c>
      <c r="CK190" s="230">
        <v>25000</v>
      </c>
      <c r="CL190" s="230">
        <v>-2000</v>
      </c>
      <c r="CM190" s="229">
        <v>-0.08</v>
      </c>
      <c r="CN190" s="230">
        <v>2828000</v>
      </c>
      <c r="CO190" s="230">
        <v>2409000</v>
      </c>
      <c r="CP190" s="230">
        <v>419000</v>
      </c>
      <c r="CQ190" s="229">
        <v>0.1739</v>
      </c>
      <c r="CR190" s="230">
        <v>2032000</v>
      </c>
      <c r="CS190" s="230">
        <v>1855000</v>
      </c>
      <c r="CT190" s="230">
        <v>177000</v>
      </c>
      <c r="CU190" s="229">
        <v>9.5399999999999999E-2</v>
      </c>
      <c r="CV190" s="230">
        <v>14839000</v>
      </c>
      <c r="CW190" s="230">
        <v>13985000</v>
      </c>
      <c r="CX190" s="230">
        <v>854000</v>
      </c>
      <c r="CY190" s="229">
        <v>6.1100000000000002E-2</v>
      </c>
      <c r="CZ190" s="228">
        <v>29.37</v>
      </c>
      <c r="DA190" s="228">
        <v>30.88</v>
      </c>
      <c r="DB190" s="228">
        <v>-1.51</v>
      </c>
      <c r="DC190" s="228">
        <v>-1.51</v>
      </c>
      <c r="DD190" s="228">
        <v>33.369999999999997</v>
      </c>
      <c r="DE190" s="228">
        <v>33.340000000000003</v>
      </c>
      <c r="DF190" s="228">
        <v>-4</v>
      </c>
      <c r="DG190" s="228">
        <v>0.03</v>
      </c>
      <c r="DH190" s="228">
        <v>29.09</v>
      </c>
      <c r="DI190" s="228">
        <v>30.54</v>
      </c>
      <c r="DJ190" s="228">
        <v>-1.45</v>
      </c>
      <c r="DK190" s="228">
        <v>-1.45</v>
      </c>
      <c r="DL190" s="228">
        <v>29.95</v>
      </c>
      <c r="DM190" s="228">
        <v>31.75</v>
      </c>
      <c r="DN190" s="228">
        <v>-1.8</v>
      </c>
      <c r="DO190" s="228">
        <v>-1.8</v>
      </c>
      <c r="DP190" s="228">
        <v>0.72</v>
      </c>
      <c r="DQ190" s="228">
        <v>0.77</v>
      </c>
      <c r="DR190" s="228">
        <v>-0.05</v>
      </c>
      <c r="DS190" s="229">
        <v>-6.4899999999999999E-2</v>
      </c>
      <c r="DT190" s="228">
        <v>640</v>
      </c>
      <c r="DU190" s="228">
        <v>640</v>
      </c>
      <c r="DV190" s="228">
        <v>0.47</v>
      </c>
      <c r="DW190" s="228">
        <v>0.39</v>
      </c>
      <c r="DX190" s="228">
        <v>0.08</v>
      </c>
      <c r="DY190" s="229">
        <v>0.2051</v>
      </c>
      <c r="DZ190" s="229">
        <v>2.29E-2</v>
      </c>
      <c r="EA190" s="230">
        <v>208000</v>
      </c>
      <c r="EB190" s="229">
        <v>4.7999999999999996E-3</v>
      </c>
      <c r="EC190" s="229">
        <v>2.29E-2</v>
      </c>
      <c r="ED190" s="228">
        <v>2.7</v>
      </c>
      <c r="EE190" s="229">
        <v>4.1999999999999997E-3</v>
      </c>
      <c r="EF190" s="230">
        <v>481405</v>
      </c>
      <c r="EG190" s="230">
        <v>455988</v>
      </c>
      <c r="EH190" s="229">
        <v>5.57E-2</v>
      </c>
      <c r="EI190" s="229">
        <v>0.37919999999999998</v>
      </c>
      <c r="EJ190" s="231">
        <v>71124.23</v>
      </c>
      <c r="EK190" s="231">
        <v>32011.29</v>
      </c>
      <c r="EL190" s="231">
        <v>26583.03</v>
      </c>
      <c r="EM190" s="231">
        <v>1230</v>
      </c>
      <c r="EN190" s="231">
        <v>129718.55</v>
      </c>
      <c r="EO190" s="231">
        <v>33179.25</v>
      </c>
      <c r="EP190" s="231">
        <v>96539.3</v>
      </c>
      <c r="EQ190" s="229">
        <v>2.9096000000000002</v>
      </c>
      <c r="ER190" s="231">
        <v>18633</v>
      </c>
      <c r="ES190" s="231">
        <v>12782</v>
      </c>
      <c r="ET190" s="231">
        <v>65361</v>
      </c>
      <c r="EU190" s="231">
        <v>28408333</v>
      </c>
      <c r="EV190" s="231">
        <v>96775</v>
      </c>
      <c r="EW190" s="231">
        <v>89644</v>
      </c>
      <c r="EX190" s="231">
        <v>7131</v>
      </c>
      <c r="EY190" s="229">
        <v>7.9500000000000001E-2</v>
      </c>
      <c r="EZ190" s="229">
        <v>0.52229999999999999</v>
      </c>
      <c r="FA190" s="227" t="s">
        <v>555</v>
      </c>
      <c r="FB190" s="161">
        <f t="shared" si="4"/>
        <v>0</v>
      </c>
    </row>
    <row r="191" spans="1:158" ht="17.25" thickBot="1" x14ac:dyDescent="0.3">
      <c r="A191" s="226">
        <v>45940</v>
      </c>
      <c r="B191" s="227" t="s">
        <v>168</v>
      </c>
      <c r="C191" s="227" t="s">
        <v>291</v>
      </c>
      <c r="D191" s="228">
        <v>550</v>
      </c>
      <c r="E191" s="231">
        <v>1132.7</v>
      </c>
      <c r="F191" s="231">
        <v>1124.2</v>
      </c>
      <c r="G191" s="228">
        <v>8.5</v>
      </c>
      <c r="H191" s="229">
        <v>7.6E-3</v>
      </c>
      <c r="I191" s="231">
        <v>1126.5</v>
      </c>
      <c r="J191" s="231">
        <v>1118</v>
      </c>
      <c r="K191" s="228">
        <v>8.5</v>
      </c>
      <c r="L191" s="229">
        <v>7.6E-3</v>
      </c>
      <c r="M191" s="231">
        <v>1132.7</v>
      </c>
      <c r="N191" s="231">
        <v>1124.2</v>
      </c>
      <c r="O191" s="228">
        <v>8.5</v>
      </c>
      <c r="P191" s="229">
        <v>7.6E-3</v>
      </c>
      <c r="Q191" s="231">
        <v>1139.3</v>
      </c>
      <c r="R191" s="231">
        <v>1129.2</v>
      </c>
      <c r="S191" s="228">
        <v>10.1</v>
      </c>
      <c r="T191" s="229">
        <v>8.8999999999999999E-3</v>
      </c>
      <c r="U191" s="231">
        <v>1146.5999999999999</v>
      </c>
      <c r="V191" s="231">
        <v>1135.4000000000001</v>
      </c>
      <c r="W191" s="228">
        <v>11.2</v>
      </c>
      <c r="X191" s="229">
        <v>9.9000000000000008E-3</v>
      </c>
      <c r="Y191" s="228">
        <v>6.2</v>
      </c>
      <c r="Z191" s="228">
        <v>6.2</v>
      </c>
      <c r="AA191" s="228">
        <v>0</v>
      </c>
      <c r="AB191" s="229">
        <v>5.4999999999999997E-3</v>
      </c>
      <c r="AC191" s="228">
        <v>6.2</v>
      </c>
      <c r="AD191" s="228">
        <v>6.2</v>
      </c>
      <c r="AE191" s="228">
        <v>0</v>
      </c>
      <c r="AF191" s="229">
        <v>5.4999999999999997E-3</v>
      </c>
      <c r="AG191" s="228">
        <v>12.8</v>
      </c>
      <c r="AH191" s="228">
        <v>11.2</v>
      </c>
      <c r="AI191" s="228">
        <v>1.6</v>
      </c>
      <c r="AJ191" s="229">
        <v>1.14E-2</v>
      </c>
      <c r="AK191" s="228">
        <v>20.100000000000001</v>
      </c>
      <c r="AL191" s="228">
        <v>17.399999999999999</v>
      </c>
      <c r="AM191" s="228">
        <v>2.7</v>
      </c>
      <c r="AN191" s="229">
        <v>1.78E-2</v>
      </c>
      <c r="AO191" s="231">
        <v>1128.8499999999999</v>
      </c>
      <c r="AP191" s="231">
        <v>1134.5</v>
      </c>
      <c r="AQ191" s="228">
        <v>0</v>
      </c>
      <c r="AR191" s="230">
        <v>1411850</v>
      </c>
      <c r="AS191" s="230">
        <v>1065350</v>
      </c>
      <c r="AT191" s="230">
        <v>346500</v>
      </c>
      <c r="AU191" s="229">
        <v>0.32519999999999999</v>
      </c>
      <c r="AV191" s="230">
        <v>1312300</v>
      </c>
      <c r="AW191" s="230">
        <v>1015850</v>
      </c>
      <c r="AX191" s="230">
        <v>296450</v>
      </c>
      <c r="AY191" s="229">
        <v>0.2918</v>
      </c>
      <c r="AZ191" s="230">
        <v>79750</v>
      </c>
      <c r="BA191" s="230">
        <v>47850</v>
      </c>
      <c r="BB191" s="230">
        <v>31900</v>
      </c>
      <c r="BC191" s="229">
        <v>0.66669999999999996</v>
      </c>
      <c r="BD191" s="230">
        <v>19800</v>
      </c>
      <c r="BE191" s="230">
        <v>1650</v>
      </c>
      <c r="BF191" s="230">
        <v>18150</v>
      </c>
      <c r="BG191" s="229">
        <v>11</v>
      </c>
      <c r="BH191" s="230">
        <v>3451250</v>
      </c>
      <c r="BI191" s="230">
        <v>2070200</v>
      </c>
      <c r="BJ191" s="230">
        <v>1381050</v>
      </c>
      <c r="BK191" s="229">
        <v>0.66710000000000003</v>
      </c>
      <c r="BL191" s="230">
        <v>1122550</v>
      </c>
      <c r="BM191" s="230">
        <v>895400</v>
      </c>
      <c r="BN191" s="230">
        <v>227150</v>
      </c>
      <c r="BO191" s="229">
        <v>0.25369999999999998</v>
      </c>
      <c r="BP191" s="230">
        <v>5985650</v>
      </c>
      <c r="BQ191" s="230">
        <v>4030950</v>
      </c>
      <c r="BR191" s="230">
        <v>1954700</v>
      </c>
      <c r="BS191" s="229">
        <v>0.4849</v>
      </c>
      <c r="BT191" s="230">
        <v>1012166</v>
      </c>
      <c r="BU191" s="230">
        <v>861864</v>
      </c>
      <c r="BV191" s="230">
        <v>150302</v>
      </c>
      <c r="BW191" s="229">
        <v>0.1744</v>
      </c>
      <c r="BX191" s="230">
        <v>16451600</v>
      </c>
      <c r="BY191" s="230">
        <v>16341050</v>
      </c>
      <c r="BZ191" s="230">
        <v>110550</v>
      </c>
      <c r="CA191" s="229">
        <v>6.7999999999999996E-3</v>
      </c>
      <c r="CB191" s="230">
        <v>16266250</v>
      </c>
      <c r="CC191" s="230">
        <v>16200250</v>
      </c>
      <c r="CD191" s="230">
        <v>66000</v>
      </c>
      <c r="CE191" s="229">
        <v>4.1000000000000003E-3</v>
      </c>
      <c r="CF191" s="230">
        <v>161150</v>
      </c>
      <c r="CG191" s="230">
        <v>133100</v>
      </c>
      <c r="CH191" s="230">
        <v>28050</v>
      </c>
      <c r="CI191" s="229">
        <v>0.2107</v>
      </c>
      <c r="CJ191" s="230">
        <v>24200</v>
      </c>
      <c r="CK191" s="230">
        <v>7700</v>
      </c>
      <c r="CL191" s="230">
        <v>16500</v>
      </c>
      <c r="CM191" s="229">
        <v>2.1429</v>
      </c>
      <c r="CN191" s="230">
        <v>3416600</v>
      </c>
      <c r="CO191" s="230">
        <v>3391850</v>
      </c>
      <c r="CP191" s="230">
        <v>24750</v>
      </c>
      <c r="CQ191" s="229">
        <v>7.3000000000000001E-3</v>
      </c>
      <c r="CR191" s="230">
        <v>1455850</v>
      </c>
      <c r="CS191" s="230">
        <v>1408000</v>
      </c>
      <c r="CT191" s="230">
        <v>47850</v>
      </c>
      <c r="CU191" s="229">
        <v>3.4000000000000002E-2</v>
      </c>
      <c r="CV191" s="230">
        <v>21324050</v>
      </c>
      <c r="CW191" s="230">
        <v>21140900</v>
      </c>
      <c r="CX191" s="230">
        <v>183150</v>
      </c>
      <c r="CY191" s="229">
        <v>8.6999999999999994E-3</v>
      </c>
      <c r="CZ191" s="228">
        <v>22.22</v>
      </c>
      <c r="DA191" s="228">
        <v>23.04</v>
      </c>
      <c r="DB191" s="228">
        <v>-0.82</v>
      </c>
      <c r="DC191" s="228">
        <v>-0.82</v>
      </c>
      <c r="DD191" s="228">
        <v>26.9</v>
      </c>
      <c r="DE191" s="228">
        <v>26.94</v>
      </c>
      <c r="DF191" s="228">
        <v>-4.68</v>
      </c>
      <c r="DG191" s="228">
        <v>-0.04</v>
      </c>
      <c r="DH191" s="228">
        <v>22.13</v>
      </c>
      <c r="DI191" s="228">
        <v>23.01</v>
      </c>
      <c r="DJ191" s="228">
        <v>-0.88</v>
      </c>
      <c r="DK191" s="228">
        <v>-0.88</v>
      </c>
      <c r="DL191" s="228">
        <v>22.5</v>
      </c>
      <c r="DM191" s="228">
        <v>23.11</v>
      </c>
      <c r="DN191" s="228">
        <v>-0.61</v>
      </c>
      <c r="DO191" s="228">
        <v>-0.61</v>
      </c>
      <c r="DP191" s="228">
        <v>0.43</v>
      </c>
      <c r="DQ191" s="228">
        <v>0.42</v>
      </c>
      <c r="DR191" s="228">
        <v>0.01</v>
      </c>
      <c r="DS191" s="229">
        <v>2.3800000000000002E-2</v>
      </c>
      <c r="DT191" s="231">
        <v>1240</v>
      </c>
      <c r="DU191" s="231">
        <v>1100</v>
      </c>
      <c r="DV191" s="228">
        <v>0.33</v>
      </c>
      <c r="DW191" s="228">
        <v>0.43</v>
      </c>
      <c r="DX191" s="228">
        <v>-0.1</v>
      </c>
      <c r="DY191" s="229">
        <v>-0.2326</v>
      </c>
      <c r="DZ191" s="229">
        <v>1.1299999999999999E-2</v>
      </c>
      <c r="EA191" s="230">
        <v>140800</v>
      </c>
      <c r="EB191" s="229">
        <v>5.7999999999999996E-3</v>
      </c>
      <c r="EC191" s="229">
        <v>1.1299999999999999E-2</v>
      </c>
      <c r="ED191" s="228">
        <v>5.65</v>
      </c>
      <c r="EE191" s="229">
        <v>5.0000000000000001E-3</v>
      </c>
      <c r="EF191" s="230">
        <v>636361</v>
      </c>
      <c r="EG191" s="230">
        <v>536241</v>
      </c>
      <c r="EH191" s="229">
        <v>0.1867</v>
      </c>
      <c r="EI191" s="229">
        <v>0.62870000000000004</v>
      </c>
      <c r="EJ191" s="231">
        <v>40142.03</v>
      </c>
      <c r="EK191" s="231">
        <v>12493.23</v>
      </c>
      <c r="EL191" s="231">
        <v>15945.37</v>
      </c>
      <c r="EM191" s="231">
        <v>2563</v>
      </c>
      <c r="EN191" s="231">
        <v>68580.63</v>
      </c>
      <c r="EO191" s="231">
        <v>46198.5</v>
      </c>
      <c r="EP191" s="231">
        <v>22382.13</v>
      </c>
      <c r="EQ191" s="229">
        <v>0.48449999999999999</v>
      </c>
      <c r="ER191" s="231">
        <v>40802</v>
      </c>
      <c r="ES191" s="231">
        <v>15741</v>
      </c>
      <c r="ET191" s="231">
        <v>186361</v>
      </c>
      <c r="EU191" s="231">
        <v>65471528</v>
      </c>
      <c r="EV191" s="231">
        <v>242904</v>
      </c>
      <c r="EW191" s="231">
        <v>239453</v>
      </c>
      <c r="EX191" s="231">
        <v>3451</v>
      </c>
      <c r="EY191" s="229">
        <v>1.44E-2</v>
      </c>
      <c r="EZ191" s="229">
        <v>0.32569999999999999</v>
      </c>
      <c r="FA191" s="227" t="s">
        <v>555</v>
      </c>
      <c r="FB191" s="161">
        <f t="shared" si="4"/>
        <v>0</v>
      </c>
    </row>
    <row r="192" spans="1:158" ht="17.25" thickBot="1" x14ac:dyDescent="0.3">
      <c r="A192" s="226">
        <v>45940</v>
      </c>
      <c r="B192" s="227" t="s">
        <v>221</v>
      </c>
      <c r="C192" s="227" t="s">
        <v>605</v>
      </c>
      <c r="D192" s="228">
        <v>100</v>
      </c>
      <c r="E192" s="231">
        <v>5387.5</v>
      </c>
      <c r="F192" s="231">
        <v>5578</v>
      </c>
      <c r="G192" s="228">
        <v>-190.5</v>
      </c>
      <c r="H192" s="229">
        <v>-3.4200000000000001E-2</v>
      </c>
      <c r="I192" s="231">
        <v>5407.5</v>
      </c>
      <c r="J192" s="231">
        <v>5573</v>
      </c>
      <c r="K192" s="228">
        <v>-165.5</v>
      </c>
      <c r="L192" s="229">
        <v>-2.9700000000000001E-2</v>
      </c>
      <c r="M192" s="231">
        <v>5387.5</v>
      </c>
      <c r="N192" s="231">
        <v>5578</v>
      </c>
      <c r="O192" s="228">
        <v>-190.5</v>
      </c>
      <c r="P192" s="229">
        <v>-3.4200000000000001E-2</v>
      </c>
      <c r="Q192" s="231">
        <v>5354</v>
      </c>
      <c r="R192" s="231">
        <v>5549</v>
      </c>
      <c r="S192" s="228">
        <v>-195</v>
      </c>
      <c r="T192" s="229">
        <v>-3.5099999999999999E-2</v>
      </c>
      <c r="U192" s="231">
        <v>5325</v>
      </c>
      <c r="V192" s="231">
        <v>5515.5</v>
      </c>
      <c r="W192" s="228">
        <v>-190.5</v>
      </c>
      <c r="X192" s="229">
        <v>-3.4500000000000003E-2</v>
      </c>
      <c r="Y192" s="228">
        <v>-20</v>
      </c>
      <c r="Z192" s="228">
        <v>5</v>
      </c>
      <c r="AA192" s="228">
        <v>-25</v>
      </c>
      <c r="AB192" s="229">
        <v>-3.7000000000000002E-3</v>
      </c>
      <c r="AC192" s="228">
        <v>-20</v>
      </c>
      <c r="AD192" s="228">
        <v>5</v>
      </c>
      <c r="AE192" s="228">
        <v>-25</v>
      </c>
      <c r="AF192" s="229">
        <v>-3.7000000000000002E-3</v>
      </c>
      <c r="AG192" s="228">
        <v>-53.5</v>
      </c>
      <c r="AH192" s="228">
        <v>-24</v>
      </c>
      <c r="AI192" s="228">
        <v>-29.5</v>
      </c>
      <c r="AJ192" s="229">
        <v>-9.9000000000000008E-3</v>
      </c>
      <c r="AK192" s="228">
        <v>-82.5</v>
      </c>
      <c r="AL192" s="228">
        <v>-57.5</v>
      </c>
      <c r="AM192" s="228">
        <v>-25</v>
      </c>
      <c r="AN192" s="229">
        <v>-1.5299999999999999E-2</v>
      </c>
      <c r="AO192" s="231">
        <v>5453.45</v>
      </c>
      <c r="AP192" s="231">
        <v>5388.2</v>
      </c>
      <c r="AQ192" s="228">
        <v>0</v>
      </c>
      <c r="AR192" s="230">
        <v>2000900</v>
      </c>
      <c r="AS192" s="230">
        <v>785000</v>
      </c>
      <c r="AT192" s="230">
        <v>1215900</v>
      </c>
      <c r="AU192" s="229">
        <v>1.5488999999999999</v>
      </c>
      <c r="AV192" s="230">
        <v>1650400</v>
      </c>
      <c r="AW192" s="230">
        <v>656100</v>
      </c>
      <c r="AX192" s="230">
        <v>994300</v>
      </c>
      <c r="AY192" s="229">
        <v>1.5155000000000001</v>
      </c>
      <c r="AZ192" s="230">
        <v>330000</v>
      </c>
      <c r="BA192" s="230">
        <v>123300</v>
      </c>
      <c r="BB192" s="230">
        <v>206700</v>
      </c>
      <c r="BC192" s="229">
        <v>1.6763999999999999</v>
      </c>
      <c r="BD192" s="230">
        <v>20500</v>
      </c>
      <c r="BE192" s="230">
        <v>5600</v>
      </c>
      <c r="BF192" s="230">
        <v>14900</v>
      </c>
      <c r="BG192" s="229">
        <v>2.6606999999999998</v>
      </c>
      <c r="BH192" s="230">
        <v>9321800</v>
      </c>
      <c r="BI192" s="230">
        <v>4500000</v>
      </c>
      <c r="BJ192" s="230">
        <v>4821800</v>
      </c>
      <c r="BK192" s="229">
        <v>1.0714999999999999</v>
      </c>
      <c r="BL192" s="230">
        <v>5026600</v>
      </c>
      <c r="BM192" s="230">
        <v>1840000</v>
      </c>
      <c r="BN192" s="230">
        <v>3186600</v>
      </c>
      <c r="BO192" s="229">
        <v>1.7318</v>
      </c>
      <c r="BP192" s="230">
        <v>16349300</v>
      </c>
      <c r="BQ192" s="230">
        <v>7125000</v>
      </c>
      <c r="BR192" s="230">
        <v>9224300</v>
      </c>
      <c r="BS192" s="229">
        <v>1.2946</v>
      </c>
      <c r="BT192" s="230">
        <v>838003</v>
      </c>
      <c r="BU192" s="230">
        <v>379481</v>
      </c>
      <c r="BV192" s="230">
        <v>458522</v>
      </c>
      <c r="BW192" s="229">
        <v>1.2082999999999999</v>
      </c>
      <c r="BX192" s="230">
        <v>3610200</v>
      </c>
      <c r="BY192" s="230">
        <v>2933400</v>
      </c>
      <c r="BZ192" s="230">
        <v>676800</v>
      </c>
      <c r="CA192" s="229">
        <v>0.23069999999999999</v>
      </c>
      <c r="CB192" s="230">
        <v>3173100</v>
      </c>
      <c r="CC192" s="230">
        <v>2728900</v>
      </c>
      <c r="CD192" s="230">
        <v>444200</v>
      </c>
      <c r="CE192" s="229">
        <v>0.1628</v>
      </c>
      <c r="CF192" s="230">
        <v>415800</v>
      </c>
      <c r="CG192" s="230">
        <v>195800</v>
      </c>
      <c r="CH192" s="230">
        <v>220000</v>
      </c>
      <c r="CI192" s="229">
        <v>1.1235999999999999</v>
      </c>
      <c r="CJ192" s="230">
        <v>21300</v>
      </c>
      <c r="CK192" s="230">
        <v>8700</v>
      </c>
      <c r="CL192" s="230">
        <v>12600</v>
      </c>
      <c r="CM192" s="229">
        <v>1.4482999999999999</v>
      </c>
      <c r="CN192" s="230">
        <v>2021200</v>
      </c>
      <c r="CO192" s="230">
        <v>1265700</v>
      </c>
      <c r="CP192" s="230">
        <v>755500</v>
      </c>
      <c r="CQ192" s="229">
        <v>0.59689999999999999</v>
      </c>
      <c r="CR192" s="230">
        <v>884100</v>
      </c>
      <c r="CS192" s="230">
        <v>822500</v>
      </c>
      <c r="CT192" s="230">
        <v>61600</v>
      </c>
      <c r="CU192" s="229">
        <v>7.4899999999999994E-2</v>
      </c>
      <c r="CV192" s="230">
        <v>6515500</v>
      </c>
      <c r="CW192" s="230">
        <v>5021600</v>
      </c>
      <c r="CX192" s="230">
        <v>1493900</v>
      </c>
      <c r="CY192" s="229">
        <v>0.29749999999999999</v>
      </c>
      <c r="CZ192" s="228">
        <v>30.46</v>
      </c>
      <c r="DA192" s="228">
        <v>38.36</v>
      </c>
      <c r="DB192" s="228">
        <v>-7.9</v>
      </c>
      <c r="DC192" s="228">
        <v>-7.9</v>
      </c>
      <c r="DD192" s="228">
        <v>36.89</v>
      </c>
      <c r="DE192" s="228">
        <v>36.68</v>
      </c>
      <c r="DF192" s="228">
        <v>-6.43</v>
      </c>
      <c r="DG192" s="228">
        <v>0.21</v>
      </c>
      <c r="DH192" s="228">
        <v>30.95</v>
      </c>
      <c r="DI192" s="228">
        <v>37.93</v>
      </c>
      <c r="DJ192" s="228">
        <v>-6.98</v>
      </c>
      <c r="DK192" s="228">
        <v>-6.98</v>
      </c>
      <c r="DL192" s="228">
        <v>29.55</v>
      </c>
      <c r="DM192" s="228">
        <v>39.4</v>
      </c>
      <c r="DN192" s="228">
        <v>-9.85</v>
      </c>
      <c r="DO192" s="228">
        <v>-9.85</v>
      </c>
      <c r="DP192" s="228">
        <v>0.44</v>
      </c>
      <c r="DQ192" s="228">
        <v>0.65</v>
      </c>
      <c r="DR192" s="228">
        <v>-0.21</v>
      </c>
      <c r="DS192" s="229">
        <v>-0.3231</v>
      </c>
      <c r="DT192" s="231">
        <v>5500</v>
      </c>
      <c r="DU192" s="231">
        <v>5000</v>
      </c>
      <c r="DV192" s="228">
        <v>0.54</v>
      </c>
      <c r="DW192" s="228">
        <v>0.41</v>
      </c>
      <c r="DX192" s="228">
        <v>0.13</v>
      </c>
      <c r="DY192" s="229">
        <v>0.31709999999999999</v>
      </c>
      <c r="DZ192" s="229">
        <v>0.1211</v>
      </c>
      <c r="EA192" s="230">
        <v>204500</v>
      </c>
      <c r="EB192" s="229">
        <v>-6.1999999999999998E-3</v>
      </c>
      <c r="EC192" s="229">
        <v>0.1211</v>
      </c>
      <c r="ED192" s="228">
        <v>-65.25</v>
      </c>
      <c r="EE192" s="229">
        <v>-1.2E-2</v>
      </c>
      <c r="EF192" s="230">
        <v>220131</v>
      </c>
      <c r="EG192" s="230">
        <v>116792</v>
      </c>
      <c r="EH192" s="229">
        <v>0.88480000000000003</v>
      </c>
      <c r="EI192" s="229">
        <v>0.26269999999999999</v>
      </c>
      <c r="EJ192" s="231">
        <v>541968.59</v>
      </c>
      <c r="EK192" s="231">
        <v>267895.90000000002</v>
      </c>
      <c r="EL192" s="231">
        <v>108886.43</v>
      </c>
      <c r="EM192" s="231">
        <v>5679</v>
      </c>
      <c r="EN192" s="231">
        <v>918750.92</v>
      </c>
      <c r="EO192" s="231">
        <v>406579.73</v>
      </c>
      <c r="EP192" s="231">
        <v>512171.19</v>
      </c>
      <c r="EQ192" s="229">
        <v>1.2597</v>
      </c>
      <c r="ER192" s="231">
        <v>116217</v>
      </c>
      <c r="ES192" s="231">
        <v>46072</v>
      </c>
      <c r="ET192" s="231">
        <v>194347</v>
      </c>
      <c r="EU192" s="231">
        <v>4309631</v>
      </c>
      <c r="EV192" s="231">
        <v>356636</v>
      </c>
      <c r="EW192" s="231">
        <v>280587</v>
      </c>
      <c r="EX192" s="231">
        <v>76049</v>
      </c>
      <c r="EY192" s="229">
        <v>0.27100000000000002</v>
      </c>
      <c r="EZ192" s="229">
        <v>1.5118</v>
      </c>
      <c r="FA192" s="227" t="s">
        <v>567</v>
      </c>
      <c r="FB192" s="161">
        <f t="shared" si="4"/>
        <v>0</v>
      </c>
    </row>
    <row r="193" spans="1:158" ht="17.25" thickBot="1" x14ac:dyDescent="0.3">
      <c r="A193" s="226">
        <v>45940</v>
      </c>
      <c r="B193" s="227" t="s">
        <v>162</v>
      </c>
      <c r="C193" s="227" t="s">
        <v>292</v>
      </c>
      <c r="D193" s="228">
        <v>800</v>
      </c>
      <c r="E193" s="228">
        <v>679.4</v>
      </c>
      <c r="F193" s="228">
        <v>683.15</v>
      </c>
      <c r="G193" s="228">
        <v>-3.75</v>
      </c>
      <c r="H193" s="229">
        <v>-5.4999999999999997E-3</v>
      </c>
      <c r="I193" s="228">
        <v>678.95</v>
      </c>
      <c r="J193" s="228">
        <v>681.1</v>
      </c>
      <c r="K193" s="228">
        <v>-2.15</v>
      </c>
      <c r="L193" s="229">
        <v>-3.2000000000000002E-3</v>
      </c>
      <c r="M193" s="228">
        <v>679.4</v>
      </c>
      <c r="N193" s="228">
        <v>683.15</v>
      </c>
      <c r="O193" s="228">
        <v>-3.75</v>
      </c>
      <c r="P193" s="229">
        <v>-5.4999999999999997E-3</v>
      </c>
      <c r="Q193" s="228">
        <v>679.1</v>
      </c>
      <c r="R193" s="228">
        <v>682.45</v>
      </c>
      <c r="S193" s="228">
        <v>-3.35</v>
      </c>
      <c r="T193" s="229">
        <v>-4.8999999999999998E-3</v>
      </c>
      <c r="U193" s="228">
        <v>679.05</v>
      </c>
      <c r="V193" s="228">
        <v>683.35</v>
      </c>
      <c r="W193" s="228">
        <v>-4.3</v>
      </c>
      <c r="X193" s="229">
        <v>-6.3E-3</v>
      </c>
      <c r="Y193" s="228">
        <v>0.45</v>
      </c>
      <c r="Z193" s="228">
        <v>2.0499999999999998</v>
      </c>
      <c r="AA193" s="228">
        <v>-1.6</v>
      </c>
      <c r="AB193" s="229">
        <v>6.9999999999999999E-4</v>
      </c>
      <c r="AC193" s="228">
        <v>0.45</v>
      </c>
      <c r="AD193" s="228">
        <v>2.0499999999999998</v>
      </c>
      <c r="AE193" s="228">
        <v>-1.6</v>
      </c>
      <c r="AF193" s="229">
        <v>6.9999999999999999E-4</v>
      </c>
      <c r="AG193" s="228">
        <v>0.15</v>
      </c>
      <c r="AH193" s="228">
        <v>1.35</v>
      </c>
      <c r="AI193" s="228">
        <v>-1.2</v>
      </c>
      <c r="AJ193" s="229">
        <v>2.0000000000000001E-4</v>
      </c>
      <c r="AK193" s="228">
        <v>0.1</v>
      </c>
      <c r="AL193" s="228">
        <v>2.25</v>
      </c>
      <c r="AM193" s="228">
        <v>-2.15</v>
      </c>
      <c r="AN193" s="229">
        <v>1E-4</v>
      </c>
      <c r="AO193" s="228">
        <v>680.6</v>
      </c>
      <c r="AP193" s="228">
        <v>680.73</v>
      </c>
      <c r="AQ193" s="228">
        <v>0</v>
      </c>
      <c r="AR193" s="230">
        <v>21734400</v>
      </c>
      <c r="AS193" s="230">
        <v>23026400</v>
      </c>
      <c r="AT193" s="230">
        <v>-1292000</v>
      </c>
      <c r="AU193" s="229">
        <v>-5.6099999999999997E-2</v>
      </c>
      <c r="AV193" s="230">
        <v>18585600</v>
      </c>
      <c r="AW193" s="230">
        <v>20315200</v>
      </c>
      <c r="AX193" s="230">
        <v>-1729600</v>
      </c>
      <c r="AY193" s="229">
        <v>-8.5099999999999995E-2</v>
      </c>
      <c r="AZ193" s="230">
        <v>2608800</v>
      </c>
      <c r="BA193" s="230">
        <v>2172000</v>
      </c>
      <c r="BB193" s="230">
        <v>436800</v>
      </c>
      <c r="BC193" s="229">
        <v>0.2011</v>
      </c>
      <c r="BD193" s="230">
        <v>540000</v>
      </c>
      <c r="BE193" s="230">
        <v>539200</v>
      </c>
      <c r="BF193" s="228">
        <v>800</v>
      </c>
      <c r="BG193" s="229">
        <v>1.5E-3</v>
      </c>
      <c r="BH193" s="230">
        <v>284932000</v>
      </c>
      <c r="BI193" s="230">
        <v>302617600</v>
      </c>
      <c r="BJ193" s="230">
        <v>-17685600</v>
      </c>
      <c r="BK193" s="229">
        <v>-5.8400000000000001E-2</v>
      </c>
      <c r="BL193" s="230">
        <v>122792800</v>
      </c>
      <c r="BM193" s="230">
        <v>129611200</v>
      </c>
      <c r="BN193" s="230">
        <v>-6818400</v>
      </c>
      <c r="BO193" s="229">
        <v>-5.2600000000000001E-2</v>
      </c>
      <c r="BP193" s="230">
        <v>429459200</v>
      </c>
      <c r="BQ193" s="230">
        <v>455255200</v>
      </c>
      <c r="BR193" s="230">
        <v>-25796000</v>
      </c>
      <c r="BS193" s="229">
        <v>-5.67E-2</v>
      </c>
      <c r="BT193" s="230">
        <v>16776518</v>
      </c>
      <c r="BU193" s="230">
        <v>17214521</v>
      </c>
      <c r="BV193" s="230">
        <v>-438003</v>
      </c>
      <c r="BW193" s="229">
        <v>-2.5399999999999999E-2</v>
      </c>
      <c r="BX193" s="230">
        <v>44596800</v>
      </c>
      <c r="BY193" s="230">
        <v>50587200</v>
      </c>
      <c r="BZ193" s="230">
        <v>-5990400</v>
      </c>
      <c r="CA193" s="229">
        <v>-0.11840000000000001</v>
      </c>
      <c r="CB193" s="230">
        <v>39032800</v>
      </c>
      <c r="CC193" s="230">
        <v>44559200</v>
      </c>
      <c r="CD193" s="230">
        <v>-5526400</v>
      </c>
      <c r="CE193" s="229">
        <v>-0.124</v>
      </c>
      <c r="CF193" s="230">
        <v>4788800</v>
      </c>
      <c r="CG193" s="230">
        <v>5293600</v>
      </c>
      <c r="CH193" s="230">
        <v>-504800</v>
      </c>
      <c r="CI193" s="229">
        <v>-9.5399999999999999E-2</v>
      </c>
      <c r="CJ193" s="230">
        <v>775200</v>
      </c>
      <c r="CK193" s="230">
        <v>734400</v>
      </c>
      <c r="CL193" s="230">
        <v>40800</v>
      </c>
      <c r="CM193" s="229">
        <v>5.5599999999999997E-2</v>
      </c>
      <c r="CN193" s="230">
        <v>120469600</v>
      </c>
      <c r="CO193" s="230">
        <v>131822400</v>
      </c>
      <c r="CP193" s="230">
        <v>-11352800</v>
      </c>
      <c r="CQ193" s="229">
        <v>-8.6099999999999996E-2</v>
      </c>
      <c r="CR193" s="230">
        <v>36081600</v>
      </c>
      <c r="CS193" s="230">
        <v>40965600</v>
      </c>
      <c r="CT193" s="230">
        <v>-4884000</v>
      </c>
      <c r="CU193" s="229">
        <v>-0.1192</v>
      </c>
      <c r="CV193" s="230">
        <v>201148000</v>
      </c>
      <c r="CW193" s="230">
        <v>223375200</v>
      </c>
      <c r="CX193" s="230">
        <v>-22227200</v>
      </c>
      <c r="CY193" s="229">
        <v>-9.9500000000000005E-2</v>
      </c>
      <c r="CZ193" s="228">
        <v>16.93</v>
      </c>
      <c r="DA193" s="228">
        <v>17.66</v>
      </c>
      <c r="DB193" s="228">
        <v>-0.73</v>
      </c>
      <c r="DC193" s="228">
        <v>-0.73</v>
      </c>
      <c r="DD193" s="228">
        <v>35.78</v>
      </c>
      <c r="DE193" s="228">
        <v>35.869999999999997</v>
      </c>
      <c r="DF193" s="228">
        <v>-18.850000000000001</v>
      </c>
      <c r="DG193" s="228">
        <v>-0.09</v>
      </c>
      <c r="DH193" s="228">
        <v>18.14</v>
      </c>
      <c r="DI193" s="228">
        <v>18.510000000000002</v>
      </c>
      <c r="DJ193" s="228">
        <v>-0.37</v>
      </c>
      <c r="DK193" s="228">
        <v>-0.37</v>
      </c>
      <c r="DL193" s="228">
        <v>14.11</v>
      </c>
      <c r="DM193" s="228">
        <v>15.66</v>
      </c>
      <c r="DN193" s="228">
        <v>-1.55</v>
      </c>
      <c r="DO193" s="228">
        <v>-1.55</v>
      </c>
      <c r="DP193" s="228">
        <v>0.3</v>
      </c>
      <c r="DQ193" s="228">
        <v>0.31</v>
      </c>
      <c r="DR193" s="228">
        <v>-0.01</v>
      </c>
      <c r="DS193" s="229">
        <v>-3.2300000000000002E-2</v>
      </c>
      <c r="DT193" s="228">
        <v>700</v>
      </c>
      <c r="DU193" s="228">
        <v>650</v>
      </c>
      <c r="DV193" s="228">
        <v>0.43</v>
      </c>
      <c r="DW193" s="228">
        <v>0.43</v>
      </c>
      <c r="DX193" s="228">
        <v>0</v>
      </c>
      <c r="DY193" s="229">
        <v>0</v>
      </c>
      <c r="DZ193" s="229">
        <v>0.12479999999999999</v>
      </c>
      <c r="EA193" s="230">
        <v>6028000</v>
      </c>
      <c r="EB193" s="229">
        <v>-4.0000000000000002E-4</v>
      </c>
      <c r="EC193" s="229">
        <v>0.12479999999999999</v>
      </c>
      <c r="ED193" s="228">
        <v>0.13</v>
      </c>
      <c r="EE193" s="229">
        <v>2.0000000000000001E-4</v>
      </c>
      <c r="EF193" s="230">
        <v>8958681</v>
      </c>
      <c r="EG193" s="230">
        <v>8043617</v>
      </c>
      <c r="EH193" s="229">
        <v>0.1138</v>
      </c>
      <c r="EI193" s="229">
        <v>0.53400000000000003</v>
      </c>
      <c r="EJ193" s="231">
        <v>2061865.29</v>
      </c>
      <c r="EK193" s="231">
        <v>819373.16</v>
      </c>
      <c r="EL193" s="231">
        <v>147930.18</v>
      </c>
      <c r="EM193" s="231">
        <v>27344</v>
      </c>
      <c r="EN193" s="231">
        <v>3029168.63</v>
      </c>
      <c r="EO193" s="231">
        <v>3204014.67</v>
      </c>
      <c r="EP193" s="231">
        <v>-174846.04</v>
      </c>
      <c r="EQ193" s="229">
        <v>-5.4600000000000003E-2</v>
      </c>
      <c r="ER193" s="231">
        <v>887471</v>
      </c>
      <c r="ES193" s="231">
        <v>241921</v>
      </c>
      <c r="ET193" s="231">
        <v>302974</v>
      </c>
      <c r="EU193" s="231">
        <v>284575867</v>
      </c>
      <c r="EV193" s="231">
        <v>1432366</v>
      </c>
      <c r="EW193" s="231">
        <v>1593546</v>
      </c>
      <c r="EX193" s="231">
        <v>-161180</v>
      </c>
      <c r="EY193" s="229">
        <v>-0.1011</v>
      </c>
      <c r="EZ193" s="229">
        <v>0.70679999999999998</v>
      </c>
      <c r="FA193" s="227" t="s">
        <v>568</v>
      </c>
      <c r="FB193" s="161">
        <f t="shared" si="4"/>
        <v>0</v>
      </c>
    </row>
    <row r="194" spans="1:158" ht="17.25" thickBot="1" x14ac:dyDescent="0.3">
      <c r="A194" s="226">
        <v>45940</v>
      </c>
      <c r="B194" s="227" t="s">
        <v>161</v>
      </c>
      <c r="C194" s="227" t="s">
        <v>293</v>
      </c>
      <c r="D194" s="228">
        <v>1450</v>
      </c>
      <c r="E194" s="228">
        <v>392.25</v>
      </c>
      <c r="F194" s="228">
        <v>390.35</v>
      </c>
      <c r="G194" s="228">
        <v>1.9</v>
      </c>
      <c r="H194" s="229">
        <v>4.8999999999999998E-3</v>
      </c>
      <c r="I194" s="228">
        <v>390.1</v>
      </c>
      <c r="J194" s="228">
        <v>388.2</v>
      </c>
      <c r="K194" s="228">
        <v>1.9</v>
      </c>
      <c r="L194" s="229">
        <v>4.8999999999999998E-3</v>
      </c>
      <c r="M194" s="228">
        <v>392.25</v>
      </c>
      <c r="N194" s="228">
        <v>390.35</v>
      </c>
      <c r="O194" s="228">
        <v>1.9</v>
      </c>
      <c r="P194" s="229">
        <v>4.8999999999999998E-3</v>
      </c>
      <c r="Q194" s="228">
        <v>394.45</v>
      </c>
      <c r="R194" s="228">
        <v>392.45</v>
      </c>
      <c r="S194" s="228">
        <v>2</v>
      </c>
      <c r="T194" s="229">
        <v>5.1000000000000004E-3</v>
      </c>
      <c r="U194" s="228">
        <v>396.95</v>
      </c>
      <c r="V194" s="228">
        <v>394.9</v>
      </c>
      <c r="W194" s="228">
        <v>2.0499999999999998</v>
      </c>
      <c r="X194" s="229">
        <v>5.1999999999999998E-3</v>
      </c>
      <c r="Y194" s="228">
        <v>2.15</v>
      </c>
      <c r="Z194" s="228">
        <v>2.15</v>
      </c>
      <c r="AA194" s="228">
        <v>0</v>
      </c>
      <c r="AB194" s="229">
        <v>5.4999999999999997E-3</v>
      </c>
      <c r="AC194" s="228">
        <v>2.15</v>
      </c>
      <c r="AD194" s="228">
        <v>2.15</v>
      </c>
      <c r="AE194" s="228">
        <v>0</v>
      </c>
      <c r="AF194" s="229">
        <v>5.4999999999999997E-3</v>
      </c>
      <c r="AG194" s="228">
        <v>4.3499999999999996</v>
      </c>
      <c r="AH194" s="228">
        <v>4.25</v>
      </c>
      <c r="AI194" s="228">
        <v>0.1</v>
      </c>
      <c r="AJ194" s="229">
        <v>1.12E-2</v>
      </c>
      <c r="AK194" s="228">
        <v>6.85</v>
      </c>
      <c r="AL194" s="228">
        <v>6.7</v>
      </c>
      <c r="AM194" s="228">
        <v>0.15</v>
      </c>
      <c r="AN194" s="229">
        <v>1.7600000000000001E-2</v>
      </c>
      <c r="AO194" s="228">
        <v>395.15</v>
      </c>
      <c r="AP194" s="228">
        <v>397.2</v>
      </c>
      <c r="AQ194" s="228">
        <v>0</v>
      </c>
      <c r="AR194" s="230">
        <v>13319700</v>
      </c>
      <c r="AS194" s="230">
        <v>7263050</v>
      </c>
      <c r="AT194" s="230">
        <v>6056650</v>
      </c>
      <c r="AU194" s="229">
        <v>0.83389999999999997</v>
      </c>
      <c r="AV194" s="230">
        <v>12078500</v>
      </c>
      <c r="AW194" s="230">
        <v>6562700</v>
      </c>
      <c r="AX194" s="230">
        <v>5515800</v>
      </c>
      <c r="AY194" s="229">
        <v>0.84050000000000002</v>
      </c>
      <c r="AZ194" s="230">
        <v>1112150</v>
      </c>
      <c r="BA194" s="230">
        <v>651050</v>
      </c>
      <c r="BB194" s="230">
        <v>461100</v>
      </c>
      <c r="BC194" s="229">
        <v>0.70820000000000005</v>
      </c>
      <c r="BD194" s="230">
        <v>129050</v>
      </c>
      <c r="BE194" s="230">
        <v>49300</v>
      </c>
      <c r="BF194" s="230">
        <v>79750</v>
      </c>
      <c r="BG194" s="229">
        <v>1.6175999999999999</v>
      </c>
      <c r="BH194" s="230">
        <v>48124050</v>
      </c>
      <c r="BI194" s="230">
        <v>24200500</v>
      </c>
      <c r="BJ194" s="230">
        <v>23923550</v>
      </c>
      <c r="BK194" s="229">
        <v>0.98860000000000003</v>
      </c>
      <c r="BL194" s="230">
        <v>23440700</v>
      </c>
      <c r="BM194" s="230">
        <v>14028750</v>
      </c>
      <c r="BN194" s="230">
        <v>9411950</v>
      </c>
      <c r="BO194" s="229">
        <v>0.67090000000000005</v>
      </c>
      <c r="BP194" s="230">
        <v>84884450</v>
      </c>
      <c r="BQ194" s="230">
        <v>45492300</v>
      </c>
      <c r="BR194" s="230">
        <v>39392150</v>
      </c>
      <c r="BS194" s="229">
        <v>0.8659</v>
      </c>
      <c r="BT194" s="230">
        <v>8666933</v>
      </c>
      <c r="BU194" s="230">
        <v>5684725</v>
      </c>
      <c r="BV194" s="230">
        <v>2982208</v>
      </c>
      <c r="BW194" s="229">
        <v>0.52459999999999996</v>
      </c>
      <c r="BX194" s="230">
        <v>61790300</v>
      </c>
      <c r="BY194" s="230">
        <v>61500300</v>
      </c>
      <c r="BZ194" s="230">
        <v>290000</v>
      </c>
      <c r="CA194" s="229">
        <v>4.7000000000000002E-3</v>
      </c>
      <c r="CB194" s="230">
        <v>60021300</v>
      </c>
      <c r="CC194" s="230">
        <v>59866150</v>
      </c>
      <c r="CD194" s="230">
        <v>155150</v>
      </c>
      <c r="CE194" s="229">
        <v>2.5999999999999999E-3</v>
      </c>
      <c r="CF194" s="230">
        <v>1600800</v>
      </c>
      <c r="CG194" s="230">
        <v>1509450</v>
      </c>
      <c r="CH194" s="230">
        <v>91350</v>
      </c>
      <c r="CI194" s="229">
        <v>6.0499999999999998E-2</v>
      </c>
      <c r="CJ194" s="230">
        <v>168200</v>
      </c>
      <c r="CK194" s="230">
        <v>124700</v>
      </c>
      <c r="CL194" s="230">
        <v>43500</v>
      </c>
      <c r="CM194" s="229">
        <v>0.3488</v>
      </c>
      <c r="CN194" s="230">
        <v>26923600</v>
      </c>
      <c r="CO194" s="230">
        <v>26900400</v>
      </c>
      <c r="CP194" s="230">
        <v>23200</v>
      </c>
      <c r="CQ194" s="229">
        <v>8.9999999999999998E-4</v>
      </c>
      <c r="CR194" s="230">
        <v>21700700</v>
      </c>
      <c r="CS194" s="230">
        <v>21570200</v>
      </c>
      <c r="CT194" s="230">
        <v>130500</v>
      </c>
      <c r="CU194" s="229">
        <v>6.1000000000000004E-3</v>
      </c>
      <c r="CV194" s="230">
        <v>110414600</v>
      </c>
      <c r="CW194" s="230">
        <v>109970900</v>
      </c>
      <c r="CX194" s="230">
        <v>443700</v>
      </c>
      <c r="CY194" s="229">
        <v>4.0000000000000001E-3</v>
      </c>
      <c r="CZ194" s="228">
        <v>20.85</v>
      </c>
      <c r="DA194" s="228">
        <v>21.43</v>
      </c>
      <c r="DB194" s="228">
        <v>-0.57999999999999996</v>
      </c>
      <c r="DC194" s="228">
        <v>-0.57999999999999996</v>
      </c>
      <c r="DD194" s="228">
        <v>33.51</v>
      </c>
      <c r="DE194" s="228">
        <v>33.590000000000003</v>
      </c>
      <c r="DF194" s="228">
        <v>-12.66</v>
      </c>
      <c r="DG194" s="228">
        <v>-0.08</v>
      </c>
      <c r="DH194" s="228">
        <v>21.06</v>
      </c>
      <c r="DI194" s="228">
        <v>21.37</v>
      </c>
      <c r="DJ194" s="228">
        <v>-0.31</v>
      </c>
      <c r="DK194" s="228">
        <v>-0.31</v>
      </c>
      <c r="DL194" s="228">
        <v>20.43</v>
      </c>
      <c r="DM194" s="228">
        <v>21.53</v>
      </c>
      <c r="DN194" s="228">
        <v>-1.1000000000000001</v>
      </c>
      <c r="DO194" s="228">
        <v>-1.1000000000000001</v>
      </c>
      <c r="DP194" s="228">
        <v>0.81</v>
      </c>
      <c r="DQ194" s="228">
        <v>0.8</v>
      </c>
      <c r="DR194" s="228">
        <v>0.01</v>
      </c>
      <c r="DS194" s="229">
        <v>1.2500000000000001E-2</v>
      </c>
      <c r="DT194" s="228">
        <v>400</v>
      </c>
      <c r="DU194" s="228">
        <v>390</v>
      </c>
      <c r="DV194" s="228">
        <v>0.49</v>
      </c>
      <c r="DW194" s="228">
        <v>0.57999999999999996</v>
      </c>
      <c r="DX194" s="228">
        <v>-0.09</v>
      </c>
      <c r="DY194" s="229">
        <v>-0.1552</v>
      </c>
      <c r="DZ194" s="229">
        <v>2.86E-2</v>
      </c>
      <c r="EA194" s="230">
        <v>1634150</v>
      </c>
      <c r="EB194" s="229">
        <v>5.5999999999999999E-3</v>
      </c>
      <c r="EC194" s="229">
        <v>2.86E-2</v>
      </c>
      <c r="ED194" s="228">
        <v>2.0499999999999998</v>
      </c>
      <c r="EE194" s="229">
        <v>5.1999999999999998E-3</v>
      </c>
      <c r="EF194" s="230">
        <v>4533510</v>
      </c>
      <c r="EG194" s="230">
        <v>3216716</v>
      </c>
      <c r="EH194" s="229">
        <v>0.40939999999999999</v>
      </c>
      <c r="EI194" s="229">
        <v>0.52310000000000001</v>
      </c>
      <c r="EJ194" s="231">
        <v>195665.76</v>
      </c>
      <c r="EK194" s="231">
        <v>91902.37</v>
      </c>
      <c r="EL194" s="231">
        <v>52660.37</v>
      </c>
      <c r="EM194" s="231">
        <v>4248</v>
      </c>
      <c r="EN194" s="231">
        <v>340228.5</v>
      </c>
      <c r="EO194" s="231">
        <v>179618.38</v>
      </c>
      <c r="EP194" s="231">
        <v>160610.12</v>
      </c>
      <c r="EQ194" s="229">
        <v>0.89419999999999999</v>
      </c>
      <c r="ER194" s="231">
        <v>109230</v>
      </c>
      <c r="ES194" s="231">
        <v>85634</v>
      </c>
      <c r="ET194" s="231">
        <v>242416</v>
      </c>
      <c r="EU194" s="231">
        <v>169808198</v>
      </c>
      <c r="EV194" s="231">
        <v>437279</v>
      </c>
      <c r="EW194" s="231">
        <v>434204</v>
      </c>
      <c r="EX194" s="231">
        <v>3075</v>
      </c>
      <c r="EY194" s="229">
        <v>7.1000000000000004E-3</v>
      </c>
      <c r="EZ194" s="229">
        <v>0.6502</v>
      </c>
      <c r="FA194" s="227" t="s">
        <v>555</v>
      </c>
      <c r="FB194" s="161">
        <f t="shared" si="4"/>
        <v>0</v>
      </c>
    </row>
    <row r="195" spans="1:158" ht="17.25" thickBot="1" x14ac:dyDescent="0.3">
      <c r="A195" s="226">
        <v>45940</v>
      </c>
      <c r="B195" s="227" t="s">
        <v>227</v>
      </c>
      <c r="C195" s="227" t="s">
        <v>294</v>
      </c>
      <c r="D195" s="228">
        <v>5500</v>
      </c>
      <c r="E195" s="228">
        <v>174.73</v>
      </c>
      <c r="F195" s="228">
        <v>176.98</v>
      </c>
      <c r="G195" s="228">
        <v>-2.25</v>
      </c>
      <c r="H195" s="229">
        <v>-1.2699999999999999E-2</v>
      </c>
      <c r="I195" s="228">
        <v>173.86</v>
      </c>
      <c r="J195" s="228">
        <v>176.42</v>
      </c>
      <c r="K195" s="228">
        <v>-2.56</v>
      </c>
      <c r="L195" s="229">
        <v>-1.4500000000000001E-2</v>
      </c>
      <c r="M195" s="228">
        <v>174.73</v>
      </c>
      <c r="N195" s="228">
        <v>176.98</v>
      </c>
      <c r="O195" s="228">
        <v>-2.25</v>
      </c>
      <c r="P195" s="229">
        <v>-1.2699999999999999E-2</v>
      </c>
      <c r="Q195" s="228">
        <v>175.77</v>
      </c>
      <c r="R195" s="228">
        <v>177.89</v>
      </c>
      <c r="S195" s="228">
        <v>-2.12</v>
      </c>
      <c r="T195" s="229">
        <v>-1.1900000000000001E-2</v>
      </c>
      <c r="U195" s="228">
        <v>176.79</v>
      </c>
      <c r="V195" s="228">
        <v>178.86</v>
      </c>
      <c r="W195" s="228">
        <v>-2.0699999999999998</v>
      </c>
      <c r="X195" s="229">
        <v>-1.1599999999999999E-2</v>
      </c>
      <c r="Y195" s="228">
        <v>0.87</v>
      </c>
      <c r="Z195" s="228">
        <v>0.56000000000000005</v>
      </c>
      <c r="AA195" s="228">
        <v>0.31</v>
      </c>
      <c r="AB195" s="229">
        <v>5.0000000000000001E-3</v>
      </c>
      <c r="AC195" s="228">
        <v>0.87</v>
      </c>
      <c r="AD195" s="228">
        <v>0.56000000000000005</v>
      </c>
      <c r="AE195" s="228">
        <v>0.31</v>
      </c>
      <c r="AF195" s="229">
        <v>5.0000000000000001E-3</v>
      </c>
      <c r="AG195" s="228">
        <v>1.91</v>
      </c>
      <c r="AH195" s="228">
        <v>1.47</v>
      </c>
      <c r="AI195" s="228">
        <v>0.44</v>
      </c>
      <c r="AJ195" s="229">
        <v>1.0999999999999999E-2</v>
      </c>
      <c r="AK195" s="228">
        <v>2.93</v>
      </c>
      <c r="AL195" s="228">
        <v>2.44</v>
      </c>
      <c r="AM195" s="228">
        <v>0.49</v>
      </c>
      <c r="AN195" s="229">
        <v>1.6899999999999998E-2</v>
      </c>
      <c r="AO195" s="228">
        <v>174.51</v>
      </c>
      <c r="AP195" s="228">
        <v>175.5</v>
      </c>
      <c r="AQ195" s="228">
        <v>0</v>
      </c>
      <c r="AR195" s="230">
        <v>39127000</v>
      </c>
      <c r="AS195" s="230">
        <v>81125000</v>
      </c>
      <c r="AT195" s="230">
        <v>-41998000</v>
      </c>
      <c r="AU195" s="229">
        <v>-0.51770000000000005</v>
      </c>
      <c r="AV195" s="230">
        <v>34408000</v>
      </c>
      <c r="AW195" s="230">
        <v>74233500</v>
      </c>
      <c r="AX195" s="230">
        <v>-39825500</v>
      </c>
      <c r="AY195" s="229">
        <v>-0.53649999999999998</v>
      </c>
      <c r="AZ195" s="230">
        <v>4048000</v>
      </c>
      <c r="BA195" s="230">
        <v>5879500</v>
      </c>
      <c r="BB195" s="230">
        <v>-1831500</v>
      </c>
      <c r="BC195" s="229">
        <v>-0.3115</v>
      </c>
      <c r="BD195" s="230">
        <v>671000</v>
      </c>
      <c r="BE195" s="230">
        <v>1012000</v>
      </c>
      <c r="BF195" s="230">
        <v>-341000</v>
      </c>
      <c r="BG195" s="229">
        <v>-0.33700000000000002</v>
      </c>
      <c r="BH195" s="230">
        <v>175791000</v>
      </c>
      <c r="BI195" s="230">
        <v>505868000</v>
      </c>
      <c r="BJ195" s="230">
        <v>-330077000</v>
      </c>
      <c r="BK195" s="229">
        <v>-0.65249999999999997</v>
      </c>
      <c r="BL195" s="230">
        <v>102553000</v>
      </c>
      <c r="BM195" s="230">
        <v>240482000</v>
      </c>
      <c r="BN195" s="230">
        <v>-137929000</v>
      </c>
      <c r="BO195" s="229">
        <v>-0.5736</v>
      </c>
      <c r="BP195" s="230">
        <v>317471000</v>
      </c>
      <c r="BQ195" s="230">
        <v>827475000</v>
      </c>
      <c r="BR195" s="230">
        <v>-510004000</v>
      </c>
      <c r="BS195" s="229">
        <v>-0.61629999999999996</v>
      </c>
      <c r="BT195" s="230">
        <v>19714522</v>
      </c>
      <c r="BU195" s="230">
        <v>76477698</v>
      </c>
      <c r="BV195" s="230">
        <v>-56763176</v>
      </c>
      <c r="BW195" s="229">
        <v>-0.74219999999999997</v>
      </c>
      <c r="BX195" s="230">
        <v>193594500</v>
      </c>
      <c r="BY195" s="230">
        <v>193941000</v>
      </c>
      <c r="BZ195" s="230">
        <v>-346500</v>
      </c>
      <c r="CA195" s="229">
        <v>-1.8E-3</v>
      </c>
      <c r="CB195" s="230">
        <v>186642500</v>
      </c>
      <c r="CC195" s="230">
        <v>187517000</v>
      </c>
      <c r="CD195" s="230">
        <v>-874500</v>
      </c>
      <c r="CE195" s="229">
        <v>-4.7000000000000002E-3</v>
      </c>
      <c r="CF195" s="230">
        <v>5940000</v>
      </c>
      <c r="CG195" s="230">
        <v>5648500</v>
      </c>
      <c r="CH195" s="230">
        <v>291500</v>
      </c>
      <c r="CI195" s="229">
        <v>5.16E-2</v>
      </c>
      <c r="CJ195" s="230">
        <v>1012000</v>
      </c>
      <c r="CK195" s="230">
        <v>775500</v>
      </c>
      <c r="CL195" s="230">
        <v>236500</v>
      </c>
      <c r="CM195" s="229">
        <v>0.30499999999999999</v>
      </c>
      <c r="CN195" s="230">
        <v>126511000</v>
      </c>
      <c r="CO195" s="230">
        <v>114730000</v>
      </c>
      <c r="CP195" s="230">
        <v>11781000</v>
      </c>
      <c r="CQ195" s="229">
        <v>0.1027</v>
      </c>
      <c r="CR195" s="230">
        <v>83396500</v>
      </c>
      <c r="CS195" s="230">
        <v>86515000</v>
      </c>
      <c r="CT195" s="230">
        <v>-3118500</v>
      </c>
      <c r="CU195" s="229">
        <v>-3.5999999999999997E-2</v>
      </c>
      <c r="CV195" s="230">
        <v>403502000</v>
      </c>
      <c r="CW195" s="230">
        <v>395186000</v>
      </c>
      <c r="CX195" s="230">
        <v>8316000</v>
      </c>
      <c r="CY195" s="229">
        <v>2.1000000000000001E-2</v>
      </c>
      <c r="CZ195" s="228">
        <v>23.46</v>
      </c>
      <c r="DA195" s="228">
        <v>23.76</v>
      </c>
      <c r="DB195" s="228">
        <v>-0.3</v>
      </c>
      <c r="DC195" s="228">
        <v>-0.3</v>
      </c>
      <c r="DD195" s="228">
        <v>34.5</v>
      </c>
      <c r="DE195" s="228">
        <v>34.54</v>
      </c>
      <c r="DF195" s="228">
        <v>-11.04</v>
      </c>
      <c r="DG195" s="228">
        <v>-0.04</v>
      </c>
      <c r="DH195" s="228">
        <v>23.48</v>
      </c>
      <c r="DI195" s="228">
        <v>23.56</v>
      </c>
      <c r="DJ195" s="228">
        <v>-0.08</v>
      </c>
      <c r="DK195" s="228">
        <v>-0.08</v>
      </c>
      <c r="DL195" s="228">
        <v>23.43</v>
      </c>
      <c r="DM195" s="228">
        <v>24.17</v>
      </c>
      <c r="DN195" s="228">
        <v>-0.74</v>
      </c>
      <c r="DO195" s="228">
        <v>-0.74</v>
      </c>
      <c r="DP195" s="228">
        <v>0.66</v>
      </c>
      <c r="DQ195" s="228">
        <v>0.75</v>
      </c>
      <c r="DR195" s="228">
        <v>-0.09</v>
      </c>
      <c r="DS195" s="229">
        <v>-0.12</v>
      </c>
      <c r="DT195" s="228">
        <v>180</v>
      </c>
      <c r="DU195" s="228">
        <v>165</v>
      </c>
      <c r="DV195" s="228">
        <v>0.57999999999999996</v>
      </c>
      <c r="DW195" s="228">
        <v>0.48</v>
      </c>
      <c r="DX195" s="228">
        <v>0.1</v>
      </c>
      <c r="DY195" s="229">
        <v>0.20830000000000001</v>
      </c>
      <c r="DZ195" s="229">
        <v>3.5900000000000001E-2</v>
      </c>
      <c r="EA195" s="230">
        <v>6424000</v>
      </c>
      <c r="EB195" s="229">
        <v>6.0000000000000001E-3</v>
      </c>
      <c r="EC195" s="229">
        <v>3.5900000000000001E-2</v>
      </c>
      <c r="ED195" s="228">
        <v>0.99</v>
      </c>
      <c r="EE195" s="229">
        <v>5.7000000000000002E-3</v>
      </c>
      <c r="EF195" s="230">
        <v>7792241</v>
      </c>
      <c r="EG195" s="230">
        <v>32298852</v>
      </c>
      <c r="EH195" s="229">
        <v>-0.75870000000000004</v>
      </c>
      <c r="EI195" s="229">
        <v>0.39529999999999998</v>
      </c>
      <c r="EJ195" s="231">
        <v>320352.78999999998</v>
      </c>
      <c r="EK195" s="231">
        <v>177267.38</v>
      </c>
      <c r="EL195" s="231">
        <v>68333.72</v>
      </c>
      <c r="EM195" s="231">
        <v>10497</v>
      </c>
      <c r="EN195" s="231">
        <v>565953.89</v>
      </c>
      <c r="EO195" s="231">
        <v>1493547.13</v>
      </c>
      <c r="EP195" s="231">
        <v>-927593.24</v>
      </c>
      <c r="EQ195" s="229">
        <v>-0.62109999999999999</v>
      </c>
      <c r="ER195" s="231">
        <v>228042</v>
      </c>
      <c r="ES195" s="231">
        <v>137876</v>
      </c>
      <c r="ET195" s="231">
        <v>338350</v>
      </c>
      <c r="EU195" s="231">
        <v>833987639</v>
      </c>
      <c r="EV195" s="231">
        <v>704267</v>
      </c>
      <c r="EW195" s="231">
        <v>693247</v>
      </c>
      <c r="EX195" s="231">
        <v>11020</v>
      </c>
      <c r="EY195" s="229">
        <v>1.5900000000000001E-2</v>
      </c>
      <c r="EZ195" s="229">
        <v>0.48380000000000001</v>
      </c>
      <c r="FA195" s="227" t="s">
        <v>568</v>
      </c>
      <c r="FB195" s="161">
        <f t="shared" ref="FB195:FB258" si="5">BX262-CB262</f>
        <v>0</v>
      </c>
    </row>
    <row r="196" spans="1:158" ht="17.25" thickBot="1" x14ac:dyDescent="0.3">
      <c r="A196" s="226">
        <v>45940</v>
      </c>
      <c r="B196" s="227" t="s">
        <v>221</v>
      </c>
      <c r="C196" s="227" t="s">
        <v>665</v>
      </c>
      <c r="D196" s="228">
        <v>800</v>
      </c>
      <c r="E196" s="228">
        <v>718</v>
      </c>
      <c r="F196" s="228">
        <v>721.75</v>
      </c>
      <c r="G196" s="228">
        <v>-3.75</v>
      </c>
      <c r="H196" s="229">
        <v>-5.1999999999999998E-3</v>
      </c>
      <c r="I196" s="228">
        <v>714.35</v>
      </c>
      <c r="J196" s="228">
        <v>717.6</v>
      </c>
      <c r="K196" s="228">
        <v>-3.25</v>
      </c>
      <c r="L196" s="229">
        <v>-4.4999999999999997E-3</v>
      </c>
      <c r="M196" s="228">
        <v>718</v>
      </c>
      <c r="N196" s="228">
        <v>721.75</v>
      </c>
      <c r="O196" s="228">
        <v>-3.75</v>
      </c>
      <c r="P196" s="229">
        <v>-5.1999999999999998E-3</v>
      </c>
      <c r="Q196" s="228">
        <v>720.25</v>
      </c>
      <c r="R196" s="228">
        <v>723.7</v>
      </c>
      <c r="S196" s="228">
        <v>-3.45</v>
      </c>
      <c r="T196" s="229">
        <v>-4.7999999999999996E-3</v>
      </c>
      <c r="U196" s="228">
        <v>722</v>
      </c>
      <c r="V196" s="228">
        <v>726</v>
      </c>
      <c r="W196" s="228">
        <v>-4</v>
      </c>
      <c r="X196" s="229">
        <v>-5.4999999999999997E-3</v>
      </c>
      <c r="Y196" s="228">
        <v>3.65</v>
      </c>
      <c r="Z196" s="228">
        <v>4.1500000000000004</v>
      </c>
      <c r="AA196" s="228">
        <v>-0.5</v>
      </c>
      <c r="AB196" s="229">
        <v>5.1000000000000004E-3</v>
      </c>
      <c r="AC196" s="228">
        <v>3.65</v>
      </c>
      <c r="AD196" s="228">
        <v>4.1500000000000004</v>
      </c>
      <c r="AE196" s="228">
        <v>-0.5</v>
      </c>
      <c r="AF196" s="229">
        <v>5.1000000000000004E-3</v>
      </c>
      <c r="AG196" s="228">
        <v>5.9</v>
      </c>
      <c r="AH196" s="228">
        <v>6.1</v>
      </c>
      <c r="AI196" s="228">
        <v>-0.2</v>
      </c>
      <c r="AJ196" s="229">
        <v>8.3000000000000001E-3</v>
      </c>
      <c r="AK196" s="228">
        <v>7.65</v>
      </c>
      <c r="AL196" s="228">
        <v>8.4</v>
      </c>
      <c r="AM196" s="228">
        <v>-0.75</v>
      </c>
      <c r="AN196" s="229">
        <v>1.0699999999999999E-2</v>
      </c>
      <c r="AO196" s="228">
        <v>720.43</v>
      </c>
      <c r="AP196" s="228">
        <v>722.49</v>
      </c>
      <c r="AQ196" s="228">
        <v>0</v>
      </c>
      <c r="AR196" s="230">
        <v>1208800</v>
      </c>
      <c r="AS196" s="230">
        <v>1642400</v>
      </c>
      <c r="AT196" s="230">
        <v>-433600</v>
      </c>
      <c r="AU196" s="229">
        <v>-0.26400000000000001</v>
      </c>
      <c r="AV196" s="230">
        <v>1070400</v>
      </c>
      <c r="AW196" s="230">
        <v>1486400</v>
      </c>
      <c r="AX196" s="230">
        <v>-416000</v>
      </c>
      <c r="AY196" s="229">
        <v>-0.27989999999999998</v>
      </c>
      <c r="AZ196" s="230">
        <v>125600</v>
      </c>
      <c r="BA196" s="230">
        <v>150400</v>
      </c>
      <c r="BB196" s="230">
        <v>-24800</v>
      </c>
      <c r="BC196" s="229">
        <v>-0.16489999999999999</v>
      </c>
      <c r="BD196" s="230">
        <v>12800</v>
      </c>
      <c r="BE196" s="230">
        <v>5600</v>
      </c>
      <c r="BF196" s="230">
        <v>7200</v>
      </c>
      <c r="BG196" s="229">
        <v>1.2857000000000001</v>
      </c>
      <c r="BH196" s="230">
        <v>2003200</v>
      </c>
      <c r="BI196" s="230">
        <v>3061600</v>
      </c>
      <c r="BJ196" s="230">
        <v>-1058400</v>
      </c>
      <c r="BK196" s="229">
        <v>-0.34570000000000001</v>
      </c>
      <c r="BL196" s="230">
        <v>984000</v>
      </c>
      <c r="BM196" s="230">
        <v>1316000</v>
      </c>
      <c r="BN196" s="230">
        <v>-332000</v>
      </c>
      <c r="BO196" s="229">
        <v>-0.25230000000000002</v>
      </c>
      <c r="BP196" s="230">
        <v>4196000</v>
      </c>
      <c r="BQ196" s="230">
        <v>6020000</v>
      </c>
      <c r="BR196" s="230">
        <v>-1824000</v>
      </c>
      <c r="BS196" s="229">
        <v>-0.30299999999999999</v>
      </c>
      <c r="BT196" s="230">
        <v>602534</v>
      </c>
      <c r="BU196" s="230">
        <v>940760</v>
      </c>
      <c r="BV196" s="230">
        <v>-338226</v>
      </c>
      <c r="BW196" s="229">
        <v>-0.35949999999999999</v>
      </c>
      <c r="BX196" s="230">
        <v>9086400</v>
      </c>
      <c r="BY196" s="230">
        <v>9045600</v>
      </c>
      <c r="BZ196" s="230">
        <v>40800</v>
      </c>
      <c r="CA196" s="229">
        <v>4.4999999999999997E-3</v>
      </c>
      <c r="CB196" s="230">
        <v>8339200</v>
      </c>
      <c r="CC196" s="230">
        <v>8331200</v>
      </c>
      <c r="CD196" s="230">
        <v>8000</v>
      </c>
      <c r="CE196" s="229">
        <v>1E-3</v>
      </c>
      <c r="CF196" s="230">
        <v>688000</v>
      </c>
      <c r="CG196" s="230">
        <v>663200</v>
      </c>
      <c r="CH196" s="230">
        <v>24800</v>
      </c>
      <c r="CI196" s="229">
        <v>3.7400000000000003E-2</v>
      </c>
      <c r="CJ196" s="230">
        <v>59200</v>
      </c>
      <c r="CK196" s="230">
        <v>51200</v>
      </c>
      <c r="CL196" s="230">
        <v>8000</v>
      </c>
      <c r="CM196" s="229">
        <v>0.15629999999999999</v>
      </c>
      <c r="CN196" s="230">
        <v>3907200</v>
      </c>
      <c r="CO196" s="230">
        <v>3764000</v>
      </c>
      <c r="CP196" s="230">
        <v>143200</v>
      </c>
      <c r="CQ196" s="229">
        <v>3.7999999999999999E-2</v>
      </c>
      <c r="CR196" s="230">
        <v>2980800</v>
      </c>
      <c r="CS196" s="230">
        <v>2858400</v>
      </c>
      <c r="CT196" s="230">
        <v>122400</v>
      </c>
      <c r="CU196" s="229">
        <v>4.2799999999999998E-2</v>
      </c>
      <c r="CV196" s="230">
        <v>15974400</v>
      </c>
      <c r="CW196" s="230">
        <v>15668000</v>
      </c>
      <c r="CX196" s="230">
        <v>306400</v>
      </c>
      <c r="CY196" s="229">
        <v>1.9599999999999999E-2</v>
      </c>
      <c r="CZ196" s="228">
        <v>27.27</v>
      </c>
      <c r="DA196" s="228">
        <v>27.43</v>
      </c>
      <c r="DB196" s="228">
        <v>-0.16</v>
      </c>
      <c r="DC196" s="228">
        <v>-0.16</v>
      </c>
      <c r="DD196" s="228">
        <v>31.57</v>
      </c>
      <c r="DE196" s="228">
        <v>31.64</v>
      </c>
      <c r="DF196" s="228">
        <v>-4.3</v>
      </c>
      <c r="DG196" s="228">
        <v>-7.0000000000000007E-2</v>
      </c>
      <c r="DH196" s="228">
        <v>27.18</v>
      </c>
      <c r="DI196" s="228">
        <v>27.2</v>
      </c>
      <c r="DJ196" s="228">
        <v>-0.02</v>
      </c>
      <c r="DK196" s="228">
        <v>-0.02</v>
      </c>
      <c r="DL196" s="228">
        <v>27.45</v>
      </c>
      <c r="DM196" s="228">
        <v>27.98</v>
      </c>
      <c r="DN196" s="228">
        <v>-0.53</v>
      </c>
      <c r="DO196" s="228">
        <v>-0.53</v>
      </c>
      <c r="DP196" s="228">
        <v>0.76</v>
      </c>
      <c r="DQ196" s="228">
        <v>0.76</v>
      </c>
      <c r="DR196" s="228">
        <v>0</v>
      </c>
      <c r="DS196" s="229">
        <v>0</v>
      </c>
      <c r="DT196" s="228">
        <v>720</v>
      </c>
      <c r="DU196" s="228">
        <v>700</v>
      </c>
      <c r="DV196" s="228">
        <v>0.49</v>
      </c>
      <c r="DW196" s="228">
        <v>0.43</v>
      </c>
      <c r="DX196" s="228">
        <v>0.06</v>
      </c>
      <c r="DY196" s="229">
        <v>0.13950000000000001</v>
      </c>
      <c r="DZ196" s="229">
        <v>8.2199999999999995E-2</v>
      </c>
      <c r="EA196" s="230">
        <v>714400</v>
      </c>
      <c r="EB196" s="229">
        <v>3.0999999999999999E-3</v>
      </c>
      <c r="EC196" s="229">
        <v>8.2199999999999995E-2</v>
      </c>
      <c r="ED196" s="228">
        <v>2.06</v>
      </c>
      <c r="EE196" s="229">
        <v>2.8999999999999998E-3</v>
      </c>
      <c r="EF196" s="230">
        <v>262507</v>
      </c>
      <c r="EG196" s="230">
        <v>552315</v>
      </c>
      <c r="EH196" s="229">
        <v>-0.52470000000000006</v>
      </c>
      <c r="EI196" s="229">
        <v>0.43569999999999998</v>
      </c>
      <c r="EJ196" s="231">
        <v>14990.77</v>
      </c>
      <c r="EK196" s="231">
        <v>6967.44</v>
      </c>
      <c r="EL196" s="231">
        <v>8711.76</v>
      </c>
      <c r="EM196" s="231">
        <v>2457</v>
      </c>
      <c r="EN196" s="231">
        <v>30669.97</v>
      </c>
      <c r="EO196" s="231">
        <v>44076.62</v>
      </c>
      <c r="EP196" s="231">
        <v>-13406.65</v>
      </c>
      <c r="EQ196" s="229">
        <v>-0.30420000000000003</v>
      </c>
      <c r="ER196" s="231">
        <v>28625</v>
      </c>
      <c r="ES196" s="231">
        <v>20417</v>
      </c>
      <c r="ET196" s="231">
        <v>65258</v>
      </c>
      <c r="EU196" s="231">
        <v>27246569</v>
      </c>
      <c r="EV196" s="231">
        <v>114300</v>
      </c>
      <c r="EW196" s="231">
        <v>112398</v>
      </c>
      <c r="EX196" s="231">
        <v>1902</v>
      </c>
      <c r="EY196" s="229">
        <v>1.6899999999999998E-2</v>
      </c>
      <c r="EZ196" s="229">
        <v>0.58630000000000004</v>
      </c>
      <c r="FA196" s="227" t="s">
        <v>567</v>
      </c>
      <c r="FB196" s="161">
        <f t="shared" si="5"/>
        <v>0</v>
      </c>
    </row>
    <row r="197" spans="1:158" ht="17.25" thickBot="1" x14ac:dyDescent="0.3">
      <c r="A197" s="226">
        <v>45940</v>
      </c>
      <c r="B197" s="227" t="s">
        <v>221</v>
      </c>
      <c r="C197" s="227" t="s">
        <v>295</v>
      </c>
      <c r="D197" s="228">
        <v>175</v>
      </c>
      <c r="E197" s="231">
        <v>3026.5</v>
      </c>
      <c r="F197" s="231">
        <v>3057.5</v>
      </c>
      <c r="G197" s="228">
        <v>-31</v>
      </c>
      <c r="H197" s="229">
        <v>-1.01E-2</v>
      </c>
      <c r="I197" s="231">
        <v>3028.3</v>
      </c>
      <c r="J197" s="231">
        <v>3061.7</v>
      </c>
      <c r="K197" s="228">
        <v>-33.4</v>
      </c>
      <c r="L197" s="229">
        <v>-1.09E-2</v>
      </c>
      <c r="M197" s="231">
        <v>3026.5</v>
      </c>
      <c r="N197" s="231">
        <v>3057.5</v>
      </c>
      <c r="O197" s="228">
        <v>-31</v>
      </c>
      <c r="P197" s="229">
        <v>-1.01E-2</v>
      </c>
      <c r="Q197" s="231">
        <v>3043.1</v>
      </c>
      <c r="R197" s="231">
        <v>3073.2</v>
      </c>
      <c r="S197" s="228">
        <v>-30.1</v>
      </c>
      <c r="T197" s="229">
        <v>-9.7999999999999997E-3</v>
      </c>
      <c r="U197" s="231">
        <v>3062</v>
      </c>
      <c r="V197" s="231">
        <v>3091.1</v>
      </c>
      <c r="W197" s="228">
        <v>-29.1</v>
      </c>
      <c r="X197" s="229">
        <v>-9.4000000000000004E-3</v>
      </c>
      <c r="Y197" s="228">
        <v>-1.8</v>
      </c>
      <c r="Z197" s="228">
        <v>-4.2</v>
      </c>
      <c r="AA197" s="228">
        <v>2.4</v>
      </c>
      <c r="AB197" s="229">
        <v>-5.9999999999999995E-4</v>
      </c>
      <c r="AC197" s="228">
        <v>-1.8</v>
      </c>
      <c r="AD197" s="228">
        <v>-4.2</v>
      </c>
      <c r="AE197" s="228">
        <v>2.4</v>
      </c>
      <c r="AF197" s="229">
        <v>-5.9999999999999995E-4</v>
      </c>
      <c r="AG197" s="228">
        <v>14.8</v>
      </c>
      <c r="AH197" s="228">
        <v>11.5</v>
      </c>
      <c r="AI197" s="228">
        <v>3.3</v>
      </c>
      <c r="AJ197" s="229">
        <v>4.8999999999999998E-3</v>
      </c>
      <c r="AK197" s="228">
        <v>33.700000000000003</v>
      </c>
      <c r="AL197" s="228">
        <v>29.4</v>
      </c>
      <c r="AM197" s="228">
        <v>4.3</v>
      </c>
      <c r="AN197" s="229">
        <v>1.11E-2</v>
      </c>
      <c r="AO197" s="231">
        <v>3033.41</v>
      </c>
      <c r="AP197" s="231">
        <v>3047.87</v>
      </c>
      <c r="AQ197" s="228">
        <v>0</v>
      </c>
      <c r="AR197" s="230">
        <v>13731375</v>
      </c>
      <c r="AS197" s="230">
        <v>7221550</v>
      </c>
      <c r="AT197" s="230">
        <v>6509825</v>
      </c>
      <c r="AU197" s="229">
        <v>0.90139999999999998</v>
      </c>
      <c r="AV197" s="230">
        <v>12420975</v>
      </c>
      <c r="AW197" s="230">
        <v>6806100</v>
      </c>
      <c r="AX197" s="230">
        <v>5614875</v>
      </c>
      <c r="AY197" s="229">
        <v>0.82499999999999996</v>
      </c>
      <c r="AZ197" s="230">
        <v>1142050</v>
      </c>
      <c r="BA197" s="230">
        <v>350700</v>
      </c>
      <c r="BB197" s="230">
        <v>791350</v>
      </c>
      <c r="BC197" s="229">
        <v>2.2565</v>
      </c>
      <c r="BD197" s="230">
        <v>168350</v>
      </c>
      <c r="BE197" s="230">
        <v>64750</v>
      </c>
      <c r="BF197" s="230">
        <v>103600</v>
      </c>
      <c r="BG197" s="229">
        <v>1.6</v>
      </c>
      <c r="BH197" s="230">
        <v>86464350</v>
      </c>
      <c r="BI197" s="230">
        <v>51522100</v>
      </c>
      <c r="BJ197" s="230">
        <v>34942250</v>
      </c>
      <c r="BK197" s="229">
        <v>0.67820000000000003</v>
      </c>
      <c r="BL197" s="230">
        <v>43792000</v>
      </c>
      <c r="BM197" s="230">
        <v>27149850</v>
      </c>
      <c r="BN197" s="230">
        <v>16642150</v>
      </c>
      <c r="BO197" s="229">
        <v>0.61299999999999999</v>
      </c>
      <c r="BP197" s="230">
        <v>143987725</v>
      </c>
      <c r="BQ197" s="230">
        <v>85893500</v>
      </c>
      <c r="BR197" s="230">
        <v>58094225</v>
      </c>
      <c r="BS197" s="229">
        <v>0.6764</v>
      </c>
      <c r="BT197" s="230">
        <v>9103674</v>
      </c>
      <c r="BU197" s="230">
        <v>3650809</v>
      </c>
      <c r="BV197" s="230">
        <v>5452865</v>
      </c>
      <c r="BW197" s="229">
        <v>1.4936</v>
      </c>
      <c r="BX197" s="230">
        <v>31741325</v>
      </c>
      <c r="BY197" s="230">
        <v>32354350</v>
      </c>
      <c r="BZ197" s="230">
        <v>-613025</v>
      </c>
      <c r="CA197" s="229">
        <v>-1.89E-2</v>
      </c>
      <c r="CB197" s="230">
        <v>29664775</v>
      </c>
      <c r="CC197" s="230">
        <v>30848650</v>
      </c>
      <c r="CD197" s="230">
        <v>-1183875</v>
      </c>
      <c r="CE197" s="229">
        <v>-3.8399999999999997E-2</v>
      </c>
      <c r="CF197" s="230">
        <v>1865500</v>
      </c>
      <c r="CG197" s="230">
        <v>1406125</v>
      </c>
      <c r="CH197" s="230">
        <v>459375</v>
      </c>
      <c r="CI197" s="229">
        <v>0.32669999999999999</v>
      </c>
      <c r="CJ197" s="230">
        <v>211050</v>
      </c>
      <c r="CK197" s="230">
        <v>99575</v>
      </c>
      <c r="CL197" s="230">
        <v>111475</v>
      </c>
      <c r="CM197" s="229">
        <v>1.1194999999999999</v>
      </c>
      <c r="CN197" s="230">
        <v>25050200</v>
      </c>
      <c r="CO197" s="230">
        <v>20744150</v>
      </c>
      <c r="CP197" s="230">
        <v>4306050</v>
      </c>
      <c r="CQ197" s="229">
        <v>0.20760000000000001</v>
      </c>
      <c r="CR197" s="230">
        <v>14223825</v>
      </c>
      <c r="CS197" s="230">
        <v>15180900</v>
      </c>
      <c r="CT197" s="230">
        <v>-957075</v>
      </c>
      <c r="CU197" s="229">
        <v>-6.3E-2</v>
      </c>
      <c r="CV197" s="230">
        <v>71015350</v>
      </c>
      <c r="CW197" s="230">
        <v>68279400</v>
      </c>
      <c r="CX197" s="230">
        <v>2735950</v>
      </c>
      <c r="CY197" s="229">
        <v>4.0099999999999997E-2</v>
      </c>
      <c r="CZ197" s="228">
        <v>20.52</v>
      </c>
      <c r="DA197" s="228">
        <v>24.72</v>
      </c>
      <c r="DB197" s="228">
        <v>-4.2</v>
      </c>
      <c r="DC197" s="228">
        <v>-4.2</v>
      </c>
      <c r="DD197" s="228">
        <v>24.65</v>
      </c>
      <c r="DE197" s="228">
        <v>24.67</v>
      </c>
      <c r="DF197" s="228">
        <v>-4.13</v>
      </c>
      <c r="DG197" s="228">
        <v>-0.02</v>
      </c>
      <c r="DH197" s="228">
        <v>20.420000000000002</v>
      </c>
      <c r="DI197" s="228">
        <v>23.94</v>
      </c>
      <c r="DJ197" s="228">
        <v>-3.52</v>
      </c>
      <c r="DK197" s="228">
        <v>-3.52</v>
      </c>
      <c r="DL197" s="228">
        <v>20.73</v>
      </c>
      <c r="DM197" s="228">
        <v>26.22</v>
      </c>
      <c r="DN197" s="228">
        <v>-5.49</v>
      </c>
      <c r="DO197" s="228">
        <v>-5.49</v>
      </c>
      <c r="DP197" s="228">
        <v>0.56999999999999995</v>
      </c>
      <c r="DQ197" s="228">
        <v>0.73</v>
      </c>
      <c r="DR197" s="228">
        <v>-0.16</v>
      </c>
      <c r="DS197" s="229">
        <v>-0.21920000000000001</v>
      </c>
      <c r="DT197" s="231">
        <v>3200</v>
      </c>
      <c r="DU197" s="231">
        <v>3000</v>
      </c>
      <c r="DV197" s="228">
        <v>0.51</v>
      </c>
      <c r="DW197" s="228">
        <v>0.53</v>
      </c>
      <c r="DX197" s="228">
        <v>-0.02</v>
      </c>
      <c r="DY197" s="229">
        <v>-3.7699999999999997E-2</v>
      </c>
      <c r="DZ197" s="229">
        <v>6.54E-2</v>
      </c>
      <c r="EA197" s="230">
        <v>1505700</v>
      </c>
      <c r="EB197" s="229">
        <v>5.4999999999999997E-3</v>
      </c>
      <c r="EC197" s="229">
        <v>6.54E-2</v>
      </c>
      <c r="ED197" s="228">
        <v>14.46</v>
      </c>
      <c r="EE197" s="229">
        <v>4.7999999999999996E-3</v>
      </c>
      <c r="EF197" s="230">
        <v>4639514</v>
      </c>
      <c r="EG197" s="230">
        <v>1601083</v>
      </c>
      <c r="EH197" s="229">
        <v>1.8976999999999999</v>
      </c>
      <c r="EI197" s="229">
        <v>0.50960000000000005</v>
      </c>
      <c r="EJ197" s="231">
        <v>2733911.3</v>
      </c>
      <c r="EK197" s="231">
        <v>1303774.82</v>
      </c>
      <c r="EL197" s="231">
        <v>416745.86</v>
      </c>
      <c r="EM197" s="231">
        <v>32154</v>
      </c>
      <c r="EN197" s="231">
        <v>4454431.9800000004</v>
      </c>
      <c r="EO197" s="231">
        <v>2662812.94</v>
      </c>
      <c r="EP197" s="231">
        <v>1791619.04</v>
      </c>
      <c r="EQ197" s="229">
        <v>0.67279999999999995</v>
      </c>
      <c r="ER197" s="231">
        <v>786020</v>
      </c>
      <c r="ES197" s="231">
        <v>420260</v>
      </c>
      <c r="ET197" s="231">
        <v>961036</v>
      </c>
      <c r="EU197" s="231">
        <v>123298271</v>
      </c>
      <c r="EV197" s="231">
        <v>2167316</v>
      </c>
      <c r="EW197" s="231">
        <v>2090317</v>
      </c>
      <c r="EX197" s="231">
        <v>76999</v>
      </c>
      <c r="EY197" s="229">
        <v>3.6799999999999999E-2</v>
      </c>
      <c r="EZ197" s="229">
        <v>0.57599999999999996</v>
      </c>
      <c r="FA197" s="227" t="s">
        <v>568</v>
      </c>
      <c r="FB197" s="161">
        <f t="shared" si="5"/>
        <v>0</v>
      </c>
    </row>
    <row r="198" spans="1:158" ht="17.25" thickBot="1" x14ac:dyDescent="0.3">
      <c r="A198" s="226">
        <v>45940</v>
      </c>
      <c r="B198" s="227" t="s">
        <v>221</v>
      </c>
      <c r="C198" s="227" t="s">
        <v>296</v>
      </c>
      <c r="D198" s="228">
        <v>600</v>
      </c>
      <c r="E198" s="231">
        <v>1452.6</v>
      </c>
      <c r="F198" s="231">
        <v>1461.2</v>
      </c>
      <c r="G198" s="228">
        <v>-8.6</v>
      </c>
      <c r="H198" s="229">
        <v>-5.8999999999999999E-3</v>
      </c>
      <c r="I198" s="231">
        <v>1457.2</v>
      </c>
      <c r="J198" s="231">
        <v>1466.6</v>
      </c>
      <c r="K198" s="228">
        <v>-9.4</v>
      </c>
      <c r="L198" s="229">
        <v>-6.4000000000000003E-3</v>
      </c>
      <c r="M198" s="231">
        <v>1452.6</v>
      </c>
      <c r="N198" s="231">
        <v>1461.2</v>
      </c>
      <c r="O198" s="228">
        <v>-8.6</v>
      </c>
      <c r="P198" s="229">
        <v>-5.8999999999999999E-3</v>
      </c>
      <c r="Q198" s="231">
        <v>1457.7</v>
      </c>
      <c r="R198" s="231">
        <v>1463.5</v>
      </c>
      <c r="S198" s="228">
        <v>-5.8</v>
      </c>
      <c r="T198" s="229">
        <v>-4.0000000000000001E-3</v>
      </c>
      <c r="U198" s="231">
        <v>1465.8</v>
      </c>
      <c r="V198" s="231">
        <v>1471</v>
      </c>
      <c r="W198" s="228">
        <v>-5.2</v>
      </c>
      <c r="X198" s="229">
        <v>-3.5000000000000001E-3</v>
      </c>
      <c r="Y198" s="228">
        <v>-4.5999999999999996</v>
      </c>
      <c r="Z198" s="228">
        <v>-5.4</v>
      </c>
      <c r="AA198" s="228">
        <v>0.8</v>
      </c>
      <c r="AB198" s="229">
        <v>-3.2000000000000002E-3</v>
      </c>
      <c r="AC198" s="228">
        <v>-4.5999999999999996</v>
      </c>
      <c r="AD198" s="228">
        <v>-5.4</v>
      </c>
      <c r="AE198" s="228">
        <v>0.8</v>
      </c>
      <c r="AF198" s="229">
        <v>-3.2000000000000002E-3</v>
      </c>
      <c r="AG198" s="228">
        <v>0.5</v>
      </c>
      <c r="AH198" s="228">
        <v>-3.1</v>
      </c>
      <c r="AI198" s="228">
        <v>3.6</v>
      </c>
      <c r="AJ198" s="229">
        <v>2.9999999999999997E-4</v>
      </c>
      <c r="AK198" s="228">
        <v>8.6</v>
      </c>
      <c r="AL198" s="228">
        <v>4.4000000000000004</v>
      </c>
      <c r="AM198" s="228">
        <v>4.2</v>
      </c>
      <c r="AN198" s="229">
        <v>5.8999999999999999E-3</v>
      </c>
      <c r="AO198" s="231">
        <v>1454.53</v>
      </c>
      <c r="AP198" s="231">
        <v>1460.52</v>
      </c>
      <c r="AQ198" s="228">
        <v>0</v>
      </c>
      <c r="AR198" s="230">
        <v>3058800</v>
      </c>
      <c r="AS198" s="230">
        <v>3360600</v>
      </c>
      <c r="AT198" s="230">
        <v>-301800</v>
      </c>
      <c r="AU198" s="229">
        <v>-8.9800000000000005E-2</v>
      </c>
      <c r="AV198" s="230">
        <v>2839800</v>
      </c>
      <c r="AW198" s="230">
        <v>3118200</v>
      </c>
      <c r="AX198" s="230">
        <v>-278400</v>
      </c>
      <c r="AY198" s="229">
        <v>-8.9300000000000004E-2</v>
      </c>
      <c r="AZ198" s="230">
        <v>193800</v>
      </c>
      <c r="BA198" s="230">
        <v>231600</v>
      </c>
      <c r="BB198" s="230">
        <v>-37800</v>
      </c>
      <c r="BC198" s="229">
        <v>-0.16320000000000001</v>
      </c>
      <c r="BD198" s="230">
        <v>25200</v>
      </c>
      <c r="BE198" s="230">
        <v>10800</v>
      </c>
      <c r="BF198" s="230">
        <v>14400</v>
      </c>
      <c r="BG198" s="229">
        <v>1.3332999999999999</v>
      </c>
      <c r="BH198" s="230">
        <v>5599200</v>
      </c>
      <c r="BI198" s="230">
        <v>6568200</v>
      </c>
      <c r="BJ198" s="230">
        <v>-969000</v>
      </c>
      <c r="BK198" s="229">
        <v>-0.14749999999999999</v>
      </c>
      <c r="BL198" s="230">
        <v>3577800</v>
      </c>
      <c r="BM198" s="230">
        <v>3274200</v>
      </c>
      <c r="BN198" s="230">
        <v>303600</v>
      </c>
      <c r="BO198" s="229">
        <v>9.2700000000000005E-2</v>
      </c>
      <c r="BP198" s="230">
        <v>12235800</v>
      </c>
      <c r="BQ198" s="230">
        <v>13203000</v>
      </c>
      <c r="BR198" s="230">
        <v>-967200</v>
      </c>
      <c r="BS198" s="229">
        <v>-7.3300000000000004E-2</v>
      </c>
      <c r="BT198" s="230">
        <v>956931</v>
      </c>
      <c r="BU198" s="230">
        <v>1378311</v>
      </c>
      <c r="BV198" s="230">
        <v>-421380</v>
      </c>
      <c r="BW198" s="229">
        <v>-0.30570000000000003</v>
      </c>
      <c r="BX198" s="230">
        <v>16798800</v>
      </c>
      <c r="BY198" s="230">
        <v>16824600</v>
      </c>
      <c r="BZ198" s="230">
        <v>-25800</v>
      </c>
      <c r="CA198" s="229">
        <v>-1.5E-3</v>
      </c>
      <c r="CB198" s="230">
        <v>15254400</v>
      </c>
      <c r="CC198" s="230">
        <v>15324000</v>
      </c>
      <c r="CD198" s="230">
        <v>-69600</v>
      </c>
      <c r="CE198" s="229">
        <v>-4.4999999999999997E-3</v>
      </c>
      <c r="CF198" s="230">
        <v>1506600</v>
      </c>
      <c r="CG198" s="230">
        <v>1482000</v>
      </c>
      <c r="CH198" s="230">
        <v>24600</v>
      </c>
      <c r="CI198" s="229">
        <v>1.66E-2</v>
      </c>
      <c r="CJ198" s="230">
        <v>37800</v>
      </c>
      <c r="CK198" s="230">
        <v>18600</v>
      </c>
      <c r="CL198" s="230">
        <v>19200</v>
      </c>
      <c r="CM198" s="229">
        <v>1.0323</v>
      </c>
      <c r="CN198" s="230">
        <v>4754400</v>
      </c>
      <c r="CO198" s="230">
        <v>4371000</v>
      </c>
      <c r="CP198" s="230">
        <v>383400</v>
      </c>
      <c r="CQ198" s="229">
        <v>8.77E-2</v>
      </c>
      <c r="CR198" s="230">
        <v>4155000</v>
      </c>
      <c r="CS198" s="230">
        <v>4224000</v>
      </c>
      <c r="CT198" s="230">
        <v>-69000</v>
      </c>
      <c r="CU198" s="229">
        <v>-1.6299999999999999E-2</v>
      </c>
      <c r="CV198" s="230">
        <v>25708200</v>
      </c>
      <c r="CW198" s="230">
        <v>25419600</v>
      </c>
      <c r="CX198" s="230">
        <v>288600</v>
      </c>
      <c r="CY198" s="229">
        <v>1.14E-2</v>
      </c>
      <c r="CZ198" s="228">
        <v>29.39</v>
      </c>
      <c r="DA198" s="228">
        <v>30.17</v>
      </c>
      <c r="DB198" s="228">
        <v>-0.78</v>
      </c>
      <c r="DC198" s="228">
        <v>-0.78</v>
      </c>
      <c r="DD198" s="228">
        <v>30.2</v>
      </c>
      <c r="DE198" s="228">
        <v>30.27</v>
      </c>
      <c r="DF198" s="228">
        <v>-0.81</v>
      </c>
      <c r="DG198" s="228">
        <v>-7.0000000000000007E-2</v>
      </c>
      <c r="DH198" s="228">
        <v>29.38</v>
      </c>
      <c r="DI198" s="228">
        <v>30.04</v>
      </c>
      <c r="DJ198" s="228">
        <v>-0.66</v>
      </c>
      <c r="DK198" s="228">
        <v>-0.66</v>
      </c>
      <c r="DL198" s="228">
        <v>29.41</v>
      </c>
      <c r="DM198" s="228">
        <v>30.42</v>
      </c>
      <c r="DN198" s="228">
        <v>-1.01</v>
      </c>
      <c r="DO198" s="228">
        <v>-1.01</v>
      </c>
      <c r="DP198" s="228">
        <v>0.87</v>
      </c>
      <c r="DQ198" s="228">
        <v>0.97</v>
      </c>
      <c r="DR198" s="228">
        <v>-0.1</v>
      </c>
      <c r="DS198" s="229">
        <v>-0.1031</v>
      </c>
      <c r="DT198" s="231">
        <v>1500</v>
      </c>
      <c r="DU198" s="231">
        <v>1400</v>
      </c>
      <c r="DV198" s="228">
        <v>0.64</v>
      </c>
      <c r="DW198" s="228">
        <v>0.5</v>
      </c>
      <c r="DX198" s="228">
        <v>0.14000000000000001</v>
      </c>
      <c r="DY198" s="229">
        <v>0.28000000000000003</v>
      </c>
      <c r="DZ198" s="229">
        <v>9.1899999999999996E-2</v>
      </c>
      <c r="EA198" s="230">
        <v>1500600</v>
      </c>
      <c r="EB198" s="229">
        <v>3.5000000000000001E-3</v>
      </c>
      <c r="EC198" s="229">
        <v>9.1899999999999996E-2</v>
      </c>
      <c r="ED198" s="228">
        <v>5.99</v>
      </c>
      <c r="EE198" s="229">
        <v>4.1000000000000003E-3</v>
      </c>
      <c r="EF198" s="230">
        <v>447323</v>
      </c>
      <c r="EG198" s="230">
        <v>796920</v>
      </c>
      <c r="EH198" s="229">
        <v>-0.43869999999999998</v>
      </c>
      <c r="EI198" s="229">
        <v>0.46750000000000003</v>
      </c>
      <c r="EJ198" s="231">
        <v>85108.79</v>
      </c>
      <c r="EK198" s="231">
        <v>52271.6</v>
      </c>
      <c r="EL198" s="231">
        <v>44505.88</v>
      </c>
      <c r="EM198" s="231">
        <v>5263</v>
      </c>
      <c r="EN198" s="231">
        <v>181886.27</v>
      </c>
      <c r="EO198" s="231">
        <v>196962.54</v>
      </c>
      <c r="EP198" s="231">
        <v>-15076.27</v>
      </c>
      <c r="EQ198" s="229">
        <v>-7.6499999999999999E-2</v>
      </c>
      <c r="ER198" s="231">
        <v>72513</v>
      </c>
      <c r="ES198" s="231">
        <v>57736</v>
      </c>
      <c r="ET198" s="231">
        <v>244101</v>
      </c>
      <c r="EU198" s="231">
        <v>76137451</v>
      </c>
      <c r="EV198" s="231">
        <v>374350</v>
      </c>
      <c r="EW198" s="231">
        <v>371302</v>
      </c>
      <c r="EX198" s="231">
        <v>3048</v>
      </c>
      <c r="EY198" s="229">
        <v>8.2000000000000007E-3</v>
      </c>
      <c r="EZ198" s="229">
        <v>0.3377</v>
      </c>
      <c r="FA198" s="227" t="s">
        <v>568</v>
      </c>
      <c r="FB198" s="161">
        <f t="shared" si="5"/>
        <v>0</v>
      </c>
    </row>
    <row r="199" spans="1:158" ht="17.25" thickBot="1" x14ac:dyDescent="0.3">
      <c r="A199" s="226">
        <v>45940</v>
      </c>
      <c r="B199" s="227" t="s">
        <v>184</v>
      </c>
      <c r="C199" s="227" t="s">
        <v>596</v>
      </c>
      <c r="D199" s="228">
        <v>200</v>
      </c>
      <c r="E199" s="231">
        <v>3175.5</v>
      </c>
      <c r="F199" s="231">
        <v>3200.8</v>
      </c>
      <c r="G199" s="228">
        <v>-25.3</v>
      </c>
      <c r="H199" s="229">
        <v>-7.9000000000000008E-3</v>
      </c>
      <c r="I199" s="231">
        <v>3159</v>
      </c>
      <c r="J199" s="231">
        <v>3191.6</v>
      </c>
      <c r="K199" s="228">
        <v>-32.6</v>
      </c>
      <c r="L199" s="229">
        <v>-1.0200000000000001E-2</v>
      </c>
      <c r="M199" s="231">
        <v>3175.5</v>
      </c>
      <c r="N199" s="231">
        <v>3200.8</v>
      </c>
      <c r="O199" s="228">
        <v>-25.3</v>
      </c>
      <c r="P199" s="229">
        <v>-7.9000000000000008E-3</v>
      </c>
      <c r="Q199" s="231">
        <v>3195.5</v>
      </c>
      <c r="R199" s="231">
        <v>3218.2</v>
      </c>
      <c r="S199" s="228">
        <v>-22.7</v>
      </c>
      <c r="T199" s="229">
        <v>-7.1000000000000004E-3</v>
      </c>
      <c r="U199" s="231">
        <v>3214</v>
      </c>
      <c r="V199" s="231">
        <v>3221.5</v>
      </c>
      <c r="W199" s="228">
        <v>-7.5</v>
      </c>
      <c r="X199" s="229">
        <v>-2.3E-3</v>
      </c>
      <c r="Y199" s="228">
        <v>16.5</v>
      </c>
      <c r="Z199" s="228">
        <v>9.1999999999999993</v>
      </c>
      <c r="AA199" s="228">
        <v>7.3</v>
      </c>
      <c r="AB199" s="229">
        <v>5.1999999999999998E-3</v>
      </c>
      <c r="AC199" s="228">
        <v>16.5</v>
      </c>
      <c r="AD199" s="228">
        <v>9.1999999999999993</v>
      </c>
      <c r="AE199" s="228">
        <v>7.3</v>
      </c>
      <c r="AF199" s="229">
        <v>5.1999999999999998E-3</v>
      </c>
      <c r="AG199" s="228">
        <v>36.5</v>
      </c>
      <c r="AH199" s="228">
        <v>26.6</v>
      </c>
      <c r="AI199" s="228">
        <v>9.9</v>
      </c>
      <c r="AJ199" s="229">
        <v>1.1599999999999999E-2</v>
      </c>
      <c r="AK199" s="228">
        <v>55</v>
      </c>
      <c r="AL199" s="228">
        <v>29.9</v>
      </c>
      <c r="AM199" s="228">
        <v>25.1</v>
      </c>
      <c r="AN199" s="229">
        <v>1.7399999999999999E-2</v>
      </c>
      <c r="AO199" s="231">
        <v>3181.47</v>
      </c>
      <c r="AP199" s="231">
        <v>3199.72</v>
      </c>
      <c r="AQ199" s="228">
        <v>0</v>
      </c>
      <c r="AR199" s="230">
        <v>144600</v>
      </c>
      <c r="AS199" s="230">
        <v>205200</v>
      </c>
      <c r="AT199" s="230">
        <v>-60600</v>
      </c>
      <c r="AU199" s="229">
        <v>-0.29530000000000001</v>
      </c>
      <c r="AV199" s="230">
        <v>133600</v>
      </c>
      <c r="AW199" s="230">
        <v>192800</v>
      </c>
      <c r="AX199" s="230">
        <v>-59200</v>
      </c>
      <c r="AY199" s="229">
        <v>-0.30709999999999998</v>
      </c>
      <c r="AZ199" s="230">
        <v>10600</v>
      </c>
      <c r="BA199" s="230">
        <v>11600</v>
      </c>
      <c r="BB199" s="230">
        <v>-1000</v>
      </c>
      <c r="BC199" s="229">
        <v>-8.6199999999999999E-2</v>
      </c>
      <c r="BD199" s="228">
        <v>400</v>
      </c>
      <c r="BE199" s="228">
        <v>800</v>
      </c>
      <c r="BF199" s="228">
        <v>-400</v>
      </c>
      <c r="BG199" s="229">
        <v>-0.5</v>
      </c>
      <c r="BH199" s="230">
        <v>227400</v>
      </c>
      <c r="BI199" s="230">
        <v>469600</v>
      </c>
      <c r="BJ199" s="230">
        <v>-242200</v>
      </c>
      <c r="BK199" s="229">
        <v>-0.51580000000000004</v>
      </c>
      <c r="BL199" s="230">
        <v>96800</v>
      </c>
      <c r="BM199" s="230">
        <v>119400</v>
      </c>
      <c r="BN199" s="230">
        <v>-22600</v>
      </c>
      <c r="BO199" s="229">
        <v>-0.1893</v>
      </c>
      <c r="BP199" s="230">
        <v>468800</v>
      </c>
      <c r="BQ199" s="230">
        <v>794200</v>
      </c>
      <c r="BR199" s="230">
        <v>-325400</v>
      </c>
      <c r="BS199" s="229">
        <v>-0.40970000000000001</v>
      </c>
      <c r="BT199" s="230">
        <v>107000</v>
      </c>
      <c r="BU199" s="230">
        <v>200231</v>
      </c>
      <c r="BV199" s="230">
        <v>-93231</v>
      </c>
      <c r="BW199" s="229">
        <v>-0.46560000000000001</v>
      </c>
      <c r="BX199" s="230">
        <v>1993200</v>
      </c>
      <c r="BY199" s="230">
        <v>1985400</v>
      </c>
      <c r="BZ199" s="230">
        <v>7800</v>
      </c>
      <c r="CA199" s="229">
        <v>3.8999999999999998E-3</v>
      </c>
      <c r="CB199" s="230">
        <v>1965800</v>
      </c>
      <c r="CC199" s="230">
        <v>1960800</v>
      </c>
      <c r="CD199" s="230">
        <v>5000</v>
      </c>
      <c r="CE199" s="229">
        <v>2.5000000000000001E-3</v>
      </c>
      <c r="CF199" s="230">
        <v>24200</v>
      </c>
      <c r="CG199" s="230">
        <v>21600</v>
      </c>
      <c r="CH199" s="230">
        <v>2600</v>
      </c>
      <c r="CI199" s="229">
        <v>0.12039999999999999</v>
      </c>
      <c r="CJ199" s="230">
        <v>3200</v>
      </c>
      <c r="CK199" s="230">
        <v>3000</v>
      </c>
      <c r="CL199" s="228">
        <v>200</v>
      </c>
      <c r="CM199" s="229">
        <v>6.6699999999999995E-2</v>
      </c>
      <c r="CN199" s="230">
        <v>428200</v>
      </c>
      <c r="CO199" s="230">
        <v>422000</v>
      </c>
      <c r="CP199" s="230">
        <v>6200</v>
      </c>
      <c r="CQ199" s="229">
        <v>1.47E-2</v>
      </c>
      <c r="CR199" s="230">
        <v>258400</v>
      </c>
      <c r="CS199" s="230">
        <v>232400</v>
      </c>
      <c r="CT199" s="230">
        <v>26000</v>
      </c>
      <c r="CU199" s="229">
        <v>0.1119</v>
      </c>
      <c r="CV199" s="230">
        <v>2679800</v>
      </c>
      <c r="CW199" s="230">
        <v>2639800</v>
      </c>
      <c r="CX199" s="230">
        <v>40000</v>
      </c>
      <c r="CY199" s="229">
        <v>1.52E-2</v>
      </c>
      <c r="CZ199" s="228">
        <v>28.15</v>
      </c>
      <c r="DA199" s="228">
        <v>28.63</v>
      </c>
      <c r="DB199" s="228">
        <v>-0.48</v>
      </c>
      <c r="DC199" s="228">
        <v>-0.48</v>
      </c>
      <c r="DD199" s="228">
        <v>43.1</v>
      </c>
      <c r="DE199" s="228">
        <v>43.2</v>
      </c>
      <c r="DF199" s="228">
        <v>-14.95</v>
      </c>
      <c r="DG199" s="228">
        <v>-0.1</v>
      </c>
      <c r="DH199" s="228">
        <v>28.54</v>
      </c>
      <c r="DI199" s="228">
        <v>28.63</v>
      </c>
      <c r="DJ199" s="228">
        <v>-0.09</v>
      </c>
      <c r="DK199" s="228">
        <v>-0.09</v>
      </c>
      <c r="DL199" s="228">
        <v>27.24</v>
      </c>
      <c r="DM199" s="228">
        <v>28.63</v>
      </c>
      <c r="DN199" s="228">
        <v>-1.39</v>
      </c>
      <c r="DO199" s="228">
        <v>-1.39</v>
      </c>
      <c r="DP199" s="228">
        <v>0.6</v>
      </c>
      <c r="DQ199" s="228">
        <v>0.55000000000000004</v>
      </c>
      <c r="DR199" s="228">
        <v>0.05</v>
      </c>
      <c r="DS199" s="229">
        <v>9.0899999999999995E-2</v>
      </c>
      <c r="DT199" s="231">
        <v>3200</v>
      </c>
      <c r="DU199" s="231">
        <v>3000</v>
      </c>
      <c r="DV199" s="228">
        <v>0.43</v>
      </c>
      <c r="DW199" s="228">
        <v>0.25</v>
      </c>
      <c r="DX199" s="228">
        <v>0.18</v>
      </c>
      <c r="DY199" s="229">
        <v>0.72</v>
      </c>
      <c r="DZ199" s="229">
        <v>1.37E-2</v>
      </c>
      <c r="EA199" s="230">
        <v>24600</v>
      </c>
      <c r="EB199" s="229">
        <v>6.3E-3</v>
      </c>
      <c r="EC199" s="229">
        <v>1.37E-2</v>
      </c>
      <c r="ED199" s="228">
        <v>18.25</v>
      </c>
      <c r="EE199" s="229">
        <v>5.7000000000000002E-3</v>
      </c>
      <c r="EF199" s="230">
        <v>45580</v>
      </c>
      <c r="EG199" s="230">
        <v>109866</v>
      </c>
      <c r="EH199" s="229">
        <v>-0.58509999999999995</v>
      </c>
      <c r="EI199" s="229">
        <v>0.42599999999999999</v>
      </c>
      <c r="EJ199" s="231">
        <v>7562.77</v>
      </c>
      <c r="EK199" s="231">
        <v>2975.91</v>
      </c>
      <c r="EL199" s="231">
        <v>4602.5</v>
      </c>
      <c r="EM199" s="231">
        <v>1448</v>
      </c>
      <c r="EN199" s="231">
        <v>15141.18</v>
      </c>
      <c r="EO199" s="231">
        <v>25859.7</v>
      </c>
      <c r="EP199" s="231">
        <v>-10718.52</v>
      </c>
      <c r="EQ199" s="229">
        <v>-0.41449999999999998</v>
      </c>
      <c r="ER199" s="231">
        <v>14207</v>
      </c>
      <c r="ES199" s="231">
        <v>7955</v>
      </c>
      <c r="ET199" s="231">
        <v>63300</v>
      </c>
      <c r="EU199" s="231">
        <v>14039249</v>
      </c>
      <c r="EV199" s="231">
        <v>85462</v>
      </c>
      <c r="EW199" s="231">
        <v>84719</v>
      </c>
      <c r="EX199" s="228">
        <v>743</v>
      </c>
      <c r="EY199" s="229">
        <v>8.8000000000000005E-3</v>
      </c>
      <c r="EZ199" s="229">
        <v>0.19089999999999999</v>
      </c>
      <c r="FA199" s="227" t="s">
        <v>567</v>
      </c>
      <c r="FB199" s="161">
        <f t="shared" si="5"/>
        <v>0</v>
      </c>
    </row>
    <row r="200" spans="1:158" ht="17.25" thickBot="1" x14ac:dyDescent="0.3">
      <c r="A200" s="226">
        <v>45940</v>
      </c>
      <c r="B200" s="227" t="s">
        <v>184</v>
      </c>
      <c r="C200" s="227" t="s">
        <v>664</v>
      </c>
      <c r="D200" s="228">
        <v>725</v>
      </c>
      <c r="E200" s="228">
        <v>903.85</v>
      </c>
      <c r="F200" s="228">
        <v>909.45</v>
      </c>
      <c r="G200" s="228">
        <v>-5.6</v>
      </c>
      <c r="H200" s="229">
        <v>-6.1999999999999998E-3</v>
      </c>
      <c r="I200" s="228">
        <v>900.15</v>
      </c>
      <c r="J200" s="228">
        <v>905</v>
      </c>
      <c r="K200" s="228">
        <v>-4.8499999999999996</v>
      </c>
      <c r="L200" s="229">
        <v>-5.4000000000000003E-3</v>
      </c>
      <c r="M200" s="228">
        <v>903.85</v>
      </c>
      <c r="N200" s="228">
        <v>909.45</v>
      </c>
      <c r="O200" s="228">
        <v>-5.6</v>
      </c>
      <c r="P200" s="229">
        <v>-6.1999999999999998E-3</v>
      </c>
      <c r="Q200" s="228">
        <v>906.85</v>
      </c>
      <c r="R200" s="228">
        <v>913.1</v>
      </c>
      <c r="S200" s="228">
        <v>-6.25</v>
      </c>
      <c r="T200" s="229">
        <v>-6.7999999999999996E-3</v>
      </c>
      <c r="U200" s="228">
        <v>911</v>
      </c>
      <c r="V200" s="228">
        <v>916.5</v>
      </c>
      <c r="W200" s="228">
        <v>-5.5</v>
      </c>
      <c r="X200" s="229">
        <v>-6.0000000000000001E-3</v>
      </c>
      <c r="Y200" s="228">
        <v>3.7</v>
      </c>
      <c r="Z200" s="228">
        <v>4.45</v>
      </c>
      <c r="AA200" s="228">
        <v>-0.75</v>
      </c>
      <c r="AB200" s="229">
        <v>4.1000000000000003E-3</v>
      </c>
      <c r="AC200" s="228">
        <v>3.7</v>
      </c>
      <c r="AD200" s="228">
        <v>4.45</v>
      </c>
      <c r="AE200" s="228">
        <v>-0.75</v>
      </c>
      <c r="AF200" s="229">
        <v>4.1000000000000003E-3</v>
      </c>
      <c r="AG200" s="228">
        <v>6.7</v>
      </c>
      <c r="AH200" s="228">
        <v>8.1</v>
      </c>
      <c r="AI200" s="228">
        <v>-1.4</v>
      </c>
      <c r="AJ200" s="229">
        <v>7.4000000000000003E-3</v>
      </c>
      <c r="AK200" s="228">
        <v>10.85</v>
      </c>
      <c r="AL200" s="228">
        <v>11.5</v>
      </c>
      <c r="AM200" s="228">
        <v>-0.65</v>
      </c>
      <c r="AN200" s="229">
        <v>1.21E-2</v>
      </c>
      <c r="AO200" s="228">
        <v>909.13</v>
      </c>
      <c r="AP200" s="228">
        <v>911.89</v>
      </c>
      <c r="AQ200" s="228">
        <v>0</v>
      </c>
      <c r="AR200" s="230">
        <v>773575</v>
      </c>
      <c r="AS200" s="230">
        <v>2060450</v>
      </c>
      <c r="AT200" s="230">
        <v>-1286875</v>
      </c>
      <c r="AU200" s="229">
        <v>-0.62460000000000004</v>
      </c>
      <c r="AV200" s="230">
        <v>682950</v>
      </c>
      <c r="AW200" s="230">
        <v>1926325</v>
      </c>
      <c r="AX200" s="230">
        <v>-1243375</v>
      </c>
      <c r="AY200" s="229">
        <v>-0.64549999999999996</v>
      </c>
      <c r="AZ200" s="230">
        <v>72500</v>
      </c>
      <c r="BA200" s="230">
        <v>124700</v>
      </c>
      <c r="BB200" s="230">
        <v>-52200</v>
      </c>
      <c r="BC200" s="229">
        <v>-0.41860000000000003</v>
      </c>
      <c r="BD200" s="230">
        <v>18125</v>
      </c>
      <c r="BE200" s="230">
        <v>9425</v>
      </c>
      <c r="BF200" s="230">
        <v>8700</v>
      </c>
      <c r="BG200" s="229">
        <v>0.92310000000000003</v>
      </c>
      <c r="BH200" s="230">
        <v>2438175</v>
      </c>
      <c r="BI200" s="230">
        <v>6951300</v>
      </c>
      <c r="BJ200" s="230">
        <v>-4513125</v>
      </c>
      <c r="BK200" s="229">
        <v>-0.6492</v>
      </c>
      <c r="BL200" s="230">
        <v>896825</v>
      </c>
      <c r="BM200" s="230">
        <v>2686125</v>
      </c>
      <c r="BN200" s="230">
        <v>-1789300</v>
      </c>
      <c r="BO200" s="229">
        <v>-0.66610000000000003</v>
      </c>
      <c r="BP200" s="230">
        <v>4108575</v>
      </c>
      <c r="BQ200" s="230">
        <v>11697875</v>
      </c>
      <c r="BR200" s="230">
        <v>-7589300</v>
      </c>
      <c r="BS200" s="229">
        <v>-0.64880000000000004</v>
      </c>
      <c r="BT200" s="230">
        <v>529150</v>
      </c>
      <c r="BU200" s="230">
        <v>1233297</v>
      </c>
      <c r="BV200" s="230">
        <v>-704147</v>
      </c>
      <c r="BW200" s="229">
        <v>-0.57089999999999996</v>
      </c>
      <c r="BX200" s="230">
        <v>7089050</v>
      </c>
      <c r="BY200" s="230">
        <v>7024525</v>
      </c>
      <c r="BZ200" s="230">
        <v>64525</v>
      </c>
      <c r="CA200" s="229">
        <v>9.1999999999999998E-3</v>
      </c>
      <c r="CB200" s="230">
        <v>6727275</v>
      </c>
      <c r="CC200" s="230">
        <v>6699725</v>
      </c>
      <c r="CD200" s="230">
        <v>27550</v>
      </c>
      <c r="CE200" s="229">
        <v>4.1000000000000003E-3</v>
      </c>
      <c r="CF200" s="230">
        <v>322625</v>
      </c>
      <c r="CG200" s="230">
        <v>303050</v>
      </c>
      <c r="CH200" s="230">
        <v>19575</v>
      </c>
      <c r="CI200" s="229">
        <v>6.4600000000000005E-2</v>
      </c>
      <c r="CJ200" s="230">
        <v>39150</v>
      </c>
      <c r="CK200" s="230">
        <v>21750</v>
      </c>
      <c r="CL200" s="230">
        <v>17400</v>
      </c>
      <c r="CM200" s="229">
        <v>0.8</v>
      </c>
      <c r="CN200" s="230">
        <v>3717800</v>
      </c>
      <c r="CO200" s="230">
        <v>3704025</v>
      </c>
      <c r="CP200" s="230">
        <v>13775</v>
      </c>
      <c r="CQ200" s="229">
        <v>3.7000000000000002E-3</v>
      </c>
      <c r="CR200" s="230">
        <v>1781325</v>
      </c>
      <c r="CS200" s="230">
        <v>1737825</v>
      </c>
      <c r="CT200" s="230">
        <v>43500</v>
      </c>
      <c r="CU200" s="229">
        <v>2.5000000000000001E-2</v>
      </c>
      <c r="CV200" s="230">
        <v>12588175</v>
      </c>
      <c r="CW200" s="230">
        <v>12466375</v>
      </c>
      <c r="CX200" s="230">
        <v>121800</v>
      </c>
      <c r="CY200" s="229">
        <v>9.7999999999999997E-3</v>
      </c>
      <c r="CZ200" s="228">
        <v>37.159999999999997</v>
      </c>
      <c r="DA200" s="228">
        <v>37.51</v>
      </c>
      <c r="DB200" s="228">
        <v>-0.35</v>
      </c>
      <c r="DC200" s="228">
        <v>-0.35</v>
      </c>
      <c r="DD200" s="228">
        <v>56.13</v>
      </c>
      <c r="DE200" s="228">
        <v>56.26</v>
      </c>
      <c r="DF200" s="228">
        <v>-18.97</v>
      </c>
      <c r="DG200" s="228">
        <v>-0.13</v>
      </c>
      <c r="DH200" s="228">
        <v>37.11</v>
      </c>
      <c r="DI200" s="228">
        <v>37.549999999999997</v>
      </c>
      <c r="DJ200" s="228">
        <v>-0.44</v>
      </c>
      <c r="DK200" s="228">
        <v>-0.44</v>
      </c>
      <c r="DL200" s="228">
        <v>37.31</v>
      </c>
      <c r="DM200" s="228">
        <v>37.4</v>
      </c>
      <c r="DN200" s="228">
        <v>-0.09</v>
      </c>
      <c r="DO200" s="228">
        <v>-0.09</v>
      </c>
      <c r="DP200" s="228">
        <v>0.48</v>
      </c>
      <c r="DQ200" s="228">
        <v>0.47</v>
      </c>
      <c r="DR200" s="228">
        <v>0.01</v>
      </c>
      <c r="DS200" s="229">
        <v>2.1299999999999999E-2</v>
      </c>
      <c r="DT200" s="228">
        <v>920</v>
      </c>
      <c r="DU200" s="228">
        <v>900</v>
      </c>
      <c r="DV200" s="228">
        <v>0.37</v>
      </c>
      <c r="DW200" s="228">
        <v>0.39</v>
      </c>
      <c r="DX200" s="228">
        <v>-0.02</v>
      </c>
      <c r="DY200" s="229">
        <v>-5.1299999999999998E-2</v>
      </c>
      <c r="DZ200" s="229">
        <v>5.0999999999999997E-2</v>
      </c>
      <c r="EA200" s="230">
        <v>324800</v>
      </c>
      <c r="EB200" s="229">
        <v>3.3E-3</v>
      </c>
      <c r="EC200" s="229">
        <v>5.0999999999999997E-2</v>
      </c>
      <c r="ED200" s="228">
        <v>2.76</v>
      </c>
      <c r="EE200" s="229">
        <v>3.0000000000000001E-3</v>
      </c>
      <c r="EF200" s="230">
        <v>155082</v>
      </c>
      <c r="EG200" s="230">
        <v>177478</v>
      </c>
      <c r="EH200" s="229">
        <v>-0.12620000000000001</v>
      </c>
      <c r="EI200" s="229">
        <v>0.29310000000000003</v>
      </c>
      <c r="EJ200" s="231">
        <v>23638.77</v>
      </c>
      <c r="EK200" s="231">
        <v>7946.18</v>
      </c>
      <c r="EL200" s="231">
        <v>7036.49</v>
      </c>
      <c r="EM200" s="231">
        <v>2630</v>
      </c>
      <c r="EN200" s="231">
        <v>38621.440000000002</v>
      </c>
      <c r="EO200" s="231">
        <v>109546.81</v>
      </c>
      <c r="EP200" s="231">
        <v>-70925.37</v>
      </c>
      <c r="EQ200" s="229">
        <v>-0.64739999999999998</v>
      </c>
      <c r="ER200" s="231">
        <v>35465</v>
      </c>
      <c r="ES200" s="231">
        <v>15319</v>
      </c>
      <c r="ET200" s="231">
        <v>64087</v>
      </c>
      <c r="EU200" s="231">
        <v>12028036</v>
      </c>
      <c r="EV200" s="231">
        <v>114870</v>
      </c>
      <c r="EW200" s="231">
        <v>114249</v>
      </c>
      <c r="EX200" s="228">
        <v>621</v>
      </c>
      <c r="EY200" s="229">
        <v>5.4000000000000003E-3</v>
      </c>
      <c r="EZ200" s="229">
        <v>1.0466</v>
      </c>
      <c r="FA200" s="227" t="s">
        <v>567</v>
      </c>
      <c r="FB200" s="161">
        <f t="shared" si="5"/>
        <v>0</v>
      </c>
    </row>
    <row r="201" spans="1:158" ht="17.25" thickBot="1" x14ac:dyDescent="0.3">
      <c r="A201" s="226">
        <v>45940</v>
      </c>
      <c r="B201" s="227" t="s">
        <v>168</v>
      </c>
      <c r="C201" s="227" t="s">
        <v>297</v>
      </c>
      <c r="D201" s="228">
        <v>175</v>
      </c>
      <c r="E201" s="231">
        <v>3550.2</v>
      </c>
      <c r="F201" s="231">
        <v>3566</v>
      </c>
      <c r="G201" s="228">
        <v>-15.8</v>
      </c>
      <c r="H201" s="229">
        <v>-4.4000000000000003E-3</v>
      </c>
      <c r="I201" s="231">
        <v>3531.9</v>
      </c>
      <c r="J201" s="231">
        <v>3550.6</v>
      </c>
      <c r="K201" s="228">
        <v>-18.7</v>
      </c>
      <c r="L201" s="229">
        <v>-5.3E-3</v>
      </c>
      <c r="M201" s="231">
        <v>3550.2</v>
      </c>
      <c r="N201" s="231">
        <v>3566</v>
      </c>
      <c r="O201" s="228">
        <v>-15.8</v>
      </c>
      <c r="P201" s="229">
        <v>-4.4000000000000003E-3</v>
      </c>
      <c r="Q201" s="231">
        <v>3569.9</v>
      </c>
      <c r="R201" s="231">
        <v>3586.3</v>
      </c>
      <c r="S201" s="228">
        <v>-16.399999999999999</v>
      </c>
      <c r="T201" s="229">
        <v>-4.5999999999999999E-3</v>
      </c>
      <c r="U201" s="231">
        <v>3592.7</v>
      </c>
      <c r="V201" s="231">
        <v>3603.6</v>
      </c>
      <c r="W201" s="228">
        <v>-10.9</v>
      </c>
      <c r="X201" s="229">
        <v>-3.0000000000000001E-3</v>
      </c>
      <c r="Y201" s="228">
        <v>18.3</v>
      </c>
      <c r="Z201" s="228">
        <v>15.4</v>
      </c>
      <c r="AA201" s="228">
        <v>2.9</v>
      </c>
      <c r="AB201" s="229">
        <v>5.1999999999999998E-3</v>
      </c>
      <c r="AC201" s="228">
        <v>18.3</v>
      </c>
      <c r="AD201" s="228">
        <v>15.4</v>
      </c>
      <c r="AE201" s="228">
        <v>2.9</v>
      </c>
      <c r="AF201" s="229">
        <v>5.1999999999999998E-3</v>
      </c>
      <c r="AG201" s="228">
        <v>38</v>
      </c>
      <c r="AH201" s="228">
        <v>35.700000000000003</v>
      </c>
      <c r="AI201" s="228">
        <v>2.2999999999999998</v>
      </c>
      <c r="AJ201" s="229">
        <v>1.0800000000000001E-2</v>
      </c>
      <c r="AK201" s="228">
        <v>60.8</v>
      </c>
      <c r="AL201" s="228">
        <v>53</v>
      </c>
      <c r="AM201" s="228">
        <v>7.8</v>
      </c>
      <c r="AN201" s="229">
        <v>1.72E-2</v>
      </c>
      <c r="AO201" s="231">
        <v>3566.06</v>
      </c>
      <c r="AP201" s="231">
        <v>3587.81</v>
      </c>
      <c r="AQ201" s="228">
        <v>0</v>
      </c>
      <c r="AR201" s="230">
        <v>1297450</v>
      </c>
      <c r="AS201" s="230">
        <v>984725</v>
      </c>
      <c r="AT201" s="230">
        <v>312725</v>
      </c>
      <c r="AU201" s="229">
        <v>0.31759999999999999</v>
      </c>
      <c r="AV201" s="230">
        <v>1186325</v>
      </c>
      <c r="AW201" s="230">
        <v>914550</v>
      </c>
      <c r="AX201" s="230">
        <v>271775</v>
      </c>
      <c r="AY201" s="229">
        <v>0.29720000000000002</v>
      </c>
      <c r="AZ201" s="230">
        <v>87500</v>
      </c>
      <c r="BA201" s="230">
        <v>63875</v>
      </c>
      <c r="BB201" s="230">
        <v>23625</v>
      </c>
      <c r="BC201" s="229">
        <v>0.36990000000000001</v>
      </c>
      <c r="BD201" s="230">
        <v>23625</v>
      </c>
      <c r="BE201" s="230">
        <v>6300</v>
      </c>
      <c r="BF201" s="230">
        <v>17325</v>
      </c>
      <c r="BG201" s="229">
        <v>2.75</v>
      </c>
      <c r="BH201" s="230">
        <v>5528600</v>
      </c>
      <c r="BI201" s="230">
        <v>5118575</v>
      </c>
      <c r="BJ201" s="230">
        <v>410025</v>
      </c>
      <c r="BK201" s="229">
        <v>8.0100000000000005E-2</v>
      </c>
      <c r="BL201" s="230">
        <v>3399025</v>
      </c>
      <c r="BM201" s="230">
        <v>3933825</v>
      </c>
      <c r="BN201" s="230">
        <v>-534800</v>
      </c>
      <c r="BO201" s="229">
        <v>-0.13589999999999999</v>
      </c>
      <c r="BP201" s="230">
        <v>10225075</v>
      </c>
      <c r="BQ201" s="230">
        <v>10037125</v>
      </c>
      <c r="BR201" s="230">
        <v>187950</v>
      </c>
      <c r="BS201" s="229">
        <v>1.8700000000000001E-2</v>
      </c>
      <c r="BT201" s="230">
        <v>838987</v>
      </c>
      <c r="BU201" s="230">
        <v>622629</v>
      </c>
      <c r="BV201" s="230">
        <v>216358</v>
      </c>
      <c r="BW201" s="229">
        <v>0.34749999999999998</v>
      </c>
      <c r="BX201" s="230">
        <v>11127375</v>
      </c>
      <c r="BY201" s="230">
        <v>11250575</v>
      </c>
      <c r="BZ201" s="230">
        <v>-123200</v>
      </c>
      <c r="CA201" s="229">
        <v>-1.0999999999999999E-2</v>
      </c>
      <c r="CB201" s="230">
        <v>10924900</v>
      </c>
      <c r="CC201" s="230">
        <v>11066475</v>
      </c>
      <c r="CD201" s="230">
        <v>-141575</v>
      </c>
      <c r="CE201" s="229">
        <v>-1.2800000000000001E-2</v>
      </c>
      <c r="CF201" s="230">
        <v>165025</v>
      </c>
      <c r="CG201" s="230">
        <v>162400</v>
      </c>
      <c r="CH201" s="230">
        <v>2625</v>
      </c>
      <c r="CI201" s="229">
        <v>1.6199999999999999E-2</v>
      </c>
      <c r="CJ201" s="230">
        <v>37450</v>
      </c>
      <c r="CK201" s="230">
        <v>21700</v>
      </c>
      <c r="CL201" s="230">
        <v>15750</v>
      </c>
      <c r="CM201" s="229">
        <v>0.7258</v>
      </c>
      <c r="CN201" s="230">
        <v>4688600</v>
      </c>
      <c r="CO201" s="230">
        <v>4796575</v>
      </c>
      <c r="CP201" s="230">
        <v>-107975</v>
      </c>
      <c r="CQ201" s="229">
        <v>-2.2499999999999999E-2</v>
      </c>
      <c r="CR201" s="230">
        <v>2934750</v>
      </c>
      <c r="CS201" s="230">
        <v>3088050</v>
      </c>
      <c r="CT201" s="230">
        <v>-153300</v>
      </c>
      <c r="CU201" s="229">
        <v>-4.9599999999999998E-2</v>
      </c>
      <c r="CV201" s="230">
        <v>18750725</v>
      </c>
      <c r="CW201" s="230">
        <v>19135200</v>
      </c>
      <c r="CX201" s="230">
        <v>-384475</v>
      </c>
      <c r="CY201" s="229">
        <v>-2.01E-2</v>
      </c>
      <c r="CZ201" s="228">
        <v>17.579999999999998</v>
      </c>
      <c r="DA201" s="228">
        <v>18.11</v>
      </c>
      <c r="DB201" s="228">
        <v>-0.53</v>
      </c>
      <c r="DC201" s="228">
        <v>-0.53</v>
      </c>
      <c r="DD201" s="228">
        <v>26.18</v>
      </c>
      <c r="DE201" s="228">
        <v>26.23</v>
      </c>
      <c r="DF201" s="228">
        <v>-8.6</v>
      </c>
      <c r="DG201" s="228">
        <v>-0.05</v>
      </c>
      <c r="DH201" s="228">
        <v>18.079999999999998</v>
      </c>
      <c r="DI201" s="228">
        <v>18.25</v>
      </c>
      <c r="DJ201" s="228">
        <v>-0.17</v>
      </c>
      <c r="DK201" s="228">
        <v>-0.17</v>
      </c>
      <c r="DL201" s="228">
        <v>16.77</v>
      </c>
      <c r="DM201" s="228">
        <v>17.93</v>
      </c>
      <c r="DN201" s="228">
        <v>-1.1599999999999999</v>
      </c>
      <c r="DO201" s="228">
        <v>-1.1599999999999999</v>
      </c>
      <c r="DP201" s="228">
        <v>0.63</v>
      </c>
      <c r="DQ201" s="228">
        <v>0.64</v>
      </c>
      <c r="DR201" s="228">
        <v>-0.01</v>
      </c>
      <c r="DS201" s="229">
        <v>-1.5599999999999999E-2</v>
      </c>
      <c r="DT201" s="231">
        <v>3400</v>
      </c>
      <c r="DU201" s="231">
        <v>3500</v>
      </c>
      <c r="DV201" s="228">
        <v>0.61</v>
      </c>
      <c r="DW201" s="228">
        <v>0.77</v>
      </c>
      <c r="DX201" s="228">
        <v>-0.16</v>
      </c>
      <c r="DY201" s="229">
        <v>-0.20780000000000001</v>
      </c>
      <c r="DZ201" s="229">
        <v>1.8200000000000001E-2</v>
      </c>
      <c r="EA201" s="230">
        <v>184100</v>
      </c>
      <c r="EB201" s="229">
        <v>5.4999999999999997E-3</v>
      </c>
      <c r="EC201" s="229">
        <v>1.8200000000000001E-2</v>
      </c>
      <c r="ED201" s="228">
        <v>21.75</v>
      </c>
      <c r="EE201" s="229">
        <v>6.1000000000000004E-3</v>
      </c>
      <c r="EF201" s="230">
        <v>532329</v>
      </c>
      <c r="EG201" s="230">
        <v>317035</v>
      </c>
      <c r="EH201" s="229">
        <v>0.67910000000000004</v>
      </c>
      <c r="EI201" s="229">
        <v>0.63449999999999995</v>
      </c>
      <c r="EJ201" s="231">
        <v>204061.92</v>
      </c>
      <c r="EK201" s="231">
        <v>119708.77</v>
      </c>
      <c r="EL201" s="231">
        <v>46298.06</v>
      </c>
      <c r="EM201" s="231">
        <v>13317</v>
      </c>
      <c r="EN201" s="231">
        <v>370068.75</v>
      </c>
      <c r="EO201" s="231">
        <v>361881.41</v>
      </c>
      <c r="EP201" s="231">
        <v>8187.34</v>
      </c>
      <c r="EQ201" s="229">
        <v>2.2599999999999999E-2</v>
      </c>
      <c r="ER201" s="231">
        <v>169607</v>
      </c>
      <c r="ES201" s="231">
        <v>100308</v>
      </c>
      <c r="ET201" s="231">
        <v>395092</v>
      </c>
      <c r="EU201" s="231">
        <v>41744334</v>
      </c>
      <c r="EV201" s="231">
        <v>665007</v>
      </c>
      <c r="EW201" s="231">
        <v>680342</v>
      </c>
      <c r="EX201" s="231">
        <v>-15335</v>
      </c>
      <c r="EY201" s="229">
        <v>-2.2499999999999999E-2</v>
      </c>
      <c r="EZ201" s="229">
        <v>0.44919999999999999</v>
      </c>
      <c r="FA201" s="227" t="s">
        <v>568</v>
      </c>
      <c r="FB201" s="161">
        <f t="shared" si="5"/>
        <v>0</v>
      </c>
    </row>
    <row r="202" spans="1:158" ht="17.25" thickBot="1" x14ac:dyDescent="0.3">
      <c r="A202" s="226">
        <v>45940</v>
      </c>
      <c r="B202" s="227" t="s">
        <v>170</v>
      </c>
      <c r="C202" s="227" t="s">
        <v>298</v>
      </c>
      <c r="D202" s="228">
        <v>250</v>
      </c>
      <c r="E202" s="231">
        <v>3551.4</v>
      </c>
      <c r="F202" s="231">
        <v>3567.5</v>
      </c>
      <c r="G202" s="228">
        <v>-16.100000000000001</v>
      </c>
      <c r="H202" s="229">
        <v>-4.4999999999999997E-3</v>
      </c>
      <c r="I202" s="231">
        <v>3532.8</v>
      </c>
      <c r="J202" s="231">
        <v>3550.5</v>
      </c>
      <c r="K202" s="228">
        <v>-17.7</v>
      </c>
      <c r="L202" s="229">
        <v>-5.0000000000000001E-3</v>
      </c>
      <c r="M202" s="231">
        <v>3551.4</v>
      </c>
      <c r="N202" s="231">
        <v>3567.5</v>
      </c>
      <c r="O202" s="228">
        <v>-16.100000000000001</v>
      </c>
      <c r="P202" s="229">
        <v>-4.4999999999999997E-3</v>
      </c>
      <c r="Q202" s="231">
        <v>3570.6</v>
      </c>
      <c r="R202" s="231">
        <v>3583.1</v>
      </c>
      <c r="S202" s="228">
        <v>-12.5</v>
      </c>
      <c r="T202" s="229">
        <v>-3.5000000000000001E-3</v>
      </c>
      <c r="U202" s="231">
        <v>3585</v>
      </c>
      <c r="V202" s="231">
        <v>3585</v>
      </c>
      <c r="W202" s="228">
        <v>0</v>
      </c>
      <c r="X202" s="229">
        <v>0</v>
      </c>
      <c r="Y202" s="228">
        <v>18.600000000000001</v>
      </c>
      <c r="Z202" s="228">
        <v>17</v>
      </c>
      <c r="AA202" s="228">
        <v>1.6</v>
      </c>
      <c r="AB202" s="229">
        <v>5.3E-3</v>
      </c>
      <c r="AC202" s="228">
        <v>18.600000000000001</v>
      </c>
      <c r="AD202" s="228">
        <v>17</v>
      </c>
      <c r="AE202" s="228">
        <v>1.6</v>
      </c>
      <c r="AF202" s="229">
        <v>5.3E-3</v>
      </c>
      <c r="AG202" s="228">
        <v>37.799999999999997</v>
      </c>
      <c r="AH202" s="228">
        <v>32.6</v>
      </c>
      <c r="AI202" s="228">
        <v>5.2</v>
      </c>
      <c r="AJ202" s="229">
        <v>1.0699999999999999E-2</v>
      </c>
      <c r="AK202" s="228">
        <v>52.2</v>
      </c>
      <c r="AL202" s="228">
        <v>34.5</v>
      </c>
      <c r="AM202" s="228">
        <v>17.7</v>
      </c>
      <c r="AN202" s="229">
        <v>1.4800000000000001E-2</v>
      </c>
      <c r="AO202" s="231">
        <v>3564</v>
      </c>
      <c r="AP202" s="231">
        <v>3586.72</v>
      </c>
      <c r="AQ202" s="228">
        <v>0</v>
      </c>
      <c r="AR202" s="230">
        <v>346500</v>
      </c>
      <c r="AS202" s="230">
        <v>317250</v>
      </c>
      <c r="AT202" s="230">
        <v>29250</v>
      </c>
      <c r="AU202" s="229">
        <v>9.2200000000000004E-2</v>
      </c>
      <c r="AV202" s="230">
        <v>340000</v>
      </c>
      <c r="AW202" s="230">
        <v>310500</v>
      </c>
      <c r="AX202" s="230">
        <v>29500</v>
      </c>
      <c r="AY202" s="229">
        <v>9.5000000000000001E-2</v>
      </c>
      <c r="AZ202" s="230">
        <v>6250</v>
      </c>
      <c r="BA202" s="230">
        <v>6750</v>
      </c>
      <c r="BB202" s="228">
        <v>-500</v>
      </c>
      <c r="BC202" s="229">
        <v>-7.4099999999999999E-2</v>
      </c>
      <c r="BD202" s="228">
        <v>250</v>
      </c>
      <c r="BE202" s="228">
        <v>0</v>
      </c>
      <c r="BF202" s="228">
        <v>250</v>
      </c>
      <c r="BG202" s="229">
        <v>0</v>
      </c>
      <c r="BH202" s="230">
        <v>827250</v>
      </c>
      <c r="BI202" s="230">
        <v>1212500</v>
      </c>
      <c r="BJ202" s="230">
        <v>-385250</v>
      </c>
      <c r="BK202" s="229">
        <v>-0.31769999999999998</v>
      </c>
      <c r="BL202" s="230">
        <v>189250</v>
      </c>
      <c r="BM202" s="230">
        <v>620000</v>
      </c>
      <c r="BN202" s="230">
        <v>-430750</v>
      </c>
      <c r="BO202" s="229">
        <v>-0.69479999999999997</v>
      </c>
      <c r="BP202" s="230">
        <v>1363000</v>
      </c>
      <c r="BQ202" s="230">
        <v>2149750</v>
      </c>
      <c r="BR202" s="230">
        <v>-786750</v>
      </c>
      <c r="BS202" s="229">
        <v>-0.36599999999999999</v>
      </c>
      <c r="BT202" s="230">
        <v>182075</v>
      </c>
      <c r="BU202" s="230">
        <v>205673</v>
      </c>
      <c r="BV202" s="230">
        <v>-23598</v>
      </c>
      <c r="BW202" s="229">
        <v>-0.1147</v>
      </c>
      <c r="BX202" s="230">
        <v>2298500</v>
      </c>
      <c r="BY202" s="230">
        <v>2364500</v>
      </c>
      <c r="BZ202" s="230">
        <v>-66000</v>
      </c>
      <c r="CA202" s="229">
        <v>-2.7900000000000001E-2</v>
      </c>
      <c r="CB202" s="230">
        <v>2285500</v>
      </c>
      <c r="CC202" s="230">
        <v>2352250</v>
      </c>
      <c r="CD202" s="230">
        <v>-66750</v>
      </c>
      <c r="CE202" s="229">
        <v>-2.8400000000000002E-2</v>
      </c>
      <c r="CF202" s="230">
        <v>12500</v>
      </c>
      <c r="CG202" s="230">
        <v>12000</v>
      </c>
      <c r="CH202" s="228">
        <v>500</v>
      </c>
      <c r="CI202" s="229">
        <v>4.1700000000000001E-2</v>
      </c>
      <c r="CJ202" s="228">
        <v>500</v>
      </c>
      <c r="CK202" s="228">
        <v>250</v>
      </c>
      <c r="CL202" s="228">
        <v>250</v>
      </c>
      <c r="CM202" s="229">
        <v>1</v>
      </c>
      <c r="CN202" s="230">
        <v>663250</v>
      </c>
      <c r="CO202" s="230">
        <v>669250</v>
      </c>
      <c r="CP202" s="230">
        <v>-6000</v>
      </c>
      <c r="CQ202" s="229">
        <v>-8.9999999999999993E-3</v>
      </c>
      <c r="CR202" s="230">
        <v>333250</v>
      </c>
      <c r="CS202" s="230">
        <v>345500</v>
      </c>
      <c r="CT202" s="230">
        <v>-12250</v>
      </c>
      <c r="CU202" s="229">
        <v>-3.5499999999999997E-2</v>
      </c>
      <c r="CV202" s="230">
        <v>3295000</v>
      </c>
      <c r="CW202" s="230">
        <v>3379250</v>
      </c>
      <c r="CX202" s="230">
        <v>-84250</v>
      </c>
      <c r="CY202" s="229">
        <v>-2.4899999999999999E-2</v>
      </c>
      <c r="CZ202" s="228">
        <v>20.7</v>
      </c>
      <c r="DA202" s="228">
        <v>19.93</v>
      </c>
      <c r="DB202" s="228">
        <v>0.77</v>
      </c>
      <c r="DC202" s="228">
        <v>0.77</v>
      </c>
      <c r="DD202" s="228">
        <v>25.98</v>
      </c>
      <c r="DE202" s="228">
        <v>26.04</v>
      </c>
      <c r="DF202" s="228">
        <v>-5.28</v>
      </c>
      <c r="DG202" s="228">
        <v>-0.06</v>
      </c>
      <c r="DH202" s="228">
        <v>21.07</v>
      </c>
      <c r="DI202" s="228">
        <v>19.97</v>
      </c>
      <c r="DJ202" s="228">
        <v>1.1000000000000001</v>
      </c>
      <c r="DK202" s="228">
        <v>1.1000000000000001</v>
      </c>
      <c r="DL202" s="228">
        <v>19.09</v>
      </c>
      <c r="DM202" s="228">
        <v>19.84</v>
      </c>
      <c r="DN202" s="228">
        <v>-0.75</v>
      </c>
      <c r="DO202" s="228">
        <v>-0.75</v>
      </c>
      <c r="DP202" s="228">
        <v>0.5</v>
      </c>
      <c r="DQ202" s="228">
        <v>0.52</v>
      </c>
      <c r="DR202" s="228">
        <v>-0.02</v>
      </c>
      <c r="DS202" s="229">
        <v>-3.85E-2</v>
      </c>
      <c r="DT202" s="231">
        <v>3600</v>
      </c>
      <c r="DU202" s="231">
        <v>3500</v>
      </c>
      <c r="DV202" s="228">
        <v>0.23</v>
      </c>
      <c r="DW202" s="228">
        <v>0.51</v>
      </c>
      <c r="DX202" s="228">
        <v>-0.28000000000000003</v>
      </c>
      <c r="DY202" s="229">
        <v>-0.54900000000000004</v>
      </c>
      <c r="DZ202" s="229">
        <v>5.7000000000000002E-3</v>
      </c>
      <c r="EA202" s="230">
        <v>12250</v>
      </c>
      <c r="EB202" s="229">
        <v>5.4000000000000003E-3</v>
      </c>
      <c r="EC202" s="229">
        <v>5.7000000000000002E-3</v>
      </c>
      <c r="ED202" s="228">
        <v>22.72</v>
      </c>
      <c r="EE202" s="229">
        <v>6.4000000000000003E-3</v>
      </c>
      <c r="EF202" s="230">
        <v>119843</v>
      </c>
      <c r="EG202" s="230">
        <v>134417</v>
      </c>
      <c r="EH202" s="229">
        <v>-0.1084</v>
      </c>
      <c r="EI202" s="229">
        <v>0.65820000000000001</v>
      </c>
      <c r="EJ202" s="231">
        <v>31001.37</v>
      </c>
      <c r="EK202" s="231">
        <v>6567.76</v>
      </c>
      <c r="EL202" s="231">
        <v>12350.74</v>
      </c>
      <c r="EM202" s="231">
        <v>1378</v>
      </c>
      <c r="EN202" s="231">
        <v>49919.87</v>
      </c>
      <c r="EO202" s="231">
        <v>77989.41</v>
      </c>
      <c r="EP202" s="231">
        <v>-28069.54</v>
      </c>
      <c r="EQ202" s="229">
        <v>-0.3599</v>
      </c>
      <c r="ER202" s="231">
        <v>24373</v>
      </c>
      <c r="ES202" s="231">
        <v>11773</v>
      </c>
      <c r="ET202" s="231">
        <v>81631</v>
      </c>
      <c r="EU202" s="231">
        <v>16072672</v>
      </c>
      <c r="EV202" s="231">
        <v>117778</v>
      </c>
      <c r="EW202" s="231">
        <v>121152</v>
      </c>
      <c r="EX202" s="231">
        <v>-3374</v>
      </c>
      <c r="EY202" s="229">
        <v>-2.7799999999999998E-2</v>
      </c>
      <c r="EZ202" s="229">
        <v>0.20499999999999999</v>
      </c>
      <c r="FA202" s="227" t="s">
        <v>568</v>
      </c>
      <c r="FB202" s="161">
        <f t="shared" si="5"/>
        <v>0</v>
      </c>
    </row>
    <row r="203" spans="1:158" ht="17.25" thickBot="1" x14ac:dyDescent="0.3">
      <c r="A203" s="226">
        <v>45940</v>
      </c>
      <c r="B203" s="227" t="s">
        <v>161</v>
      </c>
      <c r="C203" s="227" t="s">
        <v>299</v>
      </c>
      <c r="D203" s="228">
        <v>375</v>
      </c>
      <c r="E203" s="231">
        <v>1244.3</v>
      </c>
      <c r="F203" s="231">
        <v>1247</v>
      </c>
      <c r="G203" s="228">
        <v>-2.7</v>
      </c>
      <c r="H203" s="229">
        <v>-2.2000000000000001E-3</v>
      </c>
      <c r="I203" s="231">
        <v>1239.3</v>
      </c>
      <c r="J203" s="231">
        <v>1240.5</v>
      </c>
      <c r="K203" s="228">
        <v>-1.2</v>
      </c>
      <c r="L203" s="229">
        <v>-1E-3</v>
      </c>
      <c r="M203" s="231">
        <v>1244.3</v>
      </c>
      <c r="N203" s="231">
        <v>1247</v>
      </c>
      <c r="O203" s="228">
        <v>-2.7</v>
      </c>
      <c r="P203" s="229">
        <v>-2.2000000000000001E-3</v>
      </c>
      <c r="Q203" s="231">
        <v>1251.2</v>
      </c>
      <c r="R203" s="231">
        <v>1253.0999999999999</v>
      </c>
      <c r="S203" s="228">
        <v>-1.9</v>
      </c>
      <c r="T203" s="229">
        <v>-1.5E-3</v>
      </c>
      <c r="U203" s="231">
        <v>1260.5</v>
      </c>
      <c r="V203" s="231">
        <v>1265</v>
      </c>
      <c r="W203" s="228">
        <v>-4.5</v>
      </c>
      <c r="X203" s="229">
        <v>-3.5999999999999999E-3</v>
      </c>
      <c r="Y203" s="228">
        <v>5</v>
      </c>
      <c r="Z203" s="228">
        <v>6.5</v>
      </c>
      <c r="AA203" s="228">
        <v>-1.5</v>
      </c>
      <c r="AB203" s="229">
        <v>4.0000000000000001E-3</v>
      </c>
      <c r="AC203" s="228">
        <v>5</v>
      </c>
      <c r="AD203" s="228">
        <v>6.5</v>
      </c>
      <c r="AE203" s="228">
        <v>-1.5</v>
      </c>
      <c r="AF203" s="229">
        <v>4.0000000000000001E-3</v>
      </c>
      <c r="AG203" s="228">
        <v>11.9</v>
      </c>
      <c r="AH203" s="228">
        <v>12.6</v>
      </c>
      <c r="AI203" s="228">
        <v>-0.7</v>
      </c>
      <c r="AJ203" s="229">
        <v>9.5999999999999992E-3</v>
      </c>
      <c r="AK203" s="228">
        <v>21.2</v>
      </c>
      <c r="AL203" s="228">
        <v>24.5</v>
      </c>
      <c r="AM203" s="228">
        <v>-3.3</v>
      </c>
      <c r="AN203" s="229">
        <v>1.7100000000000001E-2</v>
      </c>
      <c r="AO203" s="231">
        <v>1246.5</v>
      </c>
      <c r="AP203" s="231">
        <v>1253.6400000000001</v>
      </c>
      <c r="AQ203" s="228">
        <v>0</v>
      </c>
      <c r="AR203" s="230">
        <v>352500</v>
      </c>
      <c r="AS203" s="230">
        <v>528375</v>
      </c>
      <c r="AT203" s="230">
        <v>-175875</v>
      </c>
      <c r="AU203" s="229">
        <v>-0.33289999999999997</v>
      </c>
      <c r="AV203" s="230">
        <v>330750</v>
      </c>
      <c r="AW203" s="230">
        <v>491250</v>
      </c>
      <c r="AX203" s="230">
        <v>-160500</v>
      </c>
      <c r="AY203" s="229">
        <v>-0.32669999999999999</v>
      </c>
      <c r="AZ203" s="230">
        <v>19500</v>
      </c>
      <c r="BA203" s="230">
        <v>34500</v>
      </c>
      <c r="BB203" s="230">
        <v>-15000</v>
      </c>
      <c r="BC203" s="229">
        <v>-0.43480000000000002</v>
      </c>
      <c r="BD203" s="230">
        <v>2250</v>
      </c>
      <c r="BE203" s="230">
        <v>2625</v>
      </c>
      <c r="BF203" s="228">
        <v>-375</v>
      </c>
      <c r="BG203" s="229">
        <v>-0.1429</v>
      </c>
      <c r="BH203" s="230">
        <v>554250</v>
      </c>
      <c r="BI203" s="230">
        <v>830625</v>
      </c>
      <c r="BJ203" s="230">
        <v>-276375</v>
      </c>
      <c r="BK203" s="229">
        <v>-0.3327</v>
      </c>
      <c r="BL203" s="230">
        <v>213750</v>
      </c>
      <c r="BM203" s="230">
        <v>281625</v>
      </c>
      <c r="BN203" s="230">
        <v>-67875</v>
      </c>
      <c r="BO203" s="229">
        <v>-0.24099999999999999</v>
      </c>
      <c r="BP203" s="230">
        <v>1120500</v>
      </c>
      <c r="BQ203" s="230">
        <v>1640625</v>
      </c>
      <c r="BR203" s="230">
        <v>-520125</v>
      </c>
      <c r="BS203" s="229">
        <v>-0.317</v>
      </c>
      <c r="BT203" s="230">
        <v>171438</v>
      </c>
      <c r="BU203" s="230">
        <v>244957</v>
      </c>
      <c r="BV203" s="230">
        <v>-73519</v>
      </c>
      <c r="BW203" s="229">
        <v>-0.30009999999999998</v>
      </c>
      <c r="BX203" s="230">
        <v>4432500</v>
      </c>
      <c r="BY203" s="230">
        <v>4446375</v>
      </c>
      <c r="BZ203" s="230">
        <v>-13875</v>
      </c>
      <c r="CA203" s="229">
        <v>-3.0999999999999999E-3</v>
      </c>
      <c r="CB203" s="230">
        <v>4308750</v>
      </c>
      <c r="CC203" s="230">
        <v>4329000</v>
      </c>
      <c r="CD203" s="230">
        <v>-20250</v>
      </c>
      <c r="CE203" s="229">
        <v>-4.7000000000000002E-3</v>
      </c>
      <c r="CF203" s="230">
        <v>111000</v>
      </c>
      <c r="CG203" s="230">
        <v>106125</v>
      </c>
      <c r="CH203" s="230">
        <v>4875</v>
      </c>
      <c r="CI203" s="229">
        <v>4.5900000000000003E-2</v>
      </c>
      <c r="CJ203" s="230">
        <v>12750</v>
      </c>
      <c r="CK203" s="230">
        <v>11250</v>
      </c>
      <c r="CL203" s="230">
        <v>1500</v>
      </c>
      <c r="CM203" s="229">
        <v>0.1333</v>
      </c>
      <c r="CN203" s="230">
        <v>1369125</v>
      </c>
      <c r="CO203" s="230">
        <v>1334625</v>
      </c>
      <c r="CP203" s="230">
        <v>34500</v>
      </c>
      <c r="CQ203" s="229">
        <v>2.58E-2</v>
      </c>
      <c r="CR203" s="230">
        <v>769125</v>
      </c>
      <c r="CS203" s="230">
        <v>748125</v>
      </c>
      <c r="CT203" s="230">
        <v>21000</v>
      </c>
      <c r="CU203" s="229">
        <v>2.81E-2</v>
      </c>
      <c r="CV203" s="230">
        <v>6570750</v>
      </c>
      <c r="CW203" s="230">
        <v>6529125</v>
      </c>
      <c r="CX203" s="230">
        <v>41625</v>
      </c>
      <c r="CY203" s="229">
        <v>6.4000000000000003E-3</v>
      </c>
      <c r="CZ203" s="228">
        <v>29.96</v>
      </c>
      <c r="DA203" s="228">
        <v>29.91</v>
      </c>
      <c r="DB203" s="228">
        <v>0.05</v>
      </c>
      <c r="DC203" s="228">
        <v>0.05</v>
      </c>
      <c r="DD203" s="228">
        <v>42.18</v>
      </c>
      <c r="DE203" s="228">
        <v>42.28</v>
      </c>
      <c r="DF203" s="228">
        <v>-12.22</v>
      </c>
      <c r="DG203" s="228">
        <v>-0.1</v>
      </c>
      <c r="DH203" s="228">
        <v>30.23</v>
      </c>
      <c r="DI203" s="228">
        <v>29.8</v>
      </c>
      <c r="DJ203" s="228">
        <v>0.43</v>
      </c>
      <c r="DK203" s="228">
        <v>0.43</v>
      </c>
      <c r="DL203" s="228">
        <v>29.25</v>
      </c>
      <c r="DM203" s="228">
        <v>30.22</v>
      </c>
      <c r="DN203" s="228">
        <v>-0.97</v>
      </c>
      <c r="DO203" s="228">
        <v>-0.97</v>
      </c>
      <c r="DP203" s="228">
        <v>0.56000000000000005</v>
      </c>
      <c r="DQ203" s="228">
        <v>0.56000000000000005</v>
      </c>
      <c r="DR203" s="228">
        <v>0</v>
      </c>
      <c r="DS203" s="229">
        <v>0</v>
      </c>
      <c r="DT203" s="231">
        <v>1300</v>
      </c>
      <c r="DU203" s="231">
        <v>1200</v>
      </c>
      <c r="DV203" s="228">
        <v>0.39</v>
      </c>
      <c r="DW203" s="228">
        <v>0.34</v>
      </c>
      <c r="DX203" s="228">
        <v>0.05</v>
      </c>
      <c r="DY203" s="229">
        <v>0.14710000000000001</v>
      </c>
      <c r="DZ203" s="229">
        <v>2.7900000000000001E-2</v>
      </c>
      <c r="EA203" s="230">
        <v>117375</v>
      </c>
      <c r="EB203" s="229">
        <v>5.4999999999999997E-3</v>
      </c>
      <c r="EC203" s="229">
        <v>2.7900000000000001E-2</v>
      </c>
      <c r="ED203" s="228">
        <v>7.14</v>
      </c>
      <c r="EE203" s="229">
        <v>5.7000000000000002E-3</v>
      </c>
      <c r="EF203" s="230">
        <v>79698</v>
      </c>
      <c r="EG203" s="230">
        <v>95370</v>
      </c>
      <c r="EH203" s="229">
        <v>-0.1643</v>
      </c>
      <c r="EI203" s="229">
        <v>0.46489999999999998</v>
      </c>
      <c r="EJ203" s="231">
        <v>7219.23</v>
      </c>
      <c r="EK203" s="231">
        <v>2622.98</v>
      </c>
      <c r="EL203" s="231">
        <v>4395.68</v>
      </c>
      <c r="EM203" s="231">
        <v>2098</v>
      </c>
      <c r="EN203" s="231">
        <v>14237.89</v>
      </c>
      <c r="EO203" s="231">
        <v>20728.32</v>
      </c>
      <c r="EP203" s="231">
        <v>-6490.43</v>
      </c>
      <c r="EQ203" s="229">
        <v>-0.31309999999999999</v>
      </c>
      <c r="ER203" s="231">
        <v>17818</v>
      </c>
      <c r="ES203" s="231">
        <v>9320</v>
      </c>
      <c r="ET203" s="231">
        <v>55163</v>
      </c>
      <c r="EU203" s="231">
        <v>24646022</v>
      </c>
      <c r="EV203" s="231">
        <v>82301</v>
      </c>
      <c r="EW203" s="231">
        <v>81891</v>
      </c>
      <c r="EX203" s="228">
        <v>410</v>
      </c>
      <c r="EY203" s="229">
        <v>5.0000000000000001E-3</v>
      </c>
      <c r="EZ203" s="229">
        <v>0.2666</v>
      </c>
      <c r="FA203" s="227" t="s">
        <v>568</v>
      </c>
      <c r="FB203" s="161">
        <f t="shared" si="5"/>
        <v>0</v>
      </c>
    </row>
    <row r="204" spans="1:158" ht="17.25" thickBot="1" x14ac:dyDescent="0.3">
      <c r="A204" s="226">
        <v>45940</v>
      </c>
      <c r="B204" s="227" t="s">
        <v>197</v>
      </c>
      <c r="C204" s="227" t="s">
        <v>482</v>
      </c>
      <c r="D204" s="228">
        <v>100</v>
      </c>
      <c r="E204" s="231">
        <v>4702.3</v>
      </c>
      <c r="F204" s="231">
        <v>4684.8</v>
      </c>
      <c r="G204" s="228">
        <v>17.5</v>
      </c>
      <c r="H204" s="229">
        <v>3.7000000000000002E-3</v>
      </c>
      <c r="I204" s="231">
        <v>4691.1000000000004</v>
      </c>
      <c r="J204" s="231">
        <v>4660.8999999999996</v>
      </c>
      <c r="K204" s="228">
        <v>30.2</v>
      </c>
      <c r="L204" s="229">
        <v>6.4999999999999997E-3</v>
      </c>
      <c r="M204" s="231">
        <v>4702.3</v>
      </c>
      <c r="N204" s="231">
        <v>4684.8</v>
      </c>
      <c r="O204" s="228">
        <v>17.5</v>
      </c>
      <c r="P204" s="229">
        <v>3.7000000000000002E-3</v>
      </c>
      <c r="Q204" s="231">
        <v>4729.1000000000004</v>
      </c>
      <c r="R204" s="231">
        <v>4710.5</v>
      </c>
      <c r="S204" s="228">
        <v>18.600000000000001</v>
      </c>
      <c r="T204" s="229">
        <v>3.8999999999999998E-3</v>
      </c>
      <c r="U204" s="231">
        <v>4756.2</v>
      </c>
      <c r="V204" s="231">
        <v>4734.5</v>
      </c>
      <c r="W204" s="228">
        <v>21.7</v>
      </c>
      <c r="X204" s="229">
        <v>4.5999999999999999E-3</v>
      </c>
      <c r="Y204" s="228">
        <v>11.2</v>
      </c>
      <c r="Z204" s="228">
        <v>23.9</v>
      </c>
      <c r="AA204" s="228">
        <v>-12.7</v>
      </c>
      <c r="AB204" s="229">
        <v>2.3999999999999998E-3</v>
      </c>
      <c r="AC204" s="228">
        <v>11.2</v>
      </c>
      <c r="AD204" s="228">
        <v>23.9</v>
      </c>
      <c r="AE204" s="228">
        <v>-12.7</v>
      </c>
      <c r="AF204" s="229">
        <v>2.3999999999999998E-3</v>
      </c>
      <c r="AG204" s="228">
        <v>38</v>
      </c>
      <c r="AH204" s="228">
        <v>49.6</v>
      </c>
      <c r="AI204" s="228">
        <v>-11.6</v>
      </c>
      <c r="AJ204" s="229">
        <v>8.0999999999999996E-3</v>
      </c>
      <c r="AK204" s="228">
        <v>65.099999999999994</v>
      </c>
      <c r="AL204" s="228">
        <v>73.599999999999994</v>
      </c>
      <c r="AM204" s="228">
        <v>-8.5</v>
      </c>
      <c r="AN204" s="229">
        <v>1.3899999999999999E-2</v>
      </c>
      <c r="AO204" s="231">
        <v>4719.09</v>
      </c>
      <c r="AP204" s="231">
        <v>4741.58</v>
      </c>
      <c r="AQ204" s="228">
        <v>0</v>
      </c>
      <c r="AR204" s="230">
        <v>1124300</v>
      </c>
      <c r="AS204" s="230">
        <v>957700</v>
      </c>
      <c r="AT204" s="230">
        <v>166600</v>
      </c>
      <c r="AU204" s="229">
        <v>0.17399999999999999</v>
      </c>
      <c r="AV204" s="230">
        <v>1019900</v>
      </c>
      <c r="AW204" s="230">
        <v>836500</v>
      </c>
      <c r="AX204" s="230">
        <v>183400</v>
      </c>
      <c r="AY204" s="229">
        <v>0.21920000000000001</v>
      </c>
      <c r="AZ204" s="230">
        <v>80600</v>
      </c>
      <c r="BA204" s="230">
        <v>101500</v>
      </c>
      <c r="BB204" s="230">
        <v>-20900</v>
      </c>
      <c r="BC204" s="229">
        <v>-0.2059</v>
      </c>
      <c r="BD204" s="230">
        <v>23800</v>
      </c>
      <c r="BE204" s="230">
        <v>19700</v>
      </c>
      <c r="BF204" s="230">
        <v>4100</v>
      </c>
      <c r="BG204" s="229">
        <v>0.20810000000000001</v>
      </c>
      <c r="BH204" s="230">
        <v>6685700</v>
      </c>
      <c r="BI204" s="230">
        <v>6074400</v>
      </c>
      <c r="BJ204" s="230">
        <v>611300</v>
      </c>
      <c r="BK204" s="229">
        <v>0.10059999999999999</v>
      </c>
      <c r="BL204" s="230">
        <v>2042100</v>
      </c>
      <c r="BM204" s="230">
        <v>1898300</v>
      </c>
      <c r="BN204" s="230">
        <v>143800</v>
      </c>
      <c r="BO204" s="229">
        <v>7.5800000000000006E-2</v>
      </c>
      <c r="BP204" s="230">
        <v>9852100</v>
      </c>
      <c r="BQ204" s="230">
        <v>8930400</v>
      </c>
      <c r="BR204" s="230">
        <v>921700</v>
      </c>
      <c r="BS204" s="229">
        <v>0.1032</v>
      </c>
      <c r="BT204" s="230">
        <v>804138</v>
      </c>
      <c r="BU204" s="230">
        <v>780149</v>
      </c>
      <c r="BV204" s="230">
        <v>23989</v>
      </c>
      <c r="BW204" s="229">
        <v>3.0700000000000002E-2</v>
      </c>
      <c r="BX204" s="230">
        <v>9154100</v>
      </c>
      <c r="BY204" s="230">
        <v>9139800</v>
      </c>
      <c r="BZ204" s="230">
        <v>14300</v>
      </c>
      <c r="CA204" s="229">
        <v>1.6000000000000001E-3</v>
      </c>
      <c r="CB204" s="230">
        <v>8611600</v>
      </c>
      <c r="CC204" s="230">
        <v>8615600</v>
      </c>
      <c r="CD204" s="230">
        <v>-4000</v>
      </c>
      <c r="CE204" s="229">
        <v>-5.0000000000000001E-4</v>
      </c>
      <c r="CF204" s="230">
        <v>485500</v>
      </c>
      <c r="CG204" s="230">
        <v>472100</v>
      </c>
      <c r="CH204" s="230">
        <v>13400</v>
      </c>
      <c r="CI204" s="229">
        <v>2.8400000000000002E-2</v>
      </c>
      <c r="CJ204" s="230">
        <v>57000</v>
      </c>
      <c r="CK204" s="230">
        <v>52100</v>
      </c>
      <c r="CL204" s="230">
        <v>4900</v>
      </c>
      <c r="CM204" s="229">
        <v>9.4E-2</v>
      </c>
      <c r="CN204" s="230">
        <v>6888700</v>
      </c>
      <c r="CO204" s="230">
        <v>7051500</v>
      </c>
      <c r="CP204" s="230">
        <v>-162800</v>
      </c>
      <c r="CQ204" s="229">
        <v>-2.3099999999999999E-2</v>
      </c>
      <c r="CR204" s="230">
        <v>3062400</v>
      </c>
      <c r="CS204" s="230">
        <v>3157100</v>
      </c>
      <c r="CT204" s="230">
        <v>-94700</v>
      </c>
      <c r="CU204" s="229">
        <v>-0.03</v>
      </c>
      <c r="CV204" s="230">
        <v>19105200</v>
      </c>
      <c r="CW204" s="230">
        <v>19348400</v>
      </c>
      <c r="CX204" s="230">
        <v>-243200</v>
      </c>
      <c r="CY204" s="229">
        <v>-1.26E-2</v>
      </c>
      <c r="CZ204" s="228">
        <v>31.09</v>
      </c>
      <c r="DA204" s="228">
        <v>31.88</v>
      </c>
      <c r="DB204" s="228">
        <v>-0.79</v>
      </c>
      <c r="DC204" s="228">
        <v>-0.79</v>
      </c>
      <c r="DD204" s="228">
        <v>45.34</v>
      </c>
      <c r="DE204" s="228">
        <v>45.45</v>
      </c>
      <c r="DF204" s="228">
        <v>-14.25</v>
      </c>
      <c r="DG204" s="228">
        <v>-0.11</v>
      </c>
      <c r="DH204" s="228">
        <v>31.58</v>
      </c>
      <c r="DI204" s="228">
        <v>32.229999999999997</v>
      </c>
      <c r="DJ204" s="228">
        <v>-0.65</v>
      </c>
      <c r="DK204" s="228">
        <v>-0.65</v>
      </c>
      <c r="DL204" s="228">
        <v>29.46</v>
      </c>
      <c r="DM204" s="228">
        <v>30.75</v>
      </c>
      <c r="DN204" s="228">
        <v>-1.29</v>
      </c>
      <c r="DO204" s="228">
        <v>-1.29</v>
      </c>
      <c r="DP204" s="228">
        <v>0.44</v>
      </c>
      <c r="DQ204" s="228">
        <v>0.45</v>
      </c>
      <c r="DR204" s="228">
        <v>-0.01</v>
      </c>
      <c r="DS204" s="229">
        <v>-2.2200000000000001E-2</v>
      </c>
      <c r="DT204" s="231">
        <v>5500</v>
      </c>
      <c r="DU204" s="231">
        <v>4700</v>
      </c>
      <c r="DV204" s="228">
        <v>0.31</v>
      </c>
      <c r="DW204" s="228">
        <v>0.31</v>
      </c>
      <c r="DX204" s="228">
        <v>0</v>
      </c>
      <c r="DY204" s="229">
        <v>0</v>
      </c>
      <c r="DZ204" s="229">
        <v>5.9299999999999999E-2</v>
      </c>
      <c r="EA204" s="230">
        <v>524200</v>
      </c>
      <c r="EB204" s="229">
        <v>5.7000000000000002E-3</v>
      </c>
      <c r="EC204" s="229">
        <v>5.9299999999999999E-2</v>
      </c>
      <c r="ED204" s="228">
        <v>22.49</v>
      </c>
      <c r="EE204" s="229">
        <v>4.7999999999999996E-3</v>
      </c>
      <c r="EF204" s="230">
        <v>424716</v>
      </c>
      <c r="EG204" s="230">
        <v>415454</v>
      </c>
      <c r="EH204" s="229">
        <v>2.23E-2</v>
      </c>
      <c r="EI204" s="229">
        <v>0.5282</v>
      </c>
      <c r="EJ204" s="231">
        <v>337726.76</v>
      </c>
      <c r="EK204" s="231">
        <v>94294.52</v>
      </c>
      <c r="EL204" s="231">
        <v>53087.74</v>
      </c>
      <c r="EM204" s="231">
        <v>18802</v>
      </c>
      <c r="EN204" s="231">
        <v>485109.02</v>
      </c>
      <c r="EO204" s="231">
        <v>438768.62</v>
      </c>
      <c r="EP204" s="231">
        <v>46340.4</v>
      </c>
      <c r="EQ204" s="229">
        <v>0.1056</v>
      </c>
      <c r="ER204" s="231">
        <v>353975</v>
      </c>
      <c r="ES204" s="231">
        <v>143932</v>
      </c>
      <c r="ET204" s="231">
        <v>430614</v>
      </c>
      <c r="EU204" s="231">
        <v>33590487</v>
      </c>
      <c r="EV204" s="231">
        <v>928521</v>
      </c>
      <c r="EW204" s="231">
        <v>937809</v>
      </c>
      <c r="EX204" s="231">
        <v>-9288</v>
      </c>
      <c r="EY204" s="229">
        <v>-9.9000000000000008E-3</v>
      </c>
      <c r="EZ204" s="229">
        <v>0.56879999999999997</v>
      </c>
      <c r="FA204" s="227" t="s">
        <v>555</v>
      </c>
      <c r="FB204" s="161">
        <f t="shared" si="5"/>
        <v>0</v>
      </c>
    </row>
    <row r="205" spans="1:158" ht="17.25" thickBot="1" x14ac:dyDescent="0.3">
      <c r="A205" s="226">
        <v>45940</v>
      </c>
      <c r="B205" s="227" t="s">
        <v>162</v>
      </c>
      <c r="C205" s="227" t="s">
        <v>300</v>
      </c>
      <c r="D205" s="228">
        <v>350</v>
      </c>
      <c r="E205" s="231">
        <v>3505.3</v>
      </c>
      <c r="F205" s="231">
        <v>3496.6</v>
      </c>
      <c r="G205" s="228">
        <v>8.6999999999999993</v>
      </c>
      <c r="H205" s="229">
        <v>2.5000000000000001E-3</v>
      </c>
      <c r="I205" s="231">
        <v>3490.3</v>
      </c>
      <c r="J205" s="231">
        <v>3486.6</v>
      </c>
      <c r="K205" s="228">
        <v>3.7</v>
      </c>
      <c r="L205" s="229">
        <v>1.1000000000000001E-3</v>
      </c>
      <c r="M205" s="231">
        <v>3505.3</v>
      </c>
      <c r="N205" s="231">
        <v>3496.6</v>
      </c>
      <c r="O205" s="228">
        <v>8.6999999999999993</v>
      </c>
      <c r="P205" s="229">
        <v>2.5000000000000001E-3</v>
      </c>
      <c r="Q205" s="231">
        <v>3525</v>
      </c>
      <c r="R205" s="231">
        <v>3515.4</v>
      </c>
      <c r="S205" s="228">
        <v>9.6</v>
      </c>
      <c r="T205" s="229">
        <v>2.7000000000000001E-3</v>
      </c>
      <c r="U205" s="231">
        <v>3539.9</v>
      </c>
      <c r="V205" s="231">
        <v>3522.9</v>
      </c>
      <c r="W205" s="228">
        <v>17</v>
      </c>
      <c r="X205" s="229">
        <v>4.7999999999999996E-3</v>
      </c>
      <c r="Y205" s="228">
        <v>15</v>
      </c>
      <c r="Z205" s="228">
        <v>10</v>
      </c>
      <c r="AA205" s="228">
        <v>5</v>
      </c>
      <c r="AB205" s="229">
        <v>4.3E-3</v>
      </c>
      <c r="AC205" s="228">
        <v>15</v>
      </c>
      <c r="AD205" s="228">
        <v>10</v>
      </c>
      <c r="AE205" s="228">
        <v>5</v>
      </c>
      <c r="AF205" s="229">
        <v>4.3E-3</v>
      </c>
      <c r="AG205" s="228">
        <v>34.700000000000003</v>
      </c>
      <c r="AH205" s="228">
        <v>28.8</v>
      </c>
      <c r="AI205" s="228">
        <v>5.9</v>
      </c>
      <c r="AJ205" s="229">
        <v>9.9000000000000008E-3</v>
      </c>
      <c r="AK205" s="228">
        <v>49.6</v>
      </c>
      <c r="AL205" s="228">
        <v>36.299999999999997</v>
      </c>
      <c r="AM205" s="228">
        <v>13.3</v>
      </c>
      <c r="AN205" s="229">
        <v>1.4200000000000001E-2</v>
      </c>
      <c r="AO205" s="231">
        <v>3511.55</v>
      </c>
      <c r="AP205" s="231">
        <v>3529.25</v>
      </c>
      <c r="AQ205" s="228">
        <v>0</v>
      </c>
      <c r="AR205" s="230">
        <v>655900</v>
      </c>
      <c r="AS205" s="230">
        <v>713300</v>
      </c>
      <c r="AT205" s="230">
        <v>-57400</v>
      </c>
      <c r="AU205" s="229">
        <v>-8.0500000000000002E-2</v>
      </c>
      <c r="AV205" s="230">
        <v>615300</v>
      </c>
      <c r="AW205" s="230">
        <v>660450</v>
      </c>
      <c r="AX205" s="230">
        <v>-45150</v>
      </c>
      <c r="AY205" s="229">
        <v>-6.8400000000000002E-2</v>
      </c>
      <c r="AZ205" s="230">
        <v>38500</v>
      </c>
      <c r="BA205" s="230">
        <v>43050</v>
      </c>
      <c r="BB205" s="230">
        <v>-4550</v>
      </c>
      <c r="BC205" s="229">
        <v>-0.1057</v>
      </c>
      <c r="BD205" s="230">
        <v>2100</v>
      </c>
      <c r="BE205" s="230">
        <v>9800</v>
      </c>
      <c r="BF205" s="230">
        <v>-7700</v>
      </c>
      <c r="BG205" s="229">
        <v>-0.78569999999999995</v>
      </c>
      <c r="BH205" s="230">
        <v>3095400</v>
      </c>
      <c r="BI205" s="230">
        <v>1521100</v>
      </c>
      <c r="BJ205" s="230">
        <v>1574300</v>
      </c>
      <c r="BK205" s="229">
        <v>1.0349999999999999</v>
      </c>
      <c r="BL205" s="230">
        <v>945000</v>
      </c>
      <c r="BM205" s="230">
        <v>932750</v>
      </c>
      <c r="BN205" s="230">
        <v>12250</v>
      </c>
      <c r="BO205" s="229">
        <v>1.3100000000000001E-2</v>
      </c>
      <c r="BP205" s="230">
        <v>4696300</v>
      </c>
      <c r="BQ205" s="230">
        <v>3167150</v>
      </c>
      <c r="BR205" s="230">
        <v>1529150</v>
      </c>
      <c r="BS205" s="229">
        <v>0.48280000000000001</v>
      </c>
      <c r="BT205" s="230">
        <v>325865</v>
      </c>
      <c r="BU205" s="230">
        <v>465226</v>
      </c>
      <c r="BV205" s="230">
        <v>-139361</v>
      </c>
      <c r="BW205" s="229">
        <v>-0.29959999999999998</v>
      </c>
      <c r="BX205" s="230">
        <v>9542400</v>
      </c>
      <c r="BY205" s="230">
        <v>9587900</v>
      </c>
      <c r="BZ205" s="230">
        <v>-45500</v>
      </c>
      <c r="CA205" s="229">
        <v>-4.7000000000000002E-3</v>
      </c>
      <c r="CB205" s="230">
        <v>9424800</v>
      </c>
      <c r="CC205" s="230">
        <v>9478700</v>
      </c>
      <c r="CD205" s="230">
        <v>-53900</v>
      </c>
      <c r="CE205" s="229">
        <v>-5.7000000000000002E-3</v>
      </c>
      <c r="CF205" s="230">
        <v>104650</v>
      </c>
      <c r="CG205" s="230">
        <v>96950</v>
      </c>
      <c r="CH205" s="230">
        <v>7700</v>
      </c>
      <c r="CI205" s="229">
        <v>7.9399999999999998E-2</v>
      </c>
      <c r="CJ205" s="230">
        <v>12950</v>
      </c>
      <c r="CK205" s="230">
        <v>12250</v>
      </c>
      <c r="CL205" s="228">
        <v>700</v>
      </c>
      <c r="CM205" s="229">
        <v>5.7099999999999998E-2</v>
      </c>
      <c r="CN205" s="230">
        <v>2141300</v>
      </c>
      <c r="CO205" s="230">
        <v>1878800</v>
      </c>
      <c r="CP205" s="230">
        <v>262500</v>
      </c>
      <c r="CQ205" s="229">
        <v>0.13969999999999999</v>
      </c>
      <c r="CR205" s="230">
        <v>1429750</v>
      </c>
      <c r="CS205" s="230">
        <v>1422750</v>
      </c>
      <c r="CT205" s="230">
        <v>7000</v>
      </c>
      <c r="CU205" s="229">
        <v>4.8999999999999998E-3</v>
      </c>
      <c r="CV205" s="230">
        <v>13113450</v>
      </c>
      <c r="CW205" s="230">
        <v>12889450</v>
      </c>
      <c r="CX205" s="230">
        <v>224000</v>
      </c>
      <c r="CY205" s="229">
        <v>1.7399999999999999E-2</v>
      </c>
      <c r="CZ205" s="228">
        <v>25.89</v>
      </c>
      <c r="DA205" s="228">
        <v>25.42</v>
      </c>
      <c r="DB205" s="228">
        <v>0.47</v>
      </c>
      <c r="DC205" s="228">
        <v>0.47</v>
      </c>
      <c r="DD205" s="228">
        <v>31.34</v>
      </c>
      <c r="DE205" s="228">
        <v>31.42</v>
      </c>
      <c r="DF205" s="228">
        <v>-5.45</v>
      </c>
      <c r="DG205" s="228">
        <v>-0.08</v>
      </c>
      <c r="DH205" s="228">
        <v>25.92</v>
      </c>
      <c r="DI205" s="228">
        <v>25.43</v>
      </c>
      <c r="DJ205" s="228">
        <v>0.49</v>
      </c>
      <c r="DK205" s="228">
        <v>0.49</v>
      </c>
      <c r="DL205" s="228">
        <v>25.81</v>
      </c>
      <c r="DM205" s="228">
        <v>25.4</v>
      </c>
      <c r="DN205" s="228">
        <v>0.41</v>
      </c>
      <c r="DO205" s="228">
        <v>0.41</v>
      </c>
      <c r="DP205" s="228">
        <v>0.67</v>
      </c>
      <c r="DQ205" s="228">
        <v>0.76</v>
      </c>
      <c r="DR205" s="228">
        <v>-0.09</v>
      </c>
      <c r="DS205" s="229">
        <v>-0.11840000000000001</v>
      </c>
      <c r="DT205" s="231">
        <v>3600</v>
      </c>
      <c r="DU205" s="231">
        <v>3400</v>
      </c>
      <c r="DV205" s="228">
        <v>0.31</v>
      </c>
      <c r="DW205" s="228">
        <v>0.61</v>
      </c>
      <c r="DX205" s="228">
        <v>-0.3</v>
      </c>
      <c r="DY205" s="229">
        <v>-0.49180000000000001</v>
      </c>
      <c r="DZ205" s="229">
        <v>1.23E-2</v>
      </c>
      <c r="EA205" s="230">
        <v>109200</v>
      </c>
      <c r="EB205" s="229">
        <v>5.5999999999999999E-3</v>
      </c>
      <c r="EC205" s="229">
        <v>1.23E-2</v>
      </c>
      <c r="ED205" s="228">
        <v>17.7</v>
      </c>
      <c r="EE205" s="229">
        <v>5.0000000000000001E-3</v>
      </c>
      <c r="EF205" s="230">
        <v>175571</v>
      </c>
      <c r="EG205" s="230">
        <v>263417</v>
      </c>
      <c r="EH205" s="229">
        <v>-0.33350000000000002</v>
      </c>
      <c r="EI205" s="229">
        <v>0.53879999999999995</v>
      </c>
      <c r="EJ205" s="231">
        <v>113152.83</v>
      </c>
      <c r="EK205" s="231">
        <v>32523.25</v>
      </c>
      <c r="EL205" s="231">
        <v>23039.63</v>
      </c>
      <c r="EM205" s="231">
        <v>2398</v>
      </c>
      <c r="EN205" s="231">
        <v>168715.71</v>
      </c>
      <c r="EO205" s="231">
        <v>112674.89</v>
      </c>
      <c r="EP205" s="231">
        <v>56040.82</v>
      </c>
      <c r="EQ205" s="229">
        <v>0.49740000000000001</v>
      </c>
      <c r="ER205" s="231">
        <v>77087</v>
      </c>
      <c r="ES205" s="231">
        <v>47511</v>
      </c>
      <c r="ET205" s="231">
        <v>334515</v>
      </c>
      <c r="EU205" s="231">
        <v>35369445</v>
      </c>
      <c r="EV205" s="231">
        <v>459113</v>
      </c>
      <c r="EW205" s="231">
        <v>450164</v>
      </c>
      <c r="EX205" s="231">
        <v>8949</v>
      </c>
      <c r="EY205" s="229">
        <v>1.9900000000000001E-2</v>
      </c>
      <c r="EZ205" s="229">
        <v>0.37080000000000002</v>
      </c>
      <c r="FA205" s="227" t="s">
        <v>556</v>
      </c>
      <c r="FB205" s="161">
        <f t="shared" si="5"/>
        <v>0</v>
      </c>
    </row>
    <row r="206" spans="1:158" ht="17.25" thickBot="1" x14ac:dyDescent="0.3">
      <c r="A206" s="226">
        <v>45940</v>
      </c>
      <c r="B206" s="227" t="s">
        <v>157</v>
      </c>
      <c r="C206" s="227" t="s">
        <v>302</v>
      </c>
      <c r="D206" s="228">
        <v>50</v>
      </c>
      <c r="E206" s="231">
        <v>12315</v>
      </c>
      <c r="F206" s="231">
        <v>12225</v>
      </c>
      <c r="G206" s="228">
        <v>90</v>
      </c>
      <c r="H206" s="229">
        <v>7.4000000000000003E-3</v>
      </c>
      <c r="I206" s="231">
        <v>12281</v>
      </c>
      <c r="J206" s="231">
        <v>12192</v>
      </c>
      <c r="K206" s="228">
        <v>89</v>
      </c>
      <c r="L206" s="229">
        <v>7.3000000000000001E-3</v>
      </c>
      <c r="M206" s="231">
        <v>12315</v>
      </c>
      <c r="N206" s="231">
        <v>12225</v>
      </c>
      <c r="O206" s="228">
        <v>90</v>
      </c>
      <c r="P206" s="229">
        <v>7.4000000000000003E-3</v>
      </c>
      <c r="Q206" s="231">
        <v>12383</v>
      </c>
      <c r="R206" s="231">
        <v>12293</v>
      </c>
      <c r="S206" s="228">
        <v>90</v>
      </c>
      <c r="T206" s="229">
        <v>7.3000000000000001E-3</v>
      </c>
      <c r="U206" s="231">
        <v>12458</v>
      </c>
      <c r="V206" s="231">
        <v>12356</v>
      </c>
      <c r="W206" s="228">
        <v>102</v>
      </c>
      <c r="X206" s="229">
        <v>8.3000000000000001E-3</v>
      </c>
      <c r="Y206" s="228">
        <v>34</v>
      </c>
      <c r="Z206" s="228">
        <v>33</v>
      </c>
      <c r="AA206" s="228">
        <v>1</v>
      </c>
      <c r="AB206" s="229">
        <v>2.8E-3</v>
      </c>
      <c r="AC206" s="228">
        <v>34</v>
      </c>
      <c r="AD206" s="228">
        <v>33</v>
      </c>
      <c r="AE206" s="228">
        <v>1</v>
      </c>
      <c r="AF206" s="229">
        <v>2.8E-3</v>
      </c>
      <c r="AG206" s="228">
        <v>102</v>
      </c>
      <c r="AH206" s="228">
        <v>101</v>
      </c>
      <c r="AI206" s="228">
        <v>1</v>
      </c>
      <c r="AJ206" s="229">
        <v>8.3000000000000001E-3</v>
      </c>
      <c r="AK206" s="228">
        <v>177</v>
      </c>
      <c r="AL206" s="228">
        <v>164</v>
      </c>
      <c r="AM206" s="228">
        <v>13</v>
      </c>
      <c r="AN206" s="229">
        <v>1.44E-2</v>
      </c>
      <c r="AO206" s="231">
        <v>12311.82</v>
      </c>
      <c r="AP206" s="231">
        <v>12374.8</v>
      </c>
      <c r="AQ206" s="228">
        <v>0</v>
      </c>
      <c r="AR206" s="230">
        <v>193550</v>
      </c>
      <c r="AS206" s="230">
        <v>204500</v>
      </c>
      <c r="AT206" s="230">
        <v>-10950</v>
      </c>
      <c r="AU206" s="229">
        <v>-5.3499999999999999E-2</v>
      </c>
      <c r="AV206" s="230">
        <v>175800</v>
      </c>
      <c r="AW206" s="230">
        <v>193550</v>
      </c>
      <c r="AX206" s="230">
        <v>-17750</v>
      </c>
      <c r="AY206" s="229">
        <v>-9.1700000000000004E-2</v>
      </c>
      <c r="AZ206" s="230">
        <v>13850</v>
      </c>
      <c r="BA206" s="230">
        <v>9550</v>
      </c>
      <c r="BB206" s="230">
        <v>4300</v>
      </c>
      <c r="BC206" s="229">
        <v>0.45029999999999998</v>
      </c>
      <c r="BD206" s="230">
        <v>3900</v>
      </c>
      <c r="BE206" s="230">
        <v>1400</v>
      </c>
      <c r="BF206" s="230">
        <v>2500</v>
      </c>
      <c r="BG206" s="229">
        <v>1.7857000000000001</v>
      </c>
      <c r="BH206" s="230">
        <v>854200</v>
      </c>
      <c r="BI206" s="230">
        <v>700300</v>
      </c>
      <c r="BJ206" s="230">
        <v>153900</v>
      </c>
      <c r="BK206" s="229">
        <v>0.2198</v>
      </c>
      <c r="BL206" s="230">
        <v>421850</v>
      </c>
      <c r="BM206" s="230">
        <v>360250</v>
      </c>
      <c r="BN206" s="230">
        <v>61600</v>
      </c>
      <c r="BO206" s="229">
        <v>0.17100000000000001</v>
      </c>
      <c r="BP206" s="230">
        <v>1469600</v>
      </c>
      <c r="BQ206" s="230">
        <v>1265050</v>
      </c>
      <c r="BR206" s="230">
        <v>204550</v>
      </c>
      <c r="BS206" s="229">
        <v>0.16170000000000001</v>
      </c>
      <c r="BT206" s="230">
        <v>201512</v>
      </c>
      <c r="BU206" s="230">
        <v>175072</v>
      </c>
      <c r="BV206" s="230">
        <v>26440</v>
      </c>
      <c r="BW206" s="229">
        <v>0.151</v>
      </c>
      <c r="BX206" s="230">
        <v>2331150</v>
      </c>
      <c r="BY206" s="230">
        <v>2351450</v>
      </c>
      <c r="BZ206" s="230">
        <v>-20300</v>
      </c>
      <c r="CA206" s="229">
        <v>-8.6E-3</v>
      </c>
      <c r="CB206" s="230">
        <v>2295800</v>
      </c>
      <c r="CC206" s="230">
        <v>2322750</v>
      </c>
      <c r="CD206" s="230">
        <v>-26950</v>
      </c>
      <c r="CE206" s="229">
        <v>-1.1599999999999999E-2</v>
      </c>
      <c r="CF206" s="230">
        <v>29650</v>
      </c>
      <c r="CG206" s="230">
        <v>26100</v>
      </c>
      <c r="CH206" s="230">
        <v>3550</v>
      </c>
      <c r="CI206" s="229">
        <v>0.13600000000000001</v>
      </c>
      <c r="CJ206" s="230">
        <v>5700</v>
      </c>
      <c r="CK206" s="230">
        <v>2600</v>
      </c>
      <c r="CL206" s="230">
        <v>3100</v>
      </c>
      <c r="CM206" s="229">
        <v>1.1922999999999999</v>
      </c>
      <c r="CN206" s="230">
        <v>628300</v>
      </c>
      <c r="CO206" s="230">
        <v>657900</v>
      </c>
      <c r="CP206" s="230">
        <v>-29600</v>
      </c>
      <c r="CQ206" s="229">
        <v>-4.4999999999999998E-2</v>
      </c>
      <c r="CR206" s="230">
        <v>411700</v>
      </c>
      <c r="CS206" s="230">
        <v>418950</v>
      </c>
      <c r="CT206" s="230">
        <v>-7250</v>
      </c>
      <c r="CU206" s="229">
        <v>-1.7299999999999999E-2</v>
      </c>
      <c r="CV206" s="230">
        <v>3371150</v>
      </c>
      <c r="CW206" s="230">
        <v>3428300</v>
      </c>
      <c r="CX206" s="230">
        <v>-57150</v>
      </c>
      <c r="CY206" s="229">
        <v>-1.67E-2</v>
      </c>
      <c r="CZ206" s="228">
        <v>20.45</v>
      </c>
      <c r="DA206" s="228">
        <v>20.76</v>
      </c>
      <c r="DB206" s="228">
        <v>-0.31</v>
      </c>
      <c r="DC206" s="228">
        <v>-0.31</v>
      </c>
      <c r="DD206" s="228">
        <v>25.49</v>
      </c>
      <c r="DE206" s="228">
        <v>25.54</v>
      </c>
      <c r="DF206" s="228">
        <v>-5.04</v>
      </c>
      <c r="DG206" s="228">
        <v>-0.05</v>
      </c>
      <c r="DH206" s="228">
        <v>20.2</v>
      </c>
      <c r="DI206" s="228">
        <v>20.440000000000001</v>
      </c>
      <c r="DJ206" s="228">
        <v>-0.24</v>
      </c>
      <c r="DK206" s="228">
        <v>-0.24</v>
      </c>
      <c r="DL206" s="228">
        <v>20.96</v>
      </c>
      <c r="DM206" s="228">
        <v>21.39</v>
      </c>
      <c r="DN206" s="228">
        <v>-0.43</v>
      </c>
      <c r="DO206" s="228">
        <v>-0.43</v>
      </c>
      <c r="DP206" s="228">
        <v>0.66</v>
      </c>
      <c r="DQ206" s="228">
        <v>0.64</v>
      </c>
      <c r="DR206" s="228">
        <v>0.02</v>
      </c>
      <c r="DS206" s="229">
        <v>3.1300000000000001E-2</v>
      </c>
      <c r="DT206" s="231">
        <v>13000</v>
      </c>
      <c r="DU206" s="231">
        <v>12000</v>
      </c>
      <c r="DV206" s="228">
        <v>0.49</v>
      </c>
      <c r="DW206" s="228">
        <v>0.51</v>
      </c>
      <c r="DX206" s="228">
        <v>-0.02</v>
      </c>
      <c r="DY206" s="229">
        <v>-3.9199999999999999E-2</v>
      </c>
      <c r="DZ206" s="229">
        <v>1.52E-2</v>
      </c>
      <c r="EA206" s="230">
        <v>28700</v>
      </c>
      <c r="EB206" s="229">
        <v>5.4999999999999997E-3</v>
      </c>
      <c r="EC206" s="229">
        <v>1.52E-2</v>
      </c>
      <c r="ED206" s="228">
        <v>62.98</v>
      </c>
      <c r="EE206" s="229">
        <v>5.1000000000000004E-3</v>
      </c>
      <c r="EF206" s="230">
        <v>138635</v>
      </c>
      <c r="EG206" s="230">
        <v>106261</v>
      </c>
      <c r="EH206" s="229">
        <v>0.30470000000000003</v>
      </c>
      <c r="EI206" s="229">
        <v>0.68799999999999994</v>
      </c>
      <c r="EJ206" s="231">
        <v>108555.9</v>
      </c>
      <c r="EK206" s="231">
        <v>50194.29</v>
      </c>
      <c r="EL206" s="231">
        <v>23843.97</v>
      </c>
      <c r="EM206" s="231">
        <v>4458</v>
      </c>
      <c r="EN206" s="231">
        <v>182594.16</v>
      </c>
      <c r="EO206" s="231">
        <v>154902.49</v>
      </c>
      <c r="EP206" s="231">
        <v>27691.67</v>
      </c>
      <c r="EQ206" s="229">
        <v>0.17879999999999999</v>
      </c>
      <c r="ER206" s="231">
        <v>80345</v>
      </c>
      <c r="ES206" s="231">
        <v>48321</v>
      </c>
      <c r="ET206" s="231">
        <v>287109</v>
      </c>
      <c r="EU206" s="231">
        <v>11962066</v>
      </c>
      <c r="EV206" s="231">
        <v>415775</v>
      </c>
      <c r="EW206" s="231">
        <v>420628</v>
      </c>
      <c r="EX206" s="231">
        <v>-4853</v>
      </c>
      <c r="EY206" s="229">
        <v>-1.15E-2</v>
      </c>
      <c r="EZ206" s="229">
        <v>0.28179999999999999</v>
      </c>
      <c r="FA206" s="227" t="s">
        <v>556</v>
      </c>
      <c r="FB206" s="161">
        <f t="shared" si="5"/>
        <v>0</v>
      </c>
    </row>
    <row r="207" spans="1:158" ht="17.25" thickBot="1" x14ac:dyDescent="0.3">
      <c r="A207" s="226">
        <v>45940</v>
      </c>
      <c r="B207" s="227" t="s">
        <v>172</v>
      </c>
      <c r="C207" s="227" t="s">
        <v>594</v>
      </c>
      <c r="D207" s="228">
        <v>4425</v>
      </c>
      <c r="E207" s="228">
        <v>139.91999999999999</v>
      </c>
      <c r="F207" s="228">
        <v>138.47999999999999</v>
      </c>
      <c r="G207" s="228">
        <v>1.44</v>
      </c>
      <c r="H207" s="229">
        <v>1.04E-2</v>
      </c>
      <c r="I207" s="228">
        <v>139.27000000000001</v>
      </c>
      <c r="J207" s="228">
        <v>137.83000000000001</v>
      </c>
      <c r="K207" s="228">
        <v>1.44</v>
      </c>
      <c r="L207" s="229">
        <v>1.04E-2</v>
      </c>
      <c r="M207" s="228">
        <v>139.91999999999999</v>
      </c>
      <c r="N207" s="228">
        <v>138.47999999999999</v>
      </c>
      <c r="O207" s="228">
        <v>1.44</v>
      </c>
      <c r="P207" s="229">
        <v>1.04E-2</v>
      </c>
      <c r="Q207" s="228">
        <v>140.68</v>
      </c>
      <c r="R207" s="228">
        <v>139.26</v>
      </c>
      <c r="S207" s="228">
        <v>1.42</v>
      </c>
      <c r="T207" s="229">
        <v>1.0200000000000001E-2</v>
      </c>
      <c r="U207" s="228">
        <v>141.49</v>
      </c>
      <c r="V207" s="228">
        <v>139.86000000000001</v>
      </c>
      <c r="W207" s="228">
        <v>1.63</v>
      </c>
      <c r="X207" s="229">
        <v>1.17E-2</v>
      </c>
      <c r="Y207" s="228">
        <v>0.65</v>
      </c>
      <c r="Z207" s="228">
        <v>0.65</v>
      </c>
      <c r="AA207" s="228">
        <v>0</v>
      </c>
      <c r="AB207" s="229">
        <v>4.7000000000000002E-3</v>
      </c>
      <c r="AC207" s="228">
        <v>0.65</v>
      </c>
      <c r="AD207" s="228">
        <v>0.65</v>
      </c>
      <c r="AE207" s="228">
        <v>0</v>
      </c>
      <c r="AF207" s="229">
        <v>4.7000000000000002E-3</v>
      </c>
      <c r="AG207" s="228">
        <v>1.41</v>
      </c>
      <c r="AH207" s="228">
        <v>1.43</v>
      </c>
      <c r="AI207" s="228">
        <v>-0.02</v>
      </c>
      <c r="AJ207" s="229">
        <v>1.01E-2</v>
      </c>
      <c r="AK207" s="228">
        <v>2.2200000000000002</v>
      </c>
      <c r="AL207" s="228">
        <v>2.0299999999999998</v>
      </c>
      <c r="AM207" s="228">
        <v>0.19</v>
      </c>
      <c r="AN207" s="229">
        <v>1.5900000000000001E-2</v>
      </c>
      <c r="AO207" s="228">
        <v>139.91</v>
      </c>
      <c r="AP207" s="228">
        <v>140.65</v>
      </c>
      <c r="AQ207" s="228">
        <v>0</v>
      </c>
      <c r="AR207" s="230">
        <v>18408000</v>
      </c>
      <c r="AS207" s="230">
        <v>14646750</v>
      </c>
      <c r="AT207" s="230">
        <v>3761250</v>
      </c>
      <c r="AU207" s="229">
        <v>0.25679999999999997</v>
      </c>
      <c r="AV207" s="230">
        <v>16806150</v>
      </c>
      <c r="AW207" s="230">
        <v>13434300</v>
      </c>
      <c r="AX207" s="230">
        <v>3371850</v>
      </c>
      <c r="AY207" s="229">
        <v>0.251</v>
      </c>
      <c r="AZ207" s="230">
        <v>1438125</v>
      </c>
      <c r="BA207" s="230">
        <v>1013325</v>
      </c>
      <c r="BB207" s="230">
        <v>424800</v>
      </c>
      <c r="BC207" s="229">
        <v>0.41920000000000002</v>
      </c>
      <c r="BD207" s="230">
        <v>163725</v>
      </c>
      <c r="BE207" s="230">
        <v>199125</v>
      </c>
      <c r="BF207" s="230">
        <v>-35400</v>
      </c>
      <c r="BG207" s="229">
        <v>-0.17780000000000001</v>
      </c>
      <c r="BH207" s="230">
        <v>46387275</v>
      </c>
      <c r="BI207" s="230">
        <v>21757725</v>
      </c>
      <c r="BJ207" s="230">
        <v>24629550</v>
      </c>
      <c r="BK207" s="229">
        <v>1.1319999999999999</v>
      </c>
      <c r="BL207" s="230">
        <v>13248450</v>
      </c>
      <c r="BM207" s="230">
        <v>8628750</v>
      </c>
      <c r="BN207" s="230">
        <v>4619700</v>
      </c>
      <c r="BO207" s="229">
        <v>0.53539999999999999</v>
      </c>
      <c r="BP207" s="230">
        <v>78043725</v>
      </c>
      <c r="BQ207" s="230">
        <v>45033225</v>
      </c>
      <c r="BR207" s="230">
        <v>33010500</v>
      </c>
      <c r="BS207" s="229">
        <v>0.73299999999999998</v>
      </c>
      <c r="BT207" s="230">
        <v>8243298</v>
      </c>
      <c r="BU207" s="230">
        <v>7655186</v>
      </c>
      <c r="BV207" s="230">
        <v>588112</v>
      </c>
      <c r="BW207" s="229">
        <v>7.6799999999999993E-2</v>
      </c>
      <c r="BX207" s="230">
        <v>86725575</v>
      </c>
      <c r="BY207" s="230">
        <v>88823025</v>
      </c>
      <c r="BZ207" s="230">
        <v>-2097450</v>
      </c>
      <c r="CA207" s="229">
        <v>-2.3599999999999999E-2</v>
      </c>
      <c r="CB207" s="230">
        <v>83282925</v>
      </c>
      <c r="CC207" s="230">
        <v>85681275</v>
      </c>
      <c r="CD207" s="230">
        <v>-2398350</v>
      </c>
      <c r="CE207" s="229">
        <v>-2.8000000000000001E-2</v>
      </c>
      <c r="CF207" s="230">
        <v>3128475</v>
      </c>
      <c r="CG207" s="230">
        <v>2814300</v>
      </c>
      <c r="CH207" s="230">
        <v>314175</v>
      </c>
      <c r="CI207" s="229">
        <v>0.1116</v>
      </c>
      <c r="CJ207" s="230">
        <v>314175</v>
      </c>
      <c r="CK207" s="230">
        <v>327450</v>
      </c>
      <c r="CL207" s="230">
        <v>-13275</v>
      </c>
      <c r="CM207" s="229">
        <v>-4.0500000000000001E-2</v>
      </c>
      <c r="CN207" s="230">
        <v>31329000</v>
      </c>
      <c r="CO207" s="230">
        <v>26165025</v>
      </c>
      <c r="CP207" s="230">
        <v>5163975</v>
      </c>
      <c r="CQ207" s="229">
        <v>0.19739999999999999</v>
      </c>
      <c r="CR207" s="230">
        <v>18452250</v>
      </c>
      <c r="CS207" s="230">
        <v>17160150</v>
      </c>
      <c r="CT207" s="230">
        <v>1292100</v>
      </c>
      <c r="CU207" s="229">
        <v>7.5300000000000006E-2</v>
      </c>
      <c r="CV207" s="230">
        <v>136506825</v>
      </c>
      <c r="CW207" s="230">
        <v>132148200</v>
      </c>
      <c r="CX207" s="230">
        <v>4358625</v>
      </c>
      <c r="CY207" s="229">
        <v>3.3000000000000002E-2</v>
      </c>
      <c r="CZ207" s="228">
        <v>31.54</v>
      </c>
      <c r="DA207" s="228">
        <v>31.68</v>
      </c>
      <c r="DB207" s="228">
        <v>-0.14000000000000001</v>
      </c>
      <c r="DC207" s="228">
        <v>-0.14000000000000001</v>
      </c>
      <c r="DD207" s="228">
        <v>42.78</v>
      </c>
      <c r="DE207" s="228">
        <v>42.87</v>
      </c>
      <c r="DF207" s="228">
        <v>-11.24</v>
      </c>
      <c r="DG207" s="228">
        <v>-0.09</v>
      </c>
      <c r="DH207" s="228">
        <v>31.65</v>
      </c>
      <c r="DI207" s="228">
        <v>31.93</v>
      </c>
      <c r="DJ207" s="228">
        <v>-0.28000000000000003</v>
      </c>
      <c r="DK207" s="228">
        <v>-0.28000000000000003</v>
      </c>
      <c r="DL207" s="228">
        <v>31.18</v>
      </c>
      <c r="DM207" s="228">
        <v>31.05</v>
      </c>
      <c r="DN207" s="228">
        <v>0.13</v>
      </c>
      <c r="DO207" s="228">
        <v>0.13</v>
      </c>
      <c r="DP207" s="228">
        <v>0.59</v>
      </c>
      <c r="DQ207" s="228">
        <v>0.66</v>
      </c>
      <c r="DR207" s="228">
        <v>-7.0000000000000007E-2</v>
      </c>
      <c r="DS207" s="229">
        <v>-0.1061</v>
      </c>
      <c r="DT207" s="228">
        <v>140</v>
      </c>
      <c r="DU207" s="228">
        <v>140</v>
      </c>
      <c r="DV207" s="228">
        <v>0.28999999999999998</v>
      </c>
      <c r="DW207" s="228">
        <v>0.4</v>
      </c>
      <c r="DX207" s="228">
        <v>-0.11</v>
      </c>
      <c r="DY207" s="229">
        <v>-0.27500000000000002</v>
      </c>
      <c r="DZ207" s="229">
        <v>3.9699999999999999E-2</v>
      </c>
      <c r="EA207" s="230">
        <v>3141750</v>
      </c>
      <c r="EB207" s="229">
        <v>5.4000000000000003E-3</v>
      </c>
      <c r="EC207" s="229">
        <v>3.9699999999999999E-2</v>
      </c>
      <c r="ED207" s="228">
        <v>0.74</v>
      </c>
      <c r="EE207" s="229">
        <v>5.3E-3</v>
      </c>
      <c r="EF207" s="230">
        <v>2817652</v>
      </c>
      <c r="EG207" s="230">
        <v>3611463</v>
      </c>
      <c r="EH207" s="229">
        <v>-0.2198</v>
      </c>
      <c r="EI207" s="229">
        <v>0.34179999999999999</v>
      </c>
      <c r="EJ207" s="231">
        <v>67657.460000000006</v>
      </c>
      <c r="EK207" s="231">
        <v>18473.16</v>
      </c>
      <c r="EL207" s="231">
        <v>25768.959999999999</v>
      </c>
      <c r="EM207" s="231">
        <v>4332</v>
      </c>
      <c r="EN207" s="231">
        <v>111899.58</v>
      </c>
      <c r="EO207" s="231">
        <v>63680.71</v>
      </c>
      <c r="EP207" s="231">
        <v>48218.87</v>
      </c>
      <c r="EQ207" s="229">
        <v>0.75719999999999998</v>
      </c>
      <c r="ER207" s="231">
        <v>45081</v>
      </c>
      <c r="ES207" s="231">
        <v>24984</v>
      </c>
      <c r="ET207" s="231">
        <v>121375</v>
      </c>
      <c r="EU207" s="231">
        <v>289041713</v>
      </c>
      <c r="EV207" s="231">
        <v>191440</v>
      </c>
      <c r="EW207" s="231">
        <v>183885</v>
      </c>
      <c r="EX207" s="231">
        <v>7555</v>
      </c>
      <c r="EY207" s="229">
        <v>4.1099999999999998E-2</v>
      </c>
      <c r="EZ207" s="229">
        <v>0.4723</v>
      </c>
      <c r="FA207" s="227" t="s">
        <v>556</v>
      </c>
      <c r="FB207" s="161">
        <f t="shared" si="5"/>
        <v>0</v>
      </c>
    </row>
    <row r="208" spans="1:158" ht="17.25" thickBot="1" x14ac:dyDescent="0.3">
      <c r="A208" s="226">
        <v>45940</v>
      </c>
      <c r="B208" s="227" t="s">
        <v>168</v>
      </c>
      <c r="C208" s="227" t="s">
        <v>569</v>
      </c>
      <c r="D208" s="228">
        <v>400</v>
      </c>
      <c r="E208" s="231">
        <v>1343.8</v>
      </c>
      <c r="F208" s="231">
        <v>1345.4</v>
      </c>
      <c r="G208" s="228">
        <v>-1.6</v>
      </c>
      <c r="H208" s="229">
        <v>-1.1999999999999999E-3</v>
      </c>
      <c r="I208" s="231">
        <v>1337</v>
      </c>
      <c r="J208" s="231">
        <v>1337.6</v>
      </c>
      <c r="K208" s="228">
        <v>-0.6</v>
      </c>
      <c r="L208" s="229">
        <v>-4.0000000000000002E-4</v>
      </c>
      <c r="M208" s="231">
        <v>1343.8</v>
      </c>
      <c r="N208" s="231">
        <v>1345.4</v>
      </c>
      <c r="O208" s="228">
        <v>-1.6</v>
      </c>
      <c r="P208" s="229">
        <v>-1.1999999999999999E-3</v>
      </c>
      <c r="Q208" s="231">
        <v>1351</v>
      </c>
      <c r="R208" s="231">
        <v>1351.2</v>
      </c>
      <c r="S208" s="228">
        <v>-0.2</v>
      </c>
      <c r="T208" s="229">
        <v>-1E-4</v>
      </c>
      <c r="U208" s="231">
        <v>1358.6</v>
      </c>
      <c r="V208" s="231">
        <v>1358.5</v>
      </c>
      <c r="W208" s="228">
        <v>0.1</v>
      </c>
      <c r="X208" s="229">
        <v>1E-4</v>
      </c>
      <c r="Y208" s="228">
        <v>6.8</v>
      </c>
      <c r="Z208" s="228">
        <v>7.8</v>
      </c>
      <c r="AA208" s="228">
        <v>-1</v>
      </c>
      <c r="AB208" s="229">
        <v>5.1000000000000004E-3</v>
      </c>
      <c r="AC208" s="228">
        <v>6.8</v>
      </c>
      <c r="AD208" s="228">
        <v>7.8</v>
      </c>
      <c r="AE208" s="228">
        <v>-1</v>
      </c>
      <c r="AF208" s="229">
        <v>5.1000000000000004E-3</v>
      </c>
      <c r="AG208" s="228">
        <v>14</v>
      </c>
      <c r="AH208" s="228">
        <v>13.6</v>
      </c>
      <c r="AI208" s="228">
        <v>0.4</v>
      </c>
      <c r="AJ208" s="229">
        <v>1.0500000000000001E-2</v>
      </c>
      <c r="AK208" s="228">
        <v>21.6</v>
      </c>
      <c r="AL208" s="228">
        <v>20.9</v>
      </c>
      <c r="AM208" s="228">
        <v>0.7</v>
      </c>
      <c r="AN208" s="229">
        <v>1.6199999999999999E-2</v>
      </c>
      <c r="AO208" s="231">
        <v>1345.95</v>
      </c>
      <c r="AP208" s="231">
        <v>1353.95</v>
      </c>
      <c r="AQ208" s="228">
        <v>0</v>
      </c>
      <c r="AR208" s="230">
        <v>1104800</v>
      </c>
      <c r="AS208" s="230">
        <v>1378400</v>
      </c>
      <c r="AT208" s="230">
        <v>-273600</v>
      </c>
      <c r="AU208" s="229">
        <v>-0.19850000000000001</v>
      </c>
      <c r="AV208" s="230">
        <v>989200</v>
      </c>
      <c r="AW208" s="230">
        <v>1242800</v>
      </c>
      <c r="AX208" s="230">
        <v>-253600</v>
      </c>
      <c r="AY208" s="229">
        <v>-0.2041</v>
      </c>
      <c r="AZ208" s="230">
        <v>105200</v>
      </c>
      <c r="BA208" s="230">
        <v>120400</v>
      </c>
      <c r="BB208" s="230">
        <v>-15200</v>
      </c>
      <c r="BC208" s="229">
        <v>-0.12620000000000001</v>
      </c>
      <c r="BD208" s="230">
        <v>10400</v>
      </c>
      <c r="BE208" s="230">
        <v>15200</v>
      </c>
      <c r="BF208" s="230">
        <v>-4800</v>
      </c>
      <c r="BG208" s="229">
        <v>-0.31580000000000003</v>
      </c>
      <c r="BH208" s="230">
        <v>3067600</v>
      </c>
      <c r="BI208" s="230">
        <v>2378800</v>
      </c>
      <c r="BJ208" s="230">
        <v>688800</v>
      </c>
      <c r="BK208" s="229">
        <v>0.28960000000000002</v>
      </c>
      <c r="BL208" s="230">
        <v>876000</v>
      </c>
      <c r="BM208" s="230">
        <v>654800</v>
      </c>
      <c r="BN208" s="230">
        <v>221200</v>
      </c>
      <c r="BO208" s="229">
        <v>0.33779999999999999</v>
      </c>
      <c r="BP208" s="230">
        <v>5048400</v>
      </c>
      <c r="BQ208" s="230">
        <v>4412000</v>
      </c>
      <c r="BR208" s="230">
        <v>636400</v>
      </c>
      <c r="BS208" s="229">
        <v>0.14419999999999999</v>
      </c>
      <c r="BT208" s="230">
        <v>948889</v>
      </c>
      <c r="BU208" s="230">
        <v>897184</v>
      </c>
      <c r="BV208" s="230">
        <v>51705</v>
      </c>
      <c r="BW208" s="229">
        <v>5.7599999999999998E-2</v>
      </c>
      <c r="BX208" s="230">
        <v>13713600</v>
      </c>
      <c r="BY208" s="230">
        <v>13876400</v>
      </c>
      <c r="BZ208" s="230">
        <v>-162800</v>
      </c>
      <c r="CA208" s="229">
        <v>-1.17E-2</v>
      </c>
      <c r="CB208" s="230">
        <v>13291200</v>
      </c>
      <c r="CC208" s="230">
        <v>13482400</v>
      </c>
      <c r="CD208" s="230">
        <v>-191200</v>
      </c>
      <c r="CE208" s="229">
        <v>-1.4200000000000001E-2</v>
      </c>
      <c r="CF208" s="230">
        <v>389200</v>
      </c>
      <c r="CG208" s="230">
        <v>365200</v>
      </c>
      <c r="CH208" s="230">
        <v>24000</v>
      </c>
      <c r="CI208" s="229">
        <v>6.5699999999999995E-2</v>
      </c>
      <c r="CJ208" s="230">
        <v>33200</v>
      </c>
      <c r="CK208" s="230">
        <v>28800</v>
      </c>
      <c r="CL208" s="230">
        <v>4400</v>
      </c>
      <c r="CM208" s="229">
        <v>0.15279999999999999</v>
      </c>
      <c r="CN208" s="230">
        <v>3906000</v>
      </c>
      <c r="CO208" s="230">
        <v>3954400</v>
      </c>
      <c r="CP208" s="230">
        <v>-48400</v>
      </c>
      <c r="CQ208" s="229">
        <v>-1.2200000000000001E-2</v>
      </c>
      <c r="CR208" s="230">
        <v>2586800</v>
      </c>
      <c r="CS208" s="230">
        <v>2431200</v>
      </c>
      <c r="CT208" s="230">
        <v>155600</v>
      </c>
      <c r="CU208" s="229">
        <v>6.4000000000000001E-2</v>
      </c>
      <c r="CV208" s="230">
        <v>20206400</v>
      </c>
      <c r="CW208" s="230">
        <v>20262000</v>
      </c>
      <c r="CX208" s="230">
        <v>-55600</v>
      </c>
      <c r="CY208" s="229">
        <v>-2.7000000000000001E-3</v>
      </c>
      <c r="CZ208" s="228">
        <v>22.63</v>
      </c>
      <c r="DA208" s="228">
        <v>23.6</v>
      </c>
      <c r="DB208" s="228">
        <v>-0.97</v>
      </c>
      <c r="DC208" s="228">
        <v>-0.97</v>
      </c>
      <c r="DD208" s="228">
        <v>28.18</v>
      </c>
      <c r="DE208" s="228">
        <v>28.25</v>
      </c>
      <c r="DF208" s="228">
        <v>-5.55</v>
      </c>
      <c r="DG208" s="228">
        <v>-7.0000000000000007E-2</v>
      </c>
      <c r="DH208" s="228">
        <v>22.8</v>
      </c>
      <c r="DI208" s="228">
        <v>23.79</v>
      </c>
      <c r="DJ208" s="228">
        <v>-0.99</v>
      </c>
      <c r="DK208" s="228">
        <v>-0.99</v>
      </c>
      <c r="DL208" s="228">
        <v>22.01</v>
      </c>
      <c r="DM208" s="228">
        <v>22.91</v>
      </c>
      <c r="DN208" s="228">
        <v>-0.9</v>
      </c>
      <c r="DO208" s="228">
        <v>-0.9</v>
      </c>
      <c r="DP208" s="228">
        <v>0.66</v>
      </c>
      <c r="DQ208" s="228">
        <v>0.61</v>
      </c>
      <c r="DR208" s="228">
        <v>0.05</v>
      </c>
      <c r="DS208" s="229">
        <v>8.2000000000000003E-2</v>
      </c>
      <c r="DT208" s="231">
        <v>1400</v>
      </c>
      <c r="DU208" s="231">
        <v>1340</v>
      </c>
      <c r="DV208" s="228">
        <v>0.28999999999999998</v>
      </c>
      <c r="DW208" s="228">
        <v>0.28000000000000003</v>
      </c>
      <c r="DX208" s="228">
        <v>0.01</v>
      </c>
      <c r="DY208" s="229">
        <v>3.5700000000000003E-2</v>
      </c>
      <c r="DZ208" s="229">
        <v>3.0800000000000001E-2</v>
      </c>
      <c r="EA208" s="230">
        <v>394000</v>
      </c>
      <c r="EB208" s="229">
        <v>5.4000000000000003E-3</v>
      </c>
      <c r="EC208" s="229">
        <v>3.0800000000000001E-2</v>
      </c>
      <c r="ED208" s="228">
        <v>8</v>
      </c>
      <c r="EE208" s="229">
        <v>5.8999999999999999E-3</v>
      </c>
      <c r="EF208" s="230">
        <v>729034</v>
      </c>
      <c r="EG208" s="230">
        <v>635000</v>
      </c>
      <c r="EH208" s="229">
        <v>0.14810000000000001</v>
      </c>
      <c r="EI208" s="229">
        <v>0.76829999999999998</v>
      </c>
      <c r="EJ208" s="231">
        <v>42844.51</v>
      </c>
      <c r="EK208" s="231">
        <v>11730.89</v>
      </c>
      <c r="EL208" s="231">
        <v>14879.93</v>
      </c>
      <c r="EM208" s="231">
        <v>2844</v>
      </c>
      <c r="EN208" s="231">
        <v>69455.33</v>
      </c>
      <c r="EO208" s="231">
        <v>60702.42</v>
      </c>
      <c r="EP208" s="231">
        <v>8752.91</v>
      </c>
      <c r="EQ208" s="229">
        <v>0.14419999999999999</v>
      </c>
      <c r="ER208" s="231">
        <v>54809</v>
      </c>
      <c r="ES208" s="231">
        <v>34976</v>
      </c>
      <c r="ET208" s="231">
        <v>184316</v>
      </c>
      <c r="EU208" s="231">
        <v>47269416</v>
      </c>
      <c r="EV208" s="231">
        <v>274102</v>
      </c>
      <c r="EW208" s="231">
        <v>275108</v>
      </c>
      <c r="EX208" s="231">
        <v>-1006</v>
      </c>
      <c r="EY208" s="229">
        <v>-3.7000000000000002E-3</v>
      </c>
      <c r="EZ208" s="229">
        <v>0.42749999999999999</v>
      </c>
      <c r="FA208" s="227" t="s">
        <v>568</v>
      </c>
      <c r="FB208" s="161">
        <f t="shared" si="5"/>
        <v>0</v>
      </c>
    </row>
    <row r="209" spans="1:158" ht="17.25" thickBot="1" x14ac:dyDescent="0.3">
      <c r="A209" s="226">
        <v>45940</v>
      </c>
      <c r="B209" s="227" t="s">
        <v>162</v>
      </c>
      <c r="C209" s="227" t="s">
        <v>676</v>
      </c>
      <c r="D209" s="228">
        <v>550</v>
      </c>
      <c r="E209" s="231">
        <v>1226.2</v>
      </c>
      <c r="F209" s="231">
        <v>1257.5</v>
      </c>
      <c r="G209" s="228">
        <v>-31.3</v>
      </c>
      <c r="H209" s="229">
        <v>-2.4899999999999999E-2</v>
      </c>
      <c r="I209" s="231">
        <v>1219.8</v>
      </c>
      <c r="J209" s="231">
        <v>1260</v>
      </c>
      <c r="K209" s="228">
        <v>-40.200000000000003</v>
      </c>
      <c r="L209" s="229">
        <v>-3.1899999999999998E-2</v>
      </c>
      <c r="M209" s="231">
        <v>1226.2</v>
      </c>
      <c r="N209" s="231">
        <v>1257.5</v>
      </c>
      <c r="O209" s="228">
        <v>-31.3</v>
      </c>
      <c r="P209" s="229">
        <v>-2.4899999999999999E-2</v>
      </c>
      <c r="Q209" s="231">
        <v>1224.2</v>
      </c>
      <c r="R209" s="231">
        <v>1255</v>
      </c>
      <c r="S209" s="228">
        <v>-30.8</v>
      </c>
      <c r="T209" s="229">
        <v>-2.4500000000000001E-2</v>
      </c>
      <c r="U209" s="231">
        <v>1224.8</v>
      </c>
      <c r="V209" s="231">
        <v>1254.7</v>
      </c>
      <c r="W209" s="228">
        <v>-29.9</v>
      </c>
      <c r="X209" s="229">
        <v>-2.3800000000000002E-2</v>
      </c>
      <c r="Y209" s="228">
        <v>6.4</v>
      </c>
      <c r="Z209" s="228">
        <v>-2.5</v>
      </c>
      <c r="AA209" s="228">
        <v>8.9</v>
      </c>
      <c r="AB209" s="229">
        <v>5.1999999999999998E-3</v>
      </c>
      <c r="AC209" s="228">
        <v>6.4</v>
      </c>
      <c r="AD209" s="228">
        <v>-2.5</v>
      </c>
      <c r="AE209" s="228">
        <v>8.9</v>
      </c>
      <c r="AF209" s="229">
        <v>5.1999999999999998E-3</v>
      </c>
      <c r="AG209" s="228">
        <v>4.4000000000000004</v>
      </c>
      <c r="AH209" s="228">
        <v>-5</v>
      </c>
      <c r="AI209" s="228">
        <v>9.4</v>
      </c>
      <c r="AJ209" s="229">
        <v>3.5999999999999999E-3</v>
      </c>
      <c r="AK209" s="228">
        <v>5</v>
      </c>
      <c r="AL209" s="228">
        <v>-5.3</v>
      </c>
      <c r="AM209" s="228">
        <v>10.3</v>
      </c>
      <c r="AN209" s="229">
        <v>4.1000000000000003E-3</v>
      </c>
      <c r="AO209" s="231">
        <v>1240.02</v>
      </c>
      <c r="AP209" s="231">
        <v>1236.79</v>
      </c>
      <c r="AQ209" s="228">
        <v>0</v>
      </c>
      <c r="AR209" s="230">
        <v>1733050</v>
      </c>
      <c r="AS209" s="230">
        <v>2275900</v>
      </c>
      <c r="AT209" s="230">
        <v>-542850</v>
      </c>
      <c r="AU209" s="229">
        <v>-0.23849999999999999</v>
      </c>
      <c r="AV209" s="230">
        <v>1563650</v>
      </c>
      <c r="AW209" s="230">
        <v>2062500</v>
      </c>
      <c r="AX209" s="230">
        <v>-498850</v>
      </c>
      <c r="AY209" s="229">
        <v>-0.2419</v>
      </c>
      <c r="AZ209" s="230">
        <v>160600</v>
      </c>
      <c r="BA209" s="230">
        <v>199650</v>
      </c>
      <c r="BB209" s="230">
        <v>-39050</v>
      </c>
      <c r="BC209" s="229">
        <v>-0.1956</v>
      </c>
      <c r="BD209" s="230">
        <v>8800</v>
      </c>
      <c r="BE209" s="230">
        <v>13750</v>
      </c>
      <c r="BF209" s="230">
        <v>-4950</v>
      </c>
      <c r="BG209" s="229">
        <v>-0.36</v>
      </c>
      <c r="BH209" s="230">
        <v>6833750</v>
      </c>
      <c r="BI209" s="230">
        <v>5682600</v>
      </c>
      <c r="BJ209" s="230">
        <v>1151150</v>
      </c>
      <c r="BK209" s="229">
        <v>0.2026</v>
      </c>
      <c r="BL209" s="230">
        <v>2847350</v>
      </c>
      <c r="BM209" s="230">
        <v>3490300</v>
      </c>
      <c r="BN209" s="230">
        <v>-642950</v>
      </c>
      <c r="BO209" s="229">
        <v>-0.1842</v>
      </c>
      <c r="BP209" s="230">
        <v>11414150</v>
      </c>
      <c r="BQ209" s="230">
        <v>11448800</v>
      </c>
      <c r="BR209" s="230">
        <v>-34650</v>
      </c>
      <c r="BS209" s="229">
        <v>-3.0000000000000001E-3</v>
      </c>
      <c r="BT209" s="230">
        <v>1485723</v>
      </c>
      <c r="BU209" s="230">
        <v>1559674</v>
      </c>
      <c r="BV209" s="230">
        <v>-73951</v>
      </c>
      <c r="BW209" s="229">
        <v>-4.7399999999999998E-2</v>
      </c>
      <c r="BX209" s="230">
        <v>4087600</v>
      </c>
      <c r="BY209" s="230">
        <v>3985300</v>
      </c>
      <c r="BZ209" s="230">
        <v>102300</v>
      </c>
      <c r="CA209" s="229">
        <v>2.5700000000000001E-2</v>
      </c>
      <c r="CB209" s="230">
        <v>3797750</v>
      </c>
      <c r="CC209" s="230">
        <v>3747150</v>
      </c>
      <c r="CD209" s="230">
        <v>50600</v>
      </c>
      <c r="CE209" s="229">
        <v>1.35E-2</v>
      </c>
      <c r="CF209" s="230">
        <v>251900</v>
      </c>
      <c r="CG209" s="230">
        <v>203500</v>
      </c>
      <c r="CH209" s="230">
        <v>48400</v>
      </c>
      <c r="CI209" s="229">
        <v>0.23780000000000001</v>
      </c>
      <c r="CJ209" s="230">
        <v>37950</v>
      </c>
      <c r="CK209" s="230">
        <v>34650</v>
      </c>
      <c r="CL209" s="230">
        <v>3300</v>
      </c>
      <c r="CM209" s="229">
        <v>9.5200000000000007E-2</v>
      </c>
      <c r="CN209" s="230">
        <v>3638250</v>
      </c>
      <c r="CO209" s="230">
        <v>2590500</v>
      </c>
      <c r="CP209" s="230">
        <v>1047750</v>
      </c>
      <c r="CQ209" s="229">
        <v>0.40450000000000003</v>
      </c>
      <c r="CR209" s="230">
        <v>1647800</v>
      </c>
      <c r="CS209" s="230">
        <v>1463000</v>
      </c>
      <c r="CT209" s="230">
        <v>184800</v>
      </c>
      <c r="CU209" s="229">
        <v>0.1263</v>
      </c>
      <c r="CV209" s="230">
        <v>9373650</v>
      </c>
      <c r="CW209" s="230">
        <v>8038800</v>
      </c>
      <c r="CX209" s="230">
        <v>1334850</v>
      </c>
      <c r="CY209" s="229">
        <v>0.1661</v>
      </c>
      <c r="CZ209" s="228">
        <v>35.659999999999997</v>
      </c>
      <c r="DA209" s="228">
        <v>34.58</v>
      </c>
      <c r="DB209" s="228">
        <v>1.08</v>
      </c>
      <c r="DC209" s="228">
        <v>1.08</v>
      </c>
      <c r="DD209" s="228">
        <v>42.42</v>
      </c>
      <c r="DE209" s="228">
        <v>42.39</v>
      </c>
      <c r="DF209" s="228">
        <v>-6.76</v>
      </c>
      <c r="DG209" s="228">
        <v>0.03</v>
      </c>
      <c r="DH209" s="228">
        <v>35.83</v>
      </c>
      <c r="DI209" s="228">
        <v>34.69</v>
      </c>
      <c r="DJ209" s="228">
        <v>1.1399999999999999</v>
      </c>
      <c r="DK209" s="228">
        <v>1.1399999999999999</v>
      </c>
      <c r="DL209" s="228">
        <v>35.270000000000003</v>
      </c>
      <c r="DM209" s="228">
        <v>34.4</v>
      </c>
      <c r="DN209" s="228">
        <v>0.87</v>
      </c>
      <c r="DO209" s="228">
        <v>0.87</v>
      </c>
      <c r="DP209" s="228">
        <v>0.45</v>
      </c>
      <c r="DQ209" s="228">
        <v>0.56000000000000005</v>
      </c>
      <c r="DR209" s="228">
        <v>-0.11</v>
      </c>
      <c r="DS209" s="229">
        <v>-0.19639999999999999</v>
      </c>
      <c r="DT209" s="231">
        <v>1300</v>
      </c>
      <c r="DU209" s="231">
        <v>1200</v>
      </c>
      <c r="DV209" s="228">
        <v>0.42</v>
      </c>
      <c r="DW209" s="228">
        <v>0.61</v>
      </c>
      <c r="DX209" s="228">
        <v>-0.19</v>
      </c>
      <c r="DY209" s="229">
        <v>-0.3115</v>
      </c>
      <c r="DZ209" s="229">
        <v>7.0900000000000005E-2</v>
      </c>
      <c r="EA209" s="230">
        <v>238150</v>
      </c>
      <c r="EB209" s="229">
        <v>-1.6000000000000001E-3</v>
      </c>
      <c r="EC209" s="229">
        <v>7.0900000000000005E-2</v>
      </c>
      <c r="ED209" s="228">
        <v>-3.23</v>
      </c>
      <c r="EE209" s="229">
        <v>-2.5999999999999999E-3</v>
      </c>
      <c r="EF209" s="230">
        <v>865012</v>
      </c>
      <c r="EG209" s="230">
        <v>720344</v>
      </c>
      <c r="EH209" s="229">
        <v>0.20080000000000001</v>
      </c>
      <c r="EI209" s="229">
        <v>0.58220000000000005</v>
      </c>
      <c r="EJ209" s="231">
        <v>90906.73</v>
      </c>
      <c r="EK209" s="231">
        <v>34710.47</v>
      </c>
      <c r="EL209" s="231">
        <v>21484.47</v>
      </c>
      <c r="EM209" s="231">
        <v>2785</v>
      </c>
      <c r="EN209" s="231">
        <v>147101.67000000001</v>
      </c>
      <c r="EO209" s="231">
        <v>150228.78</v>
      </c>
      <c r="EP209" s="231">
        <v>-3127.11</v>
      </c>
      <c r="EQ209" s="229">
        <v>-2.0799999999999999E-2</v>
      </c>
      <c r="ER209" s="231">
        <v>48466</v>
      </c>
      <c r="ES209" s="231">
        <v>20375</v>
      </c>
      <c r="ET209" s="231">
        <v>50117</v>
      </c>
      <c r="EU209" s="231">
        <v>22813802</v>
      </c>
      <c r="EV209" s="231">
        <v>118957</v>
      </c>
      <c r="EW209" s="231">
        <v>103410</v>
      </c>
      <c r="EX209" s="231">
        <v>15547</v>
      </c>
      <c r="EY209" s="229">
        <v>0.15029999999999999</v>
      </c>
      <c r="EZ209" s="229">
        <v>0.41089999999999999</v>
      </c>
      <c r="FA209" s="227" t="s">
        <v>567</v>
      </c>
      <c r="FB209" s="161">
        <f t="shared" si="5"/>
        <v>0</v>
      </c>
    </row>
    <row r="210" spans="1:158" ht="17.25" thickBot="1" x14ac:dyDescent="0.3">
      <c r="A210" s="226">
        <v>45940</v>
      </c>
      <c r="B210" s="227" t="s">
        <v>498</v>
      </c>
      <c r="C210" s="227" t="s">
        <v>303</v>
      </c>
      <c r="D210" s="228">
        <v>1355</v>
      </c>
      <c r="E210" s="228">
        <v>683.85</v>
      </c>
      <c r="F210" s="228">
        <v>678.9</v>
      </c>
      <c r="G210" s="228">
        <v>4.95</v>
      </c>
      <c r="H210" s="229">
        <v>7.3000000000000001E-3</v>
      </c>
      <c r="I210" s="228">
        <v>681.3</v>
      </c>
      <c r="J210" s="228">
        <v>675.05</v>
      </c>
      <c r="K210" s="228">
        <v>6.25</v>
      </c>
      <c r="L210" s="229">
        <v>9.2999999999999992E-3</v>
      </c>
      <c r="M210" s="228">
        <v>683.85</v>
      </c>
      <c r="N210" s="228">
        <v>678.9</v>
      </c>
      <c r="O210" s="228">
        <v>4.95</v>
      </c>
      <c r="P210" s="229">
        <v>7.3000000000000001E-3</v>
      </c>
      <c r="Q210" s="228">
        <v>686.9</v>
      </c>
      <c r="R210" s="228">
        <v>682.65</v>
      </c>
      <c r="S210" s="228">
        <v>4.25</v>
      </c>
      <c r="T210" s="229">
        <v>6.1999999999999998E-3</v>
      </c>
      <c r="U210" s="228">
        <v>683</v>
      </c>
      <c r="V210" s="228">
        <v>685.1</v>
      </c>
      <c r="W210" s="228">
        <v>-2.1</v>
      </c>
      <c r="X210" s="229">
        <v>-3.0999999999999999E-3</v>
      </c>
      <c r="Y210" s="228">
        <v>2.5499999999999998</v>
      </c>
      <c r="Z210" s="228">
        <v>3.85</v>
      </c>
      <c r="AA210" s="228">
        <v>-1.3</v>
      </c>
      <c r="AB210" s="229">
        <v>3.7000000000000002E-3</v>
      </c>
      <c r="AC210" s="228">
        <v>2.5499999999999998</v>
      </c>
      <c r="AD210" s="228">
        <v>3.85</v>
      </c>
      <c r="AE210" s="228">
        <v>-1.3</v>
      </c>
      <c r="AF210" s="229">
        <v>3.7000000000000002E-3</v>
      </c>
      <c r="AG210" s="228">
        <v>5.6</v>
      </c>
      <c r="AH210" s="228">
        <v>7.6</v>
      </c>
      <c r="AI210" s="228">
        <v>-2</v>
      </c>
      <c r="AJ210" s="229">
        <v>8.2000000000000007E-3</v>
      </c>
      <c r="AK210" s="228">
        <v>1.7</v>
      </c>
      <c r="AL210" s="228">
        <v>10.050000000000001</v>
      </c>
      <c r="AM210" s="228">
        <v>-8.35</v>
      </c>
      <c r="AN210" s="229">
        <v>2.5000000000000001E-3</v>
      </c>
      <c r="AO210" s="228">
        <v>682.7</v>
      </c>
      <c r="AP210" s="228">
        <v>685.76</v>
      </c>
      <c r="AQ210" s="228">
        <v>0</v>
      </c>
      <c r="AR210" s="230">
        <v>3159860</v>
      </c>
      <c r="AS210" s="230">
        <v>2205940</v>
      </c>
      <c r="AT210" s="230">
        <v>953920</v>
      </c>
      <c r="AU210" s="229">
        <v>0.43240000000000001</v>
      </c>
      <c r="AV210" s="230">
        <v>3014875</v>
      </c>
      <c r="AW210" s="230">
        <v>2082635</v>
      </c>
      <c r="AX210" s="230">
        <v>932240</v>
      </c>
      <c r="AY210" s="229">
        <v>0.4476</v>
      </c>
      <c r="AZ210" s="230">
        <v>142275</v>
      </c>
      <c r="BA210" s="230">
        <v>117885</v>
      </c>
      <c r="BB210" s="230">
        <v>24390</v>
      </c>
      <c r="BC210" s="229">
        <v>0.2069</v>
      </c>
      <c r="BD210" s="230">
        <v>2710</v>
      </c>
      <c r="BE210" s="230">
        <v>5420</v>
      </c>
      <c r="BF210" s="230">
        <v>-2710</v>
      </c>
      <c r="BG210" s="229">
        <v>-0.5</v>
      </c>
      <c r="BH210" s="230">
        <v>6722155</v>
      </c>
      <c r="BI210" s="230">
        <v>5010790</v>
      </c>
      <c r="BJ210" s="230">
        <v>1711365</v>
      </c>
      <c r="BK210" s="229">
        <v>0.34150000000000003</v>
      </c>
      <c r="BL210" s="230">
        <v>3188315</v>
      </c>
      <c r="BM210" s="230">
        <v>2662575</v>
      </c>
      <c r="BN210" s="230">
        <v>525740</v>
      </c>
      <c r="BO210" s="229">
        <v>0.19750000000000001</v>
      </c>
      <c r="BP210" s="230">
        <v>13070330</v>
      </c>
      <c r="BQ210" s="230">
        <v>9879305</v>
      </c>
      <c r="BR210" s="230">
        <v>3191025</v>
      </c>
      <c r="BS210" s="229">
        <v>0.32300000000000001</v>
      </c>
      <c r="BT210" s="230">
        <v>981032</v>
      </c>
      <c r="BU210" s="230">
        <v>1026993</v>
      </c>
      <c r="BV210" s="230">
        <v>-45961</v>
      </c>
      <c r="BW210" s="229">
        <v>-4.48E-2</v>
      </c>
      <c r="BX210" s="230">
        <v>33671750</v>
      </c>
      <c r="BY210" s="230">
        <v>33571480</v>
      </c>
      <c r="BZ210" s="230">
        <v>100270</v>
      </c>
      <c r="CA210" s="229">
        <v>3.0000000000000001E-3</v>
      </c>
      <c r="CB210" s="230">
        <v>32908885</v>
      </c>
      <c r="CC210" s="230">
        <v>32799130</v>
      </c>
      <c r="CD210" s="230">
        <v>109755</v>
      </c>
      <c r="CE210" s="229">
        <v>3.3E-3</v>
      </c>
      <c r="CF210" s="230">
        <v>700535</v>
      </c>
      <c r="CG210" s="230">
        <v>710020</v>
      </c>
      <c r="CH210" s="230">
        <v>-9485</v>
      </c>
      <c r="CI210" s="229">
        <v>-1.34E-2</v>
      </c>
      <c r="CJ210" s="230">
        <v>62330</v>
      </c>
      <c r="CK210" s="230">
        <v>62330</v>
      </c>
      <c r="CL210" s="228">
        <v>0</v>
      </c>
      <c r="CM210" s="229">
        <v>0</v>
      </c>
      <c r="CN210" s="230">
        <v>7728920</v>
      </c>
      <c r="CO210" s="230">
        <v>7653040</v>
      </c>
      <c r="CP210" s="230">
        <v>75880</v>
      </c>
      <c r="CQ210" s="229">
        <v>9.9000000000000008E-3</v>
      </c>
      <c r="CR210" s="230">
        <v>4659845</v>
      </c>
      <c r="CS210" s="230">
        <v>4705915</v>
      </c>
      <c r="CT210" s="230">
        <v>-46070</v>
      </c>
      <c r="CU210" s="229">
        <v>-9.7999999999999997E-3</v>
      </c>
      <c r="CV210" s="230">
        <v>46060515</v>
      </c>
      <c r="CW210" s="230">
        <v>45930435</v>
      </c>
      <c r="CX210" s="230">
        <v>130080</v>
      </c>
      <c r="CY210" s="229">
        <v>2.8E-3</v>
      </c>
      <c r="CZ210" s="228">
        <v>23.35</v>
      </c>
      <c r="DA210" s="228">
        <v>24.31</v>
      </c>
      <c r="DB210" s="228">
        <v>-0.96</v>
      </c>
      <c r="DC210" s="228">
        <v>-0.96</v>
      </c>
      <c r="DD210" s="228">
        <v>34.11</v>
      </c>
      <c r="DE210" s="228">
        <v>34.18</v>
      </c>
      <c r="DF210" s="228">
        <v>-10.76</v>
      </c>
      <c r="DG210" s="228">
        <v>-7.0000000000000007E-2</v>
      </c>
      <c r="DH210" s="228">
        <v>23.24</v>
      </c>
      <c r="DI210" s="228">
        <v>24.06</v>
      </c>
      <c r="DJ210" s="228">
        <v>-0.82</v>
      </c>
      <c r="DK210" s="228">
        <v>-0.82</v>
      </c>
      <c r="DL210" s="228">
        <v>23.58</v>
      </c>
      <c r="DM210" s="228">
        <v>24.78</v>
      </c>
      <c r="DN210" s="228">
        <v>-1.2</v>
      </c>
      <c r="DO210" s="228">
        <v>-1.2</v>
      </c>
      <c r="DP210" s="228">
        <v>0.6</v>
      </c>
      <c r="DQ210" s="228">
        <v>0.61</v>
      </c>
      <c r="DR210" s="228">
        <v>-0.01</v>
      </c>
      <c r="DS210" s="229">
        <v>-1.6400000000000001E-2</v>
      </c>
      <c r="DT210" s="228">
        <v>700</v>
      </c>
      <c r="DU210" s="228">
        <v>680</v>
      </c>
      <c r="DV210" s="228">
        <v>0.47</v>
      </c>
      <c r="DW210" s="228">
        <v>0.53</v>
      </c>
      <c r="DX210" s="228">
        <v>-0.06</v>
      </c>
      <c r="DY210" s="229">
        <v>-0.1132</v>
      </c>
      <c r="DZ210" s="229">
        <v>2.2700000000000001E-2</v>
      </c>
      <c r="EA210" s="230">
        <v>772350</v>
      </c>
      <c r="EB210" s="229">
        <v>4.4999999999999997E-3</v>
      </c>
      <c r="EC210" s="229">
        <v>2.2700000000000001E-2</v>
      </c>
      <c r="ED210" s="228">
        <v>3.06</v>
      </c>
      <c r="EE210" s="229">
        <v>4.4999999999999997E-3</v>
      </c>
      <c r="EF210" s="230">
        <v>546038</v>
      </c>
      <c r="EG210" s="230">
        <v>549010</v>
      </c>
      <c r="EH210" s="229">
        <v>-5.4000000000000003E-3</v>
      </c>
      <c r="EI210" s="229">
        <v>0.55659999999999998</v>
      </c>
      <c r="EJ210" s="231">
        <v>47497.7</v>
      </c>
      <c r="EK210" s="231">
        <v>21628.52</v>
      </c>
      <c r="EL210" s="231">
        <v>21576.67</v>
      </c>
      <c r="EM210" s="231">
        <v>2601</v>
      </c>
      <c r="EN210" s="231">
        <v>90702.89</v>
      </c>
      <c r="EO210" s="231">
        <v>68054.62</v>
      </c>
      <c r="EP210" s="231">
        <v>22648.27</v>
      </c>
      <c r="EQ210" s="229">
        <v>0.33279999999999998</v>
      </c>
      <c r="ER210" s="231">
        <v>54501</v>
      </c>
      <c r="ES210" s="231">
        <v>30614</v>
      </c>
      <c r="ET210" s="231">
        <v>230285</v>
      </c>
      <c r="EU210" s="231">
        <v>82588393</v>
      </c>
      <c r="EV210" s="231">
        <v>315399</v>
      </c>
      <c r="EW210" s="231">
        <v>312721</v>
      </c>
      <c r="EX210" s="231">
        <v>2678</v>
      </c>
      <c r="EY210" s="229">
        <v>8.6E-3</v>
      </c>
      <c r="EZ210" s="229">
        <v>0.55769999999999997</v>
      </c>
      <c r="FA210" s="227" t="s">
        <v>555</v>
      </c>
      <c r="FB210" s="161">
        <f t="shared" si="5"/>
        <v>0</v>
      </c>
    </row>
    <row r="211" spans="1:158" ht="17.25" thickBot="1" x14ac:dyDescent="0.3">
      <c r="A211" s="226">
        <v>45940</v>
      </c>
      <c r="B211" s="227" t="s">
        <v>168</v>
      </c>
      <c r="C211" s="227" t="s">
        <v>587</v>
      </c>
      <c r="D211" s="228">
        <v>1025</v>
      </c>
      <c r="E211" s="228">
        <v>445.9</v>
      </c>
      <c r="F211" s="228">
        <v>447.05</v>
      </c>
      <c r="G211" s="228">
        <v>-1.1499999999999999</v>
      </c>
      <c r="H211" s="229">
        <v>-2.5999999999999999E-3</v>
      </c>
      <c r="I211" s="228">
        <v>443.65</v>
      </c>
      <c r="J211" s="228">
        <v>445.9</v>
      </c>
      <c r="K211" s="228">
        <v>-2.25</v>
      </c>
      <c r="L211" s="229">
        <v>-5.0000000000000001E-3</v>
      </c>
      <c r="M211" s="228">
        <v>445.9</v>
      </c>
      <c r="N211" s="228">
        <v>447.05</v>
      </c>
      <c r="O211" s="228">
        <v>-1.1499999999999999</v>
      </c>
      <c r="P211" s="229">
        <v>-2.5999999999999999E-3</v>
      </c>
      <c r="Q211" s="228">
        <v>448.6</v>
      </c>
      <c r="R211" s="228">
        <v>449.35</v>
      </c>
      <c r="S211" s="228">
        <v>-0.75</v>
      </c>
      <c r="T211" s="229">
        <v>-1.6999999999999999E-3</v>
      </c>
      <c r="U211" s="228">
        <v>451.15</v>
      </c>
      <c r="V211" s="228">
        <v>451.95</v>
      </c>
      <c r="W211" s="228">
        <v>-0.8</v>
      </c>
      <c r="X211" s="229">
        <v>-1.8E-3</v>
      </c>
      <c r="Y211" s="228">
        <v>2.25</v>
      </c>
      <c r="Z211" s="228">
        <v>1.1499999999999999</v>
      </c>
      <c r="AA211" s="228">
        <v>1.1000000000000001</v>
      </c>
      <c r="AB211" s="229">
        <v>5.1000000000000004E-3</v>
      </c>
      <c r="AC211" s="228">
        <v>2.25</v>
      </c>
      <c r="AD211" s="228">
        <v>1.1499999999999999</v>
      </c>
      <c r="AE211" s="228">
        <v>1.1000000000000001</v>
      </c>
      <c r="AF211" s="229">
        <v>5.1000000000000004E-3</v>
      </c>
      <c r="AG211" s="228">
        <v>4.95</v>
      </c>
      <c r="AH211" s="228">
        <v>3.45</v>
      </c>
      <c r="AI211" s="228">
        <v>1.5</v>
      </c>
      <c r="AJ211" s="229">
        <v>1.12E-2</v>
      </c>
      <c r="AK211" s="228">
        <v>7.5</v>
      </c>
      <c r="AL211" s="228">
        <v>6.05</v>
      </c>
      <c r="AM211" s="228">
        <v>1.45</v>
      </c>
      <c r="AN211" s="229">
        <v>1.6899999999999998E-2</v>
      </c>
      <c r="AO211" s="228">
        <v>449.45</v>
      </c>
      <c r="AP211" s="228">
        <v>451.17</v>
      </c>
      <c r="AQ211" s="228">
        <v>0</v>
      </c>
      <c r="AR211" s="230">
        <v>5668250</v>
      </c>
      <c r="AS211" s="230">
        <v>5140375</v>
      </c>
      <c r="AT211" s="230">
        <v>527875</v>
      </c>
      <c r="AU211" s="229">
        <v>0.1027</v>
      </c>
      <c r="AV211" s="230">
        <v>5167025</v>
      </c>
      <c r="AW211" s="230">
        <v>4589950</v>
      </c>
      <c r="AX211" s="230">
        <v>577075</v>
      </c>
      <c r="AY211" s="229">
        <v>0.12570000000000001</v>
      </c>
      <c r="AZ211" s="230">
        <v>427425</v>
      </c>
      <c r="BA211" s="230">
        <v>447925</v>
      </c>
      <c r="BB211" s="230">
        <v>-20500</v>
      </c>
      <c r="BC211" s="229">
        <v>-4.58E-2</v>
      </c>
      <c r="BD211" s="230">
        <v>73800</v>
      </c>
      <c r="BE211" s="230">
        <v>102500</v>
      </c>
      <c r="BF211" s="230">
        <v>-28700</v>
      </c>
      <c r="BG211" s="229">
        <v>-0.28000000000000003</v>
      </c>
      <c r="BH211" s="230">
        <v>13270675</v>
      </c>
      <c r="BI211" s="230">
        <v>13936925</v>
      </c>
      <c r="BJ211" s="230">
        <v>-666250</v>
      </c>
      <c r="BK211" s="229">
        <v>-4.7800000000000002E-2</v>
      </c>
      <c r="BL211" s="230">
        <v>6060825</v>
      </c>
      <c r="BM211" s="230">
        <v>5507325</v>
      </c>
      <c r="BN211" s="230">
        <v>553500</v>
      </c>
      <c r="BO211" s="229">
        <v>0.10050000000000001</v>
      </c>
      <c r="BP211" s="230">
        <v>24999750</v>
      </c>
      <c r="BQ211" s="230">
        <v>24584625</v>
      </c>
      <c r="BR211" s="230">
        <v>415125</v>
      </c>
      <c r="BS211" s="229">
        <v>1.6899999999999998E-2</v>
      </c>
      <c r="BT211" s="230">
        <v>2629525</v>
      </c>
      <c r="BU211" s="230">
        <v>4074887</v>
      </c>
      <c r="BV211" s="230">
        <v>-1445362</v>
      </c>
      <c r="BW211" s="229">
        <v>-0.35470000000000002</v>
      </c>
      <c r="BX211" s="230">
        <v>42396050</v>
      </c>
      <c r="BY211" s="230">
        <v>42371450</v>
      </c>
      <c r="BZ211" s="230">
        <v>24600</v>
      </c>
      <c r="CA211" s="229">
        <v>5.9999999999999995E-4</v>
      </c>
      <c r="CB211" s="230">
        <v>40992825</v>
      </c>
      <c r="CC211" s="230">
        <v>41029725</v>
      </c>
      <c r="CD211" s="230">
        <v>-36900</v>
      </c>
      <c r="CE211" s="229">
        <v>-8.9999999999999998E-4</v>
      </c>
      <c r="CF211" s="230">
        <v>1230000</v>
      </c>
      <c r="CG211" s="230">
        <v>1183875</v>
      </c>
      <c r="CH211" s="230">
        <v>46125</v>
      </c>
      <c r="CI211" s="229">
        <v>3.9E-2</v>
      </c>
      <c r="CJ211" s="230">
        <v>173225</v>
      </c>
      <c r="CK211" s="230">
        <v>157850</v>
      </c>
      <c r="CL211" s="230">
        <v>15375</v>
      </c>
      <c r="CM211" s="229">
        <v>9.74E-2</v>
      </c>
      <c r="CN211" s="230">
        <v>11404150</v>
      </c>
      <c r="CO211" s="230">
        <v>11115100</v>
      </c>
      <c r="CP211" s="230">
        <v>289050</v>
      </c>
      <c r="CQ211" s="229">
        <v>2.5999999999999999E-2</v>
      </c>
      <c r="CR211" s="230">
        <v>6618425</v>
      </c>
      <c r="CS211" s="230">
        <v>6782425</v>
      </c>
      <c r="CT211" s="230">
        <v>-164000</v>
      </c>
      <c r="CU211" s="229">
        <v>-2.4199999999999999E-2</v>
      </c>
      <c r="CV211" s="230">
        <v>60418625</v>
      </c>
      <c r="CW211" s="230">
        <v>60268975</v>
      </c>
      <c r="CX211" s="230">
        <v>149650</v>
      </c>
      <c r="CY211" s="229">
        <v>2.5000000000000001E-3</v>
      </c>
      <c r="CZ211" s="228">
        <v>28.52</v>
      </c>
      <c r="DA211" s="228">
        <v>29.56</v>
      </c>
      <c r="DB211" s="228">
        <v>-1.04</v>
      </c>
      <c r="DC211" s="228">
        <v>-1.04</v>
      </c>
      <c r="DD211" s="228">
        <v>38.49</v>
      </c>
      <c r="DE211" s="228">
        <v>38.58</v>
      </c>
      <c r="DF211" s="228">
        <v>-9.9700000000000006</v>
      </c>
      <c r="DG211" s="228">
        <v>-0.09</v>
      </c>
      <c r="DH211" s="228">
        <v>28.77</v>
      </c>
      <c r="DI211" s="228">
        <v>29.61</v>
      </c>
      <c r="DJ211" s="228">
        <v>-0.84</v>
      </c>
      <c r="DK211" s="228">
        <v>-0.84</v>
      </c>
      <c r="DL211" s="228">
        <v>27.98</v>
      </c>
      <c r="DM211" s="228">
        <v>29.42</v>
      </c>
      <c r="DN211" s="228">
        <v>-1.44</v>
      </c>
      <c r="DO211" s="228">
        <v>-1.44</v>
      </c>
      <c r="DP211" s="228">
        <v>0.57999999999999996</v>
      </c>
      <c r="DQ211" s="228">
        <v>0.61</v>
      </c>
      <c r="DR211" s="228">
        <v>-0.03</v>
      </c>
      <c r="DS211" s="229">
        <v>-4.9200000000000001E-2</v>
      </c>
      <c r="DT211" s="228">
        <v>500</v>
      </c>
      <c r="DU211" s="228">
        <v>450</v>
      </c>
      <c r="DV211" s="228">
        <v>0.46</v>
      </c>
      <c r="DW211" s="228">
        <v>0.4</v>
      </c>
      <c r="DX211" s="228">
        <v>0.06</v>
      </c>
      <c r="DY211" s="229">
        <v>0.15</v>
      </c>
      <c r="DZ211" s="229">
        <v>3.3099999999999997E-2</v>
      </c>
      <c r="EA211" s="230">
        <v>1341725</v>
      </c>
      <c r="EB211" s="229">
        <v>6.1000000000000004E-3</v>
      </c>
      <c r="EC211" s="229">
        <v>3.3099999999999997E-2</v>
      </c>
      <c r="ED211" s="228">
        <v>1.72</v>
      </c>
      <c r="EE211" s="229">
        <v>3.8E-3</v>
      </c>
      <c r="EF211" s="230">
        <v>1055771</v>
      </c>
      <c r="EG211" s="230">
        <v>1975856</v>
      </c>
      <c r="EH211" s="229">
        <v>-0.4657</v>
      </c>
      <c r="EI211" s="229">
        <v>0.40150000000000002</v>
      </c>
      <c r="EJ211" s="231">
        <v>62443.02</v>
      </c>
      <c r="EK211" s="231">
        <v>27165.64</v>
      </c>
      <c r="EL211" s="231">
        <v>25486.97</v>
      </c>
      <c r="EM211" s="231">
        <v>3686</v>
      </c>
      <c r="EN211" s="231">
        <v>115095.63</v>
      </c>
      <c r="EO211" s="231">
        <v>111675.86</v>
      </c>
      <c r="EP211" s="231">
        <v>3419.77</v>
      </c>
      <c r="EQ211" s="229">
        <v>3.0599999999999999E-2</v>
      </c>
      <c r="ER211" s="231">
        <v>54259</v>
      </c>
      <c r="ES211" s="231">
        <v>29046</v>
      </c>
      <c r="ET211" s="231">
        <v>189086</v>
      </c>
      <c r="EU211" s="231">
        <v>203804339</v>
      </c>
      <c r="EV211" s="231">
        <v>272392</v>
      </c>
      <c r="EW211" s="231">
        <v>271903</v>
      </c>
      <c r="EX211" s="228">
        <v>489</v>
      </c>
      <c r="EY211" s="229">
        <v>1.8E-3</v>
      </c>
      <c r="EZ211" s="229">
        <v>0.29649999999999999</v>
      </c>
      <c r="FA211" s="227" t="s">
        <v>567</v>
      </c>
      <c r="FB211" s="161">
        <f t="shared" si="5"/>
        <v>0</v>
      </c>
    </row>
    <row r="212" spans="1:158" ht="17.25" thickBot="1" x14ac:dyDescent="0.3">
      <c r="A212" s="226">
        <v>45940</v>
      </c>
      <c r="B212" s="227" t="s">
        <v>227</v>
      </c>
      <c r="C212" s="227" t="s">
        <v>304</v>
      </c>
      <c r="D212" s="228">
        <v>1150</v>
      </c>
      <c r="E212" s="228">
        <v>483.75</v>
      </c>
      <c r="F212" s="228">
        <v>487</v>
      </c>
      <c r="G212" s="228">
        <v>-3.25</v>
      </c>
      <c r="H212" s="229">
        <v>-6.7000000000000002E-3</v>
      </c>
      <c r="I212" s="228">
        <v>482.2</v>
      </c>
      <c r="J212" s="228">
        <v>484.2</v>
      </c>
      <c r="K212" s="228">
        <v>-2</v>
      </c>
      <c r="L212" s="229">
        <v>-4.1000000000000003E-3</v>
      </c>
      <c r="M212" s="228">
        <v>483.75</v>
      </c>
      <c r="N212" s="228">
        <v>487</v>
      </c>
      <c r="O212" s="228">
        <v>-3.25</v>
      </c>
      <c r="P212" s="229">
        <v>-6.7000000000000002E-3</v>
      </c>
      <c r="Q212" s="228">
        <v>486.45</v>
      </c>
      <c r="R212" s="228">
        <v>489.5</v>
      </c>
      <c r="S212" s="228">
        <v>-3.05</v>
      </c>
      <c r="T212" s="229">
        <v>-6.1999999999999998E-3</v>
      </c>
      <c r="U212" s="228">
        <v>488.15</v>
      </c>
      <c r="V212" s="228">
        <v>491.3</v>
      </c>
      <c r="W212" s="228">
        <v>-3.15</v>
      </c>
      <c r="X212" s="229">
        <v>-6.4000000000000003E-3</v>
      </c>
      <c r="Y212" s="228">
        <v>1.55</v>
      </c>
      <c r="Z212" s="228">
        <v>2.8</v>
      </c>
      <c r="AA212" s="228">
        <v>-1.25</v>
      </c>
      <c r="AB212" s="229">
        <v>3.2000000000000002E-3</v>
      </c>
      <c r="AC212" s="228">
        <v>1.55</v>
      </c>
      <c r="AD212" s="228">
        <v>2.8</v>
      </c>
      <c r="AE212" s="228">
        <v>-1.25</v>
      </c>
      <c r="AF212" s="229">
        <v>3.2000000000000002E-3</v>
      </c>
      <c r="AG212" s="228">
        <v>4.25</v>
      </c>
      <c r="AH212" s="228">
        <v>5.3</v>
      </c>
      <c r="AI212" s="228">
        <v>-1.05</v>
      </c>
      <c r="AJ212" s="229">
        <v>8.8000000000000005E-3</v>
      </c>
      <c r="AK212" s="228">
        <v>5.95</v>
      </c>
      <c r="AL212" s="228">
        <v>7.1</v>
      </c>
      <c r="AM212" s="228">
        <v>-1.1499999999999999</v>
      </c>
      <c r="AN212" s="229">
        <v>1.23E-2</v>
      </c>
      <c r="AO212" s="228">
        <v>482.1</v>
      </c>
      <c r="AP212" s="228">
        <v>484.37</v>
      </c>
      <c r="AQ212" s="228">
        <v>0</v>
      </c>
      <c r="AR212" s="230">
        <v>18812850</v>
      </c>
      <c r="AS212" s="230">
        <v>22859700</v>
      </c>
      <c r="AT212" s="230">
        <v>-4046850</v>
      </c>
      <c r="AU212" s="229">
        <v>-0.17699999999999999</v>
      </c>
      <c r="AV212" s="230">
        <v>16937200</v>
      </c>
      <c r="AW212" s="230">
        <v>21200250</v>
      </c>
      <c r="AX212" s="230">
        <v>-4263050</v>
      </c>
      <c r="AY212" s="229">
        <v>-0.2011</v>
      </c>
      <c r="AZ212" s="230">
        <v>1554800</v>
      </c>
      <c r="BA212" s="230">
        <v>1177600</v>
      </c>
      <c r="BB212" s="230">
        <v>377200</v>
      </c>
      <c r="BC212" s="229">
        <v>0.32029999999999997</v>
      </c>
      <c r="BD212" s="230">
        <v>320850</v>
      </c>
      <c r="BE212" s="230">
        <v>481850</v>
      </c>
      <c r="BF212" s="230">
        <v>-161000</v>
      </c>
      <c r="BG212" s="229">
        <v>-0.33410000000000001</v>
      </c>
      <c r="BH212" s="230">
        <v>58100300</v>
      </c>
      <c r="BI212" s="230">
        <v>81752350</v>
      </c>
      <c r="BJ212" s="230">
        <v>-23652050</v>
      </c>
      <c r="BK212" s="229">
        <v>-0.2893</v>
      </c>
      <c r="BL212" s="230">
        <v>26241850</v>
      </c>
      <c r="BM212" s="230">
        <v>40416750</v>
      </c>
      <c r="BN212" s="230">
        <v>-14174900</v>
      </c>
      <c r="BO212" s="229">
        <v>-0.35070000000000001</v>
      </c>
      <c r="BP212" s="230">
        <v>103155000</v>
      </c>
      <c r="BQ212" s="230">
        <v>145028800</v>
      </c>
      <c r="BR212" s="230">
        <v>-41873800</v>
      </c>
      <c r="BS212" s="229">
        <v>-0.28870000000000001</v>
      </c>
      <c r="BT212" s="230">
        <v>13768416</v>
      </c>
      <c r="BU212" s="230">
        <v>17475175</v>
      </c>
      <c r="BV212" s="230">
        <v>-3706759</v>
      </c>
      <c r="BW212" s="229">
        <v>-0.21210000000000001</v>
      </c>
      <c r="BX212" s="230">
        <v>101496700</v>
      </c>
      <c r="BY212" s="230">
        <v>101446100</v>
      </c>
      <c r="BZ212" s="230">
        <v>50600</v>
      </c>
      <c r="CA212" s="229">
        <v>5.0000000000000001E-4</v>
      </c>
      <c r="CB212" s="230">
        <v>98875850</v>
      </c>
      <c r="CC212" s="230">
        <v>99355400</v>
      </c>
      <c r="CD212" s="230">
        <v>-479550</v>
      </c>
      <c r="CE212" s="229">
        <v>-4.7999999999999996E-3</v>
      </c>
      <c r="CF212" s="230">
        <v>2213750</v>
      </c>
      <c r="CG212" s="230">
        <v>1764100</v>
      </c>
      <c r="CH212" s="230">
        <v>449650</v>
      </c>
      <c r="CI212" s="229">
        <v>0.25490000000000002</v>
      </c>
      <c r="CJ212" s="230">
        <v>407100</v>
      </c>
      <c r="CK212" s="230">
        <v>326600</v>
      </c>
      <c r="CL212" s="230">
        <v>80500</v>
      </c>
      <c r="CM212" s="229">
        <v>0.2465</v>
      </c>
      <c r="CN212" s="230">
        <v>26616750</v>
      </c>
      <c r="CO212" s="230">
        <v>25794500</v>
      </c>
      <c r="CP212" s="230">
        <v>822250</v>
      </c>
      <c r="CQ212" s="229">
        <v>3.1899999999999998E-2</v>
      </c>
      <c r="CR212" s="230">
        <v>23365700</v>
      </c>
      <c r="CS212" s="230">
        <v>23108100</v>
      </c>
      <c r="CT212" s="230">
        <v>257600</v>
      </c>
      <c r="CU212" s="229">
        <v>1.11E-2</v>
      </c>
      <c r="CV212" s="230">
        <v>151479150</v>
      </c>
      <c r="CW212" s="230">
        <v>150348700</v>
      </c>
      <c r="CX212" s="230">
        <v>1130450</v>
      </c>
      <c r="CY212" s="229">
        <v>7.4999999999999997E-3</v>
      </c>
      <c r="CZ212" s="228">
        <v>28.65</v>
      </c>
      <c r="DA212" s="228">
        <v>29.79</v>
      </c>
      <c r="DB212" s="228">
        <v>-1.1399999999999999</v>
      </c>
      <c r="DC212" s="228">
        <v>-1.1399999999999999</v>
      </c>
      <c r="DD212" s="228">
        <v>38.61</v>
      </c>
      <c r="DE212" s="228">
        <v>38.69</v>
      </c>
      <c r="DF212" s="228">
        <v>-9.9600000000000009</v>
      </c>
      <c r="DG212" s="228">
        <v>-0.08</v>
      </c>
      <c r="DH212" s="228">
        <v>28.51</v>
      </c>
      <c r="DI212" s="228">
        <v>29.33</v>
      </c>
      <c r="DJ212" s="228">
        <v>-0.82</v>
      </c>
      <c r="DK212" s="228">
        <v>-0.82</v>
      </c>
      <c r="DL212" s="228">
        <v>28.94</v>
      </c>
      <c r="DM212" s="228">
        <v>30.72</v>
      </c>
      <c r="DN212" s="228">
        <v>-1.78</v>
      </c>
      <c r="DO212" s="228">
        <v>-1.78</v>
      </c>
      <c r="DP212" s="228">
        <v>0.88</v>
      </c>
      <c r="DQ212" s="228">
        <v>0.9</v>
      </c>
      <c r="DR212" s="228">
        <v>-0.02</v>
      </c>
      <c r="DS212" s="229">
        <v>-2.2200000000000001E-2</v>
      </c>
      <c r="DT212" s="228">
        <v>500</v>
      </c>
      <c r="DU212" s="228">
        <v>480</v>
      </c>
      <c r="DV212" s="228">
        <v>0.45</v>
      </c>
      <c r="DW212" s="228">
        <v>0.49</v>
      </c>
      <c r="DX212" s="228">
        <v>-0.04</v>
      </c>
      <c r="DY212" s="229">
        <v>-8.1600000000000006E-2</v>
      </c>
      <c r="DZ212" s="229">
        <v>2.58E-2</v>
      </c>
      <c r="EA212" s="230">
        <v>2090700</v>
      </c>
      <c r="EB212" s="229">
        <v>5.5999999999999999E-3</v>
      </c>
      <c r="EC212" s="229">
        <v>2.58E-2</v>
      </c>
      <c r="ED212" s="228">
        <v>2.27</v>
      </c>
      <c r="EE212" s="229">
        <v>4.7000000000000002E-3</v>
      </c>
      <c r="EF212" s="230">
        <v>4851247</v>
      </c>
      <c r="EG212" s="230">
        <v>7029924</v>
      </c>
      <c r="EH212" s="229">
        <v>-0.30990000000000001</v>
      </c>
      <c r="EI212" s="229">
        <v>0.3523</v>
      </c>
      <c r="EJ212" s="231">
        <v>292236.90000000002</v>
      </c>
      <c r="EK212" s="231">
        <v>124999.88</v>
      </c>
      <c r="EL212" s="231">
        <v>90746.07</v>
      </c>
      <c r="EM212" s="231">
        <v>14538</v>
      </c>
      <c r="EN212" s="231">
        <v>507982.85</v>
      </c>
      <c r="EO212" s="231">
        <v>712236.8</v>
      </c>
      <c r="EP212" s="231">
        <v>-204253.95</v>
      </c>
      <c r="EQ212" s="229">
        <v>-0.2868</v>
      </c>
      <c r="ER212" s="231">
        <v>130125</v>
      </c>
      <c r="ES212" s="231">
        <v>105354</v>
      </c>
      <c r="ET212" s="231">
        <v>491068</v>
      </c>
      <c r="EU212" s="231">
        <v>255091106</v>
      </c>
      <c r="EV212" s="231">
        <v>726547</v>
      </c>
      <c r="EW212" s="231">
        <v>723974</v>
      </c>
      <c r="EX212" s="231">
        <v>2573</v>
      </c>
      <c r="EY212" s="229">
        <v>3.5999999999999999E-3</v>
      </c>
      <c r="EZ212" s="229">
        <v>0.59379999999999999</v>
      </c>
      <c r="FA212" s="227" t="s">
        <v>567</v>
      </c>
      <c r="FB212" s="161">
        <f t="shared" si="5"/>
        <v>0</v>
      </c>
    </row>
    <row r="213" spans="1:158" ht="17.25" thickBot="1" x14ac:dyDescent="0.3">
      <c r="A213" s="226">
        <v>45940</v>
      </c>
      <c r="B213" s="227" t="s">
        <v>184</v>
      </c>
      <c r="C213" s="227" t="s">
        <v>305</v>
      </c>
      <c r="D213" s="228">
        <v>375</v>
      </c>
      <c r="E213" s="231">
        <v>1420.6</v>
      </c>
      <c r="F213" s="231">
        <v>1380.4</v>
      </c>
      <c r="G213" s="228">
        <v>40.200000000000003</v>
      </c>
      <c r="H213" s="229">
        <v>2.9100000000000001E-2</v>
      </c>
      <c r="I213" s="231">
        <v>1417.3</v>
      </c>
      <c r="J213" s="231">
        <v>1382</v>
      </c>
      <c r="K213" s="228">
        <v>35.299999999999997</v>
      </c>
      <c r="L213" s="229">
        <v>2.5499999999999998E-2</v>
      </c>
      <c r="M213" s="231">
        <v>1420.6</v>
      </c>
      <c r="N213" s="231">
        <v>1380.4</v>
      </c>
      <c r="O213" s="228">
        <v>40.200000000000003</v>
      </c>
      <c r="P213" s="229">
        <v>2.9100000000000001E-2</v>
      </c>
      <c r="Q213" s="231">
        <v>1408.9</v>
      </c>
      <c r="R213" s="231">
        <v>1366.5</v>
      </c>
      <c r="S213" s="228">
        <v>42.4</v>
      </c>
      <c r="T213" s="229">
        <v>3.1E-2</v>
      </c>
      <c r="U213" s="231">
        <v>1397.4</v>
      </c>
      <c r="V213" s="231">
        <v>1358</v>
      </c>
      <c r="W213" s="228">
        <v>39.4</v>
      </c>
      <c r="X213" s="229">
        <v>2.9000000000000001E-2</v>
      </c>
      <c r="Y213" s="228">
        <v>3.3</v>
      </c>
      <c r="Z213" s="228">
        <v>-1.6</v>
      </c>
      <c r="AA213" s="228">
        <v>4.9000000000000004</v>
      </c>
      <c r="AB213" s="229">
        <v>2.3E-3</v>
      </c>
      <c r="AC213" s="228">
        <v>3.3</v>
      </c>
      <c r="AD213" s="228">
        <v>-1.6</v>
      </c>
      <c r="AE213" s="228">
        <v>4.9000000000000004</v>
      </c>
      <c r="AF213" s="229">
        <v>2.3E-3</v>
      </c>
      <c r="AG213" s="228">
        <v>-8.4</v>
      </c>
      <c r="AH213" s="228">
        <v>-15.5</v>
      </c>
      <c r="AI213" s="228">
        <v>7.1</v>
      </c>
      <c r="AJ213" s="229">
        <v>-5.8999999999999999E-3</v>
      </c>
      <c r="AK213" s="228">
        <v>-19.899999999999999</v>
      </c>
      <c r="AL213" s="228">
        <v>-24</v>
      </c>
      <c r="AM213" s="228">
        <v>4.0999999999999996</v>
      </c>
      <c r="AN213" s="229">
        <v>-1.4E-2</v>
      </c>
      <c r="AO213" s="231">
        <v>1419.88</v>
      </c>
      <c r="AP213" s="231">
        <v>1408.02</v>
      </c>
      <c r="AQ213" s="228">
        <v>0</v>
      </c>
      <c r="AR213" s="230">
        <v>4495125</v>
      </c>
      <c r="AS213" s="230">
        <v>2158875</v>
      </c>
      <c r="AT213" s="230">
        <v>2336250</v>
      </c>
      <c r="AU213" s="229">
        <v>1.0822000000000001</v>
      </c>
      <c r="AV213" s="230">
        <v>4067625</v>
      </c>
      <c r="AW213" s="230">
        <v>1919250</v>
      </c>
      <c r="AX213" s="230">
        <v>2148375</v>
      </c>
      <c r="AY213" s="229">
        <v>1.1194</v>
      </c>
      <c r="AZ213" s="230">
        <v>403125</v>
      </c>
      <c r="BA213" s="230">
        <v>235500</v>
      </c>
      <c r="BB213" s="230">
        <v>167625</v>
      </c>
      <c r="BC213" s="229">
        <v>0.71179999999999999</v>
      </c>
      <c r="BD213" s="230">
        <v>24375</v>
      </c>
      <c r="BE213" s="230">
        <v>4125</v>
      </c>
      <c r="BF213" s="230">
        <v>20250</v>
      </c>
      <c r="BG213" s="229">
        <v>4.9090999999999996</v>
      </c>
      <c r="BH213" s="230">
        <v>17106750</v>
      </c>
      <c r="BI213" s="230">
        <v>6431625</v>
      </c>
      <c r="BJ213" s="230">
        <v>10675125</v>
      </c>
      <c r="BK213" s="229">
        <v>1.6597999999999999</v>
      </c>
      <c r="BL213" s="230">
        <v>8107875</v>
      </c>
      <c r="BM213" s="230">
        <v>2574375</v>
      </c>
      <c r="BN213" s="230">
        <v>5533500</v>
      </c>
      <c r="BO213" s="229">
        <v>2.1495000000000002</v>
      </c>
      <c r="BP213" s="230">
        <v>29709750</v>
      </c>
      <c r="BQ213" s="230">
        <v>11164875</v>
      </c>
      <c r="BR213" s="230">
        <v>18544875</v>
      </c>
      <c r="BS213" s="229">
        <v>1.661</v>
      </c>
      <c r="BT213" s="230">
        <v>2672171</v>
      </c>
      <c r="BU213" s="230">
        <v>1085859</v>
      </c>
      <c r="BV213" s="230">
        <v>1586312</v>
      </c>
      <c r="BW213" s="229">
        <v>1.4609000000000001</v>
      </c>
      <c r="BX213" s="230">
        <v>12933750</v>
      </c>
      <c r="BY213" s="230">
        <v>12988500</v>
      </c>
      <c r="BZ213" s="230">
        <v>-54750</v>
      </c>
      <c r="CA213" s="229">
        <v>-4.1999999999999997E-3</v>
      </c>
      <c r="CB213" s="230">
        <v>12074250</v>
      </c>
      <c r="CC213" s="230">
        <v>12256875</v>
      </c>
      <c r="CD213" s="230">
        <v>-182625</v>
      </c>
      <c r="CE213" s="229">
        <v>-1.49E-2</v>
      </c>
      <c r="CF213" s="230">
        <v>830250</v>
      </c>
      <c r="CG213" s="230">
        <v>710250</v>
      </c>
      <c r="CH213" s="230">
        <v>120000</v>
      </c>
      <c r="CI213" s="229">
        <v>0.16900000000000001</v>
      </c>
      <c r="CJ213" s="230">
        <v>29250</v>
      </c>
      <c r="CK213" s="230">
        <v>21375</v>
      </c>
      <c r="CL213" s="230">
        <v>7875</v>
      </c>
      <c r="CM213" s="229">
        <v>0.36840000000000001</v>
      </c>
      <c r="CN213" s="230">
        <v>2605875</v>
      </c>
      <c r="CO213" s="230">
        <v>2286750</v>
      </c>
      <c r="CP213" s="230">
        <v>319125</v>
      </c>
      <c r="CQ213" s="229">
        <v>0.1396</v>
      </c>
      <c r="CR213" s="230">
        <v>2578875</v>
      </c>
      <c r="CS213" s="230">
        <v>2003625</v>
      </c>
      <c r="CT213" s="230">
        <v>575250</v>
      </c>
      <c r="CU213" s="229">
        <v>0.28710000000000002</v>
      </c>
      <c r="CV213" s="230">
        <v>18118500</v>
      </c>
      <c r="CW213" s="230">
        <v>17278875</v>
      </c>
      <c r="CX213" s="230">
        <v>839625</v>
      </c>
      <c r="CY213" s="229">
        <v>4.8599999999999997E-2</v>
      </c>
      <c r="CZ213" s="228">
        <v>28.45</v>
      </c>
      <c r="DA213" s="228">
        <v>28.35</v>
      </c>
      <c r="DB213" s="228">
        <v>0.1</v>
      </c>
      <c r="DC213" s="228">
        <v>0.1</v>
      </c>
      <c r="DD213" s="228">
        <v>38.130000000000003</v>
      </c>
      <c r="DE213" s="228">
        <v>38.03</v>
      </c>
      <c r="DF213" s="228">
        <v>-9.68</v>
      </c>
      <c r="DG213" s="228">
        <v>0.1</v>
      </c>
      <c r="DH213" s="228">
        <v>28.25</v>
      </c>
      <c r="DI213" s="228">
        <v>28.21</v>
      </c>
      <c r="DJ213" s="228">
        <v>0.04</v>
      </c>
      <c r="DK213" s="228">
        <v>0.04</v>
      </c>
      <c r="DL213" s="228">
        <v>28.88</v>
      </c>
      <c r="DM213" s="228">
        <v>28.71</v>
      </c>
      <c r="DN213" s="228">
        <v>0.17</v>
      </c>
      <c r="DO213" s="228">
        <v>0.17</v>
      </c>
      <c r="DP213" s="228">
        <v>0.99</v>
      </c>
      <c r="DQ213" s="228">
        <v>0.88</v>
      </c>
      <c r="DR213" s="228">
        <v>0.11</v>
      </c>
      <c r="DS213" s="229">
        <v>0.125</v>
      </c>
      <c r="DT213" s="231">
        <v>1400</v>
      </c>
      <c r="DU213" s="231">
        <v>1300</v>
      </c>
      <c r="DV213" s="228">
        <v>0.47</v>
      </c>
      <c r="DW213" s="228">
        <v>0.4</v>
      </c>
      <c r="DX213" s="228">
        <v>7.0000000000000007E-2</v>
      </c>
      <c r="DY213" s="229">
        <v>0.17499999999999999</v>
      </c>
      <c r="DZ213" s="229">
        <v>6.6500000000000004E-2</v>
      </c>
      <c r="EA213" s="230">
        <v>731625</v>
      </c>
      <c r="EB213" s="229">
        <v>-8.2000000000000007E-3</v>
      </c>
      <c r="EC213" s="229">
        <v>6.6500000000000004E-2</v>
      </c>
      <c r="ED213" s="228">
        <v>-11.86</v>
      </c>
      <c r="EE213" s="229">
        <v>-8.3999999999999995E-3</v>
      </c>
      <c r="EF213" s="230">
        <v>1111150</v>
      </c>
      <c r="EG213" s="230">
        <v>534190</v>
      </c>
      <c r="EH213" s="229">
        <v>1.0801000000000001</v>
      </c>
      <c r="EI213" s="229">
        <v>0.4158</v>
      </c>
      <c r="EJ213" s="231">
        <v>252201.56</v>
      </c>
      <c r="EK213" s="231">
        <v>114067.42</v>
      </c>
      <c r="EL213" s="231">
        <v>63771.87</v>
      </c>
      <c r="EM213" s="231">
        <v>4225</v>
      </c>
      <c r="EN213" s="231">
        <v>430040.85</v>
      </c>
      <c r="EO213" s="231">
        <v>157212.57</v>
      </c>
      <c r="EP213" s="231">
        <v>272828.28000000003</v>
      </c>
      <c r="EQ213" s="229">
        <v>1.7354000000000001</v>
      </c>
      <c r="ER213" s="231">
        <v>37547</v>
      </c>
      <c r="ES213" s="231">
        <v>34447</v>
      </c>
      <c r="ET213" s="231">
        <v>183633</v>
      </c>
      <c r="EU213" s="231">
        <v>34594689</v>
      </c>
      <c r="EV213" s="231">
        <v>255627</v>
      </c>
      <c r="EW213" s="231">
        <v>237992</v>
      </c>
      <c r="EX213" s="231">
        <v>17635</v>
      </c>
      <c r="EY213" s="229">
        <v>7.4099999999999999E-2</v>
      </c>
      <c r="EZ213" s="229">
        <v>0.52370000000000005</v>
      </c>
      <c r="FA213" s="227" t="s">
        <v>556</v>
      </c>
      <c r="FB213" s="161">
        <f t="shared" si="5"/>
        <v>0</v>
      </c>
    </row>
    <row r="214" spans="1:158" ht="17.25" thickBot="1" x14ac:dyDescent="0.3">
      <c r="A214" s="226">
        <v>45940</v>
      </c>
      <c r="B214" s="227" t="s">
        <v>221</v>
      </c>
      <c r="C214" s="227" t="s">
        <v>306</v>
      </c>
      <c r="D214" s="228">
        <v>3000</v>
      </c>
      <c r="E214" s="228">
        <v>249.13</v>
      </c>
      <c r="F214" s="228">
        <v>246.2</v>
      </c>
      <c r="G214" s="228">
        <v>2.93</v>
      </c>
      <c r="H214" s="229">
        <v>1.1900000000000001E-2</v>
      </c>
      <c r="I214" s="228">
        <v>248.7</v>
      </c>
      <c r="J214" s="228">
        <v>246.4</v>
      </c>
      <c r="K214" s="228">
        <v>2.2999999999999998</v>
      </c>
      <c r="L214" s="229">
        <v>9.2999999999999992E-3</v>
      </c>
      <c r="M214" s="228">
        <v>249.13</v>
      </c>
      <c r="N214" s="228">
        <v>246.2</v>
      </c>
      <c r="O214" s="228">
        <v>2.93</v>
      </c>
      <c r="P214" s="229">
        <v>1.1900000000000001E-2</v>
      </c>
      <c r="Q214" s="228">
        <v>248.13</v>
      </c>
      <c r="R214" s="228">
        <v>245.06</v>
      </c>
      <c r="S214" s="228">
        <v>3.07</v>
      </c>
      <c r="T214" s="229">
        <v>1.2500000000000001E-2</v>
      </c>
      <c r="U214" s="228">
        <v>247.62</v>
      </c>
      <c r="V214" s="228">
        <v>244.67</v>
      </c>
      <c r="W214" s="228">
        <v>2.95</v>
      </c>
      <c r="X214" s="229">
        <v>1.21E-2</v>
      </c>
      <c r="Y214" s="228">
        <v>0.43</v>
      </c>
      <c r="Z214" s="228">
        <v>-0.2</v>
      </c>
      <c r="AA214" s="228">
        <v>0.63</v>
      </c>
      <c r="AB214" s="229">
        <v>1.6999999999999999E-3</v>
      </c>
      <c r="AC214" s="228">
        <v>0.43</v>
      </c>
      <c r="AD214" s="228">
        <v>-0.2</v>
      </c>
      <c r="AE214" s="228">
        <v>0.63</v>
      </c>
      <c r="AF214" s="229">
        <v>1.6999999999999999E-3</v>
      </c>
      <c r="AG214" s="228">
        <v>-0.56999999999999995</v>
      </c>
      <c r="AH214" s="228">
        <v>-1.34</v>
      </c>
      <c r="AI214" s="228">
        <v>0.77</v>
      </c>
      <c r="AJ214" s="229">
        <v>-2.3E-3</v>
      </c>
      <c r="AK214" s="228">
        <v>-1.08</v>
      </c>
      <c r="AL214" s="228">
        <v>-1.73</v>
      </c>
      <c r="AM214" s="228">
        <v>0.65</v>
      </c>
      <c r="AN214" s="229">
        <v>-4.3E-3</v>
      </c>
      <c r="AO214" s="228">
        <v>248.95</v>
      </c>
      <c r="AP214" s="228">
        <v>248.24</v>
      </c>
      <c r="AQ214" s="228">
        <v>0</v>
      </c>
      <c r="AR214" s="230">
        <v>21876000</v>
      </c>
      <c r="AS214" s="230">
        <v>25668000</v>
      </c>
      <c r="AT214" s="230">
        <v>-3792000</v>
      </c>
      <c r="AU214" s="229">
        <v>-0.1477</v>
      </c>
      <c r="AV214" s="230">
        <v>17502000</v>
      </c>
      <c r="AW214" s="230">
        <v>21123000</v>
      </c>
      <c r="AX214" s="230">
        <v>-3621000</v>
      </c>
      <c r="AY214" s="229">
        <v>-0.1714</v>
      </c>
      <c r="AZ214" s="230">
        <v>3957000</v>
      </c>
      <c r="BA214" s="230">
        <v>4191000</v>
      </c>
      <c r="BB214" s="230">
        <v>-234000</v>
      </c>
      <c r="BC214" s="229">
        <v>-5.5800000000000002E-2</v>
      </c>
      <c r="BD214" s="230">
        <v>417000</v>
      </c>
      <c r="BE214" s="230">
        <v>354000</v>
      </c>
      <c r="BF214" s="230">
        <v>63000</v>
      </c>
      <c r="BG214" s="229">
        <v>0.17799999999999999</v>
      </c>
      <c r="BH214" s="230">
        <v>58176000</v>
      </c>
      <c r="BI214" s="230">
        <v>49869000</v>
      </c>
      <c r="BJ214" s="230">
        <v>8307000</v>
      </c>
      <c r="BK214" s="229">
        <v>0.1666</v>
      </c>
      <c r="BL214" s="230">
        <v>36210000</v>
      </c>
      <c r="BM214" s="230">
        <v>24942000</v>
      </c>
      <c r="BN214" s="230">
        <v>11268000</v>
      </c>
      <c r="BO214" s="229">
        <v>0.45179999999999998</v>
      </c>
      <c r="BP214" s="230">
        <v>116262000</v>
      </c>
      <c r="BQ214" s="230">
        <v>100479000</v>
      </c>
      <c r="BR214" s="230">
        <v>15783000</v>
      </c>
      <c r="BS214" s="229">
        <v>0.15709999999999999</v>
      </c>
      <c r="BT214" s="230">
        <v>7323369</v>
      </c>
      <c r="BU214" s="230">
        <v>4861965</v>
      </c>
      <c r="BV214" s="230">
        <v>2461404</v>
      </c>
      <c r="BW214" s="229">
        <v>0.50629999999999997</v>
      </c>
      <c r="BX214" s="230">
        <v>140913000</v>
      </c>
      <c r="BY214" s="230">
        <v>141807000</v>
      </c>
      <c r="BZ214" s="230">
        <v>-894000</v>
      </c>
      <c r="CA214" s="229">
        <v>-6.3E-3</v>
      </c>
      <c r="CB214" s="230">
        <v>129705000</v>
      </c>
      <c r="CC214" s="230">
        <v>132453000</v>
      </c>
      <c r="CD214" s="230">
        <v>-2748000</v>
      </c>
      <c r="CE214" s="229">
        <v>-2.07E-2</v>
      </c>
      <c r="CF214" s="230">
        <v>10536000</v>
      </c>
      <c r="CG214" s="230">
        <v>8898000</v>
      </c>
      <c r="CH214" s="230">
        <v>1638000</v>
      </c>
      <c r="CI214" s="229">
        <v>0.18410000000000001</v>
      </c>
      <c r="CJ214" s="230">
        <v>672000</v>
      </c>
      <c r="CK214" s="230">
        <v>456000</v>
      </c>
      <c r="CL214" s="230">
        <v>216000</v>
      </c>
      <c r="CM214" s="229">
        <v>0.47370000000000001</v>
      </c>
      <c r="CN214" s="230">
        <v>34617000</v>
      </c>
      <c r="CO214" s="230">
        <v>37530000</v>
      </c>
      <c r="CP214" s="230">
        <v>-2913000</v>
      </c>
      <c r="CQ214" s="229">
        <v>-7.7600000000000002E-2</v>
      </c>
      <c r="CR214" s="230">
        <v>32976000</v>
      </c>
      <c r="CS214" s="230">
        <v>32397000</v>
      </c>
      <c r="CT214" s="230">
        <v>579000</v>
      </c>
      <c r="CU214" s="229">
        <v>1.7899999999999999E-2</v>
      </c>
      <c r="CV214" s="230">
        <v>208506000</v>
      </c>
      <c r="CW214" s="230">
        <v>211734000</v>
      </c>
      <c r="CX214" s="230">
        <v>-3228000</v>
      </c>
      <c r="CY214" s="229">
        <v>-1.52E-2</v>
      </c>
      <c r="CZ214" s="228">
        <v>28.2</v>
      </c>
      <c r="DA214" s="228">
        <v>30.01</v>
      </c>
      <c r="DB214" s="228">
        <v>-1.81</v>
      </c>
      <c r="DC214" s="228">
        <v>-1.81</v>
      </c>
      <c r="DD214" s="228">
        <v>30.64</v>
      </c>
      <c r="DE214" s="228">
        <v>30.68</v>
      </c>
      <c r="DF214" s="228">
        <v>-2.44</v>
      </c>
      <c r="DG214" s="228">
        <v>-0.04</v>
      </c>
      <c r="DH214" s="228">
        <v>27.72</v>
      </c>
      <c r="DI214" s="228">
        <v>29.87</v>
      </c>
      <c r="DJ214" s="228">
        <v>-2.15</v>
      </c>
      <c r="DK214" s="228">
        <v>-2.15</v>
      </c>
      <c r="DL214" s="228">
        <v>28.98</v>
      </c>
      <c r="DM214" s="228">
        <v>30.29</v>
      </c>
      <c r="DN214" s="228">
        <v>-1.31</v>
      </c>
      <c r="DO214" s="228">
        <v>-1.31</v>
      </c>
      <c r="DP214" s="228">
        <v>0.95</v>
      </c>
      <c r="DQ214" s="228">
        <v>0.86</v>
      </c>
      <c r="DR214" s="228">
        <v>0.09</v>
      </c>
      <c r="DS214" s="229">
        <v>0.1047</v>
      </c>
      <c r="DT214" s="228">
        <v>250</v>
      </c>
      <c r="DU214" s="228">
        <v>240</v>
      </c>
      <c r="DV214" s="228">
        <v>0.62</v>
      </c>
      <c r="DW214" s="228">
        <v>0.5</v>
      </c>
      <c r="DX214" s="228">
        <v>0.12</v>
      </c>
      <c r="DY214" s="229">
        <v>0.24</v>
      </c>
      <c r="DZ214" s="229">
        <v>7.9500000000000001E-2</v>
      </c>
      <c r="EA214" s="230">
        <v>9354000</v>
      </c>
      <c r="EB214" s="229">
        <v>-4.0000000000000001E-3</v>
      </c>
      <c r="EC214" s="229">
        <v>7.9500000000000001E-2</v>
      </c>
      <c r="ED214" s="228">
        <v>-0.71</v>
      </c>
      <c r="EE214" s="229">
        <v>-2.8999999999999998E-3</v>
      </c>
      <c r="EF214" s="230">
        <v>2991680</v>
      </c>
      <c r="EG214" s="230">
        <v>2183184</v>
      </c>
      <c r="EH214" s="229">
        <v>0.37030000000000002</v>
      </c>
      <c r="EI214" s="229">
        <v>0.40849999999999997</v>
      </c>
      <c r="EJ214" s="231">
        <v>150831.4</v>
      </c>
      <c r="EK214" s="231">
        <v>88453.759999999995</v>
      </c>
      <c r="EL214" s="231">
        <v>54427.7</v>
      </c>
      <c r="EM214" s="231">
        <v>7114</v>
      </c>
      <c r="EN214" s="231">
        <v>293712.86</v>
      </c>
      <c r="EO214" s="231">
        <v>252219.97</v>
      </c>
      <c r="EP214" s="231">
        <v>41492.89</v>
      </c>
      <c r="EQ214" s="229">
        <v>0.16450000000000001</v>
      </c>
      <c r="ER214" s="231">
        <v>88911</v>
      </c>
      <c r="ES214" s="231">
        <v>77682</v>
      </c>
      <c r="ET214" s="231">
        <v>350941</v>
      </c>
      <c r="EU214" s="231">
        <v>292948819</v>
      </c>
      <c r="EV214" s="231">
        <v>517534</v>
      </c>
      <c r="EW214" s="231">
        <v>521339</v>
      </c>
      <c r="EX214" s="231">
        <v>-3805</v>
      </c>
      <c r="EY214" s="229">
        <v>-7.3000000000000001E-3</v>
      </c>
      <c r="EZ214" s="229">
        <v>0.7117</v>
      </c>
      <c r="FA214" s="227" t="s">
        <v>556</v>
      </c>
      <c r="FB214" s="161">
        <f t="shared" si="5"/>
        <v>0</v>
      </c>
    </row>
    <row r="215" spans="1:158" ht="17.25" thickBot="1" x14ac:dyDescent="0.3">
      <c r="A215" s="226">
        <v>45940</v>
      </c>
      <c r="B215" s="227" t="s">
        <v>172</v>
      </c>
      <c r="C215" s="227" t="s">
        <v>591</v>
      </c>
      <c r="D215" s="228">
        <v>31100</v>
      </c>
      <c r="E215" s="228">
        <v>24.13</v>
      </c>
      <c r="F215" s="228">
        <v>22.55</v>
      </c>
      <c r="G215" s="228">
        <v>1.58</v>
      </c>
      <c r="H215" s="229">
        <v>7.0099999999999996E-2</v>
      </c>
      <c r="I215" s="228">
        <v>24</v>
      </c>
      <c r="J215" s="228">
        <v>22.42</v>
      </c>
      <c r="K215" s="228">
        <v>1.58</v>
      </c>
      <c r="L215" s="229">
        <v>7.0499999999999993E-2</v>
      </c>
      <c r="M215" s="228">
        <v>24.13</v>
      </c>
      <c r="N215" s="228">
        <v>22.55</v>
      </c>
      <c r="O215" s="228">
        <v>1.58</v>
      </c>
      <c r="P215" s="229">
        <v>7.0099999999999996E-2</v>
      </c>
      <c r="Q215" s="228">
        <v>24.28</v>
      </c>
      <c r="R215" s="228">
        <v>22.66</v>
      </c>
      <c r="S215" s="228">
        <v>1.62</v>
      </c>
      <c r="T215" s="229">
        <v>7.1499999999999994E-2</v>
      </c>
      <c r="U215" s="228">
        <v>24.39</v>
      </c>
      <c r="V215" s="228">
        <v>22.79</v>
      </c>
      <c r="W215" s="228">
        <v>1.6</v>
      </c>
      <c r="X215" s="229">
        <v>7.0199999999999999E-2</v>
      </c>
      <c r="Y215" s="228">
        <v>0.13</v>
      </c>
      <c r="Z215" s="228">
        <v>0.13</v>
      </c>
      <c r="AA215" s="228">
        <v>0</v>
      </c>
      <c r="AB215" s="229">
        <v>5.4000000000000003E-3</v>
      </c>
      <c r="AC215" s="228">
        <v>0.13</v>
      </c>
      <c r="AD215" s="228">
        <v>0.13</v>
      </c>
      <c r="AE215" s="228">
        <v>0</v>
      </c>
      <c r="AF215" s="229">
        <v>5.4000000000000003E-3</v>
      </c>
      <c r="AG215" s="228">
        <v>0.28000000000000003</v>
      </c>
      <c r="AH215" s="228">
        <v>0.24</v>
      </c>
      <c r="AI215" s="228">
        <v>0.04</v>
      </c>
      <c r="AJ215" s="229">
        <v>1.17E-2</v>
      </c>
      <c r="AK215" s="228">
        <v>0.39</v>
      </c>
      <c r="AL215" s="228">
        <v>0.37</v>
      </c>
      <c r="AM215" s="228">
        <v>0.02</v>
      </c>
      <c r="AN215" s="229">
        <v>1.6299999999999999E-2</v>
      </c>
      <c r="AO215" s="228">
        <v>23.86</v>
      </c>
      <c r="AP215" s="228">
        <v>24.01</v>
      </c>
      <c r="AQ215" s="228">
        <v>0</v>
      </c>
      <c r="AR215" s="230">
        <v>471040600</v>
      </c>
      <c r="AS215" s="230">
        <v>103780700</v>
      </c>
      <c r="AT215" s="230">
        <v>367259900</v>
      </c>
      <c r="AU215" s="229">
        <v>3.5388000000000002</v>
      </c>
      <c r="AV215" s="230">
        <v>386293100</v>
      </c>
      <c r="AW215" s="230">
        <v>86675700</v>
      </c>
      <c r="AX215" s="230">
        <v>299617400</v>
      </c>
      <c r="AY215" s="229">
        <v>3.4567999999999999</v>
      </c>
      <c r="AZ215" s="230">
        <v>68762100</v>
      </c>
      <c r="BA215" s="230">
        <v>13870600</v>
      </c>
      <c r="BB215" s="230">
        <v>54891500</v>
      </c>
      <c r="BC215" s="229">
        <v>3.9573999999999998</v>
      </c>
      <c r="BD215" s="230">
        <v>15985400</v>
      </c>
      <c r="BE215" s="230">
        <v>3234400</v>
      </c>
      <c r="BF215" s="230">
        <v>12751000</v>
      </c>
      <c r="BG215" s="229">
        <v>3.9422999999999999</v>
      </c>
      <c r="BH215" s="230">
        <v>1848739500</v>
      </c>
      <c r="BI215" s="230">
        <v>228429500</v>
      </c>
      <c r="BJ215" s="230">
        <v>1620310000</v>
      </c>
      <c r="BK215" s="229">
        <v>7.0933000000000002</v>
      </c>
      <c r="BL215" s="230">
        <v>497475600</v>
      </c>
      <c r="BM215" s="230">
        <v>55669000</v>
      </c>
      <c r="BN215" s="230">
        <v>441806600</v>
      </c>
      <c r="BO215" s="229">
        <v>7.9363000000000001</v>
      </c>
      <c r="BP215" s="230">
        <v>2817255700</v>
      </c>
      <c r="BQ215" s="230">
        <v>387879200</v>
      </c>
      <c r="BR215" s="230">
        <v>2429376500</v>
      </c>
      <c r="BS215" s="229">
        <v>6.2632000000000003</v>
      </c>
      <c r="BT215" s="230">
        <v>616833560</v>
      </c>
      <c r="BU215" s="230">
        <v>118722242</v>
      </c>
      <c r="BV215" s="230">
        <v>498111318</v>
      </c>
      <c r="BW215" s="229">
        <v>4.1955999999999998</v>
      </c>
      <c r="BX215" s="230">
        <v>1002321900</v>
      </c>
      <c r="BY215" s="230">
        <v>920777700</v>
      </c>
      <c r="BZ215" s="230">
        <v>81544200</v>
      </c>
      <c r="CA215" s="229">
        <v>8.8599999999999998E-2</v>
      </c>
      <c r="CB215" s="230">
        <v>917232300</v>
      </c>
      <c r="CC215" s="230">
        <v>848376900</v>
      </c>
      <c r="CD215" s="230">
        <v>68855400</v>
      </c>
      <c r="CE215" s="229">
        <v>8.1199999999999994E-2</v>
      </c>
      <c r="CF215" s="230">
        <v>76070600</v>
      </c>
      <c r="CG215" s="230">
        <v>65154500</v>
      </c>
      <c r="CH215" s="230">
        <v>10916100</v>
      </c>
      <c r="CI215" s="229">
        <v>0.16750000000000001</v>
      </c>
      <c r="CJ215" s="230">
        <v>9019000</v>
      </c>
      <c r="CK215" s="230">
        <v>7246300</v>
      </c>
      <c r="CL215" s="230">
        <v>1772700</v>
      </c>
      <c r="CM215" s="229">
        <v>0.24460000000000001</v>
      </c>
      <c r="CN215" s="230">
        <v>265811700</v>
      </c>
      <c r="CO215" s="230">
        <v>254398000</v>
      </c>
      <c r="CP215" s="230">
        <v>11413700</v>
      </c>
      <c r="CQ215" s="229">
        <v>4.4900000000000002E-2</v>
      </c>
      <c r="CR215" s="230">
        <v>178700600</v>
      </c>
      <c r="CS215" s="230">
        <v>120357000</v>
      </c>
      <c r="CT215" s="230">
        <v>58343600</v>
      </c>
      <c r="CU215" s="229">
        <v>0.48480000000000001</v>
      </c>
      <c r="CV215" s="230">
        <v>1446834200</v>
      </c>
      <c r="CW215" s="230">
        <v>1295532700</v>
      </c>
      <c r="CX215" s="230">
        <v>151301500</v>
      </c>
      <c r="CY215" s="229">
        <v>0.1168</v>
      </c>
      <c r="CZ215" s="228">
        <v>37.08</v>
      </c>
      <c r="DA215" s="228">
        <v>32.659999999999997</v>
      </c>
      <c r="DB215" s="228">
        <v>4.42</v>
      </c>
      <c r="DC215" s="228">
        <v>4.42</v>
      </c>
      <c r="DD215" s="228">
        <v>42.08</v>
      </c>
      <c r="DE215" s="228">
        <v>41.18</v>
      </c>
      <c r="DF215" s="228">
        <v>-5</v>
      </c>
      <c r="DG215" s="228">
        <v>0.9</v>
      </c>
      <c r="DH215" s="228">
        <v>37.020000000000003</v>
      </c>
      <c r="DI215" s="228">
        <v>32.869999999999997</v>
      </c>
      <c r="DJ215" s="228">
        <v>4.1500000000000004</v>
      </c>
      <c r="DK215" s="228">
        <v>4.1500000000000004</v>
      </c>
      <c r="DL215" s="228">
        <v>37.33</v>
      </c>
      <c r="DM215" s="228">
        <v>31.83</v>
      </c>
      <c r="DN215" s="228">
        <v>5.5</v>
      </c>
      <c r="DO215" s="228">
        <v>5.5</v>
      </c>
      <c r="DP215" s="228">
        <v>0.67</v>
      </c>
      <c r="DQ215" s="228">
        <v>0.47</v>
      </c>
      <c r="DR215" s="228">
        <v>0.2</v>
      </c>
      <c r="DS215" s="229">
        <v>0.42549999999999999</v>
      </c>
      <c r="DT215" s="228">
        <v>24</v>
      </c>
      <c r="DU215" s="228">
        <v>21</v>
      </c>
      <c r="DV215" s="228">
        <v>0.27</v>
      </c>
      <c r="DW215" s="228">
        <v>0.24</v>
      </c>
      <c r="DX215" s="228">
        <v>0.03</v>
      </c>
      <c r="DY215" s="229">
        <v>0.125</v>
      </c>
      <c r="DZ215" s="229">
        <v>8.4900000000000003E-2</v>
      </c>
      <c r="EA215" s="230">
        <v>72400800</v>
      </c>
      <c r="EB215" s="229">
        <v>6.1999999999999998E-3</v>
      </c>
      <c r="EC215" s="229">
        <v>8.4900000000000003E-2</v>
      </c>
      <c r="ED215" s="228">
        <v>0.15</v>
      </c>
      <c r="EE215" s="229">
        <v>6.3E-3</v>
      </c>
      <c r="EF215" s="230">
        <v>229153223</v>
      </c>
      <c r="EG215" s="230">
        <v>62498198</v>
      </c>
      <c r="EH215" s="229">
        <v>2.6665999999999999</v>
      </c>
      <c r="EI215" s="229">
        <v>0.3715</v>
      </c>
      <c r="EJ215" s="231">
        <v>463705.79</v>
      </c>
      <c r="EK215" s="231">
        <v>116204.69</v>
      </c>
      <c r="EL215" s="231">
        <v>112511.27</v>
      </c>
      <c r="EM215" s="231">
        <v>4035</v>
      </c>
      <c r="EN215" s="231">
        <v>692421.75</v>
      </c>
      <c r="EO215" s="231">
        <v>89547.73</v>
      </c>
      <c r="EP215" s="231">
        <v>602874.02</v>
      </c>
      <c r="EQ215" s="229">
        <v>6.7324000000000002</v>
      </c>
      <c r="ER215" s="231">
        <v>63799</v>
      </c>
      <c r="ES215" s="231">
        <v>39025</v>
      </c>
      <c r="ET215" s="231">
        <v>241998</v>
      </c>
      <c r="EU215" s="231">
        <v>3136562346</v>
      </c>
      <c r="EV215" s="231">
        <v>344822</v>
      </c>
      <c r="EW215" s="231">
        <v>291633</v>
      </c>
      <c r="EX215" s="231">
        <v>53189</v>
      </c>
      <c r="EY215" s="229">
        <v>0.18240000000000001</v>
      </c>
      <c r="EZ215" s="229">
        <v>0.46129999999999999</v>
      </c>
      <c r="FA215" s="227" t="s">
        <v>555</v>
      </c>
      <c r="FB215" s="161">
        <f t="shared" si="5"/>
        <v>0</v>
      </c>
    </row>
    <row r="216" spans="1:158" ht="17.25" thickBot="1" x14ac:dyDescent="0.3">
      <c r="A216" s="226">
        <v>45940</v>
      </c>
      <c r="B216" s="227" t="s">
        <v>170</v>
      </c>
      <c r="C216" s="227" t="s">
        <v>557</v>
      </c>
      <c r="D216" s="228">
        <v>900</v>
      </c>
      <c r="E216" s="228">
        <v>999.2</v>
      </c>
      <c r="F216" s="231">
        <v>1000.1</v>
      </c>
      <c r="G216" s="228">
        <v>-0.9</v>
      </c>
      <c r="H216" s="229">
        <v>-8.9999999999999998E-4</v>
      </c>
      <c r="I216" s="228">
        <v>993.45</v>
      </c>
      <c r="J216" s="228">
        <v>994.45</v>
      </c>
      <c r="K216" s="228">
        <v>-1</v>
      </c>
      <c r="L216" s="229">
        <v>-1E-3</v>
      </c>
      <c r="M216" s="228">
        <v>999.2</v>
      </c>
      <c r="N216" s="231">
        <v>1000.1</v>
      </c>
      <c r="O216" s="228">
        <v>-0.9</v>
      </c>
      <c r="P216" s="229">
        <v>-8.9999999999999998E-4</v>
      </c>
      <c r="Q216" s="231">
        <v>1004.9</v>
      </c>
      <c r="R216" s="231">
        <v>1005.25</v>
      </c>
      <c r="S216" s="228">
        <v>-0.35</v>
      </c>
      <c r="T216" s="229">
        <v>-2.9999999999999997E-4</v>
      </c>
      <c r="U216" s="231">
        <v>1012</v>
      </c>
      <c r="V216" s="231">
        <v>1010.35</v>
      </c>
      <c r="W216" s="228">
        <v>1.65</v>
      </c>
      <c r="X216" s="229">
        <v>1.6000000000000001E-3</v>
      </c>
      <c r="Y216" s="228">
        <v>5.75</v>
      </c>
      <c r="Z216" s="228">
        <v>5.65</v>
      </c>
      <c r="AA216" s="228">
        <v>0.1</v>
      </c>
      <c r="AB216" s="229">
        <v>5.7999999999999996E-3</v>
      </c>
      <c r="AC216" s="228">
        <v>5.75</v>
      </c>
      <c r="AD216" s="228">
        <v>5.65</v>
      </c>
      <c r="AE216" s="228">
        <v>0.1</v>
      </c>
      <c r="AF216" s="229">
        <v>5.7999999999999996E-3</v>
      </c>
      <c r="AG216" s="228">
        <v>11.45</v>
      </c>
      <c r="AH216" s="228">
        <v>10.8</v>
      </c>
      <c r="AI216" s="228">
        <v>0.65</v>
      </c>
      <c r="AJ216" s="229">
        <v>1.15E-2</v>
      </c>
      <c r="AK216" s="228">
        <v>18.55</v>
      </c>
      <c r="AL216" s="228">
        <v>15.9</v>
      </c>
      <c r="AM216" s="228">
        <v>2.65</v>
      </c>
      <c r="AN216" s="229">
        <v>1.8700000000000001E-2</v>
      </c>
      <c r="AO216" s="231">
        <v>1001.03</v>
      </c>
      <c r="AP216" s="231">
        <v>1005.46</v>
      </c>
      <c r="AQ216" s="228">
        <v>0</v>
      </c>
      <c r="AR216" s="230">
        <v>3510000</v>
      </c>
      <c r="AS216" s="230">
        <v>2893500</v>
      </c>
      <c r="AT216" s="230">
        <v>616500</v>
      </c>
      <c r="AU216" s="229">
        <v>0.21310000000000001</v>
      </c>
      <c r="AV216" s="230">
        <v>2768400</v>
      </c>
      <c r="AW216" s="230">
        <v>2737800</v>
      </c>
      <c r="AX216" s="230">
        <v>30600</v>
      </c>
      <c r="AY216" s="229">
        <v>1.12E-2</v>
      </c>
      <c r="AZ216" s="230">
        <v>738000</v>
      </c>
      <c r="BA216" s="230">
        <v>142200</v>
      </c>
      <c r="BB216" s="230">
        <v>595800</v>
      </c>
      <c r="BC216" s="229">
        <v>4.1898999999999997</v>
      </c>
      <c r="BD216" s="230">
        <v>3600</v>
      </c>
      <c r="BE216" s="230">
        <v>13500</v>
      </c>
      <c r="BF216" s="230">
        <v>-9900</v>
      </c>
      <c r="BG216" s="229">
        <v>-0.73329999999999995</v>
      </c>
      <c r="BH216" s="230">
        <v>6177600</v>
      </c>
      <c r="BI216" s="230">
        <v>10067400</v>
      </c>
      <c r="BJ216" s="230">
        <v>-3889800</v>
      </c>
      <c r="BK216" s="229">
        <v>-0.38640000000000002</v>
      </c>
      <c r="BL216" s="230">
        <v>2481300</v>
      </c>
      <c r="BM216" s="230">
        <v>2212200</v>
      </c>
      <c r="BN216" s="230">
        <v>269100</v>
      </c>
      <c r="BO216" s="229">
        <v>0.1216</v>
      </c>
      <c r="BP216" s="230">
        <v>12168900</v>
      </c>
      <c r="BQ216" s="230">
        <v>15173100</v>
      </c>
      <c r="BR216" s="230">
        <v>-3004200</v>
      </c>
      <c r="BS216" s="229">
        <v>-0.19800000000000001</v>
      </c>
      <c r="BT216" s="230">
        <v>1611892</v>
      </c>
      <c r="BU216" s="230">
        <v>2648284</v>
      </c>
      <c r="BV216" s="230">
        <v>-1036392</v>
      </c>
      <c r="BW216" s="229">
        <v>-0.39129999999999998</v>
      </c>
      <c r="BX216" s="230">
        <v>8843400</v>
      </c>
      <c r="BY216" s="230">
        <v>8380800</v>
      </c>
      <c r="BZ216" s="230">
        <v>462600</v>
      </c>
      <c r="CA216" s="229">
        <v>5.5199999999999999E-2</v>
      </c>
      <c r="CB216" s="230">
        <v>8042400</v>
      </c>
      <c r="CC216" s="230">
        <v>8200800</v>
      </c>
      <c r="CD216" s="230">
        <v>-158400</v>
      </c>
      <c r="CE216" s="229">
        <v>-1.9300000000000001E-2</v>
      </c>
      <c r="CF216" s="230">
        <v>787500</v>
      </c>
      <c r="CG216" s="230">
        <v>169200</v>
      </c>
      <c r="CH216" s="230">
        <v>618300</v>
      </c>
      <c r="CI216" s="229">
        <v>3.6543000000000001</v>
      </c>
      <c r="CJ216" s="230">
        <v>13500</v>
      </c>
      <c r="CK216" s="230">
        <v>10800</v>
      </c>
      <c r="CL216" s="230">
        <v>2700</v>
      </c>
      <c r="CM216" s="229">
        <v>0.25</v>
      </c>
      <c r="CN216" s="230">
        <v>3254400</v>
      </c>
      <c r="CO216" s="230">
        <v>3230100</v>
      </c>
      <c r="CP216" s="230">
        <v>24300</v>
      </c>
      <c r="CQ216" s="229">
        <v>7.4999999999999997E-3</v>
      </c>
      <c r="CR216" s="230">
        <v>2007900</v>
      </c>
      <c r="CS216" s="230">
        <v>1943100</v>
      </c>
      <c r="CT216" s="230">
        <v>64800</v>
      </c>
      <c r="CU216" s="229">
        <v>3.3300000000000003E-2</v>
      </c>
      <c r="CV216" s="230">
        <v>14105700</v>
      </c>
      <c r="CW216" s="230">
        <v>13554000</v>
      </c>
      <c r="CX216" s="230">
        <v>551700</v>
      </c>
      <c r="CY216" s="229">
        <v>4.07E-2</v>
      </c>
      <c r="CZ216" s="228">
        <v>23.68</v>
      </c>
      <c r="DA216" s="228">
        <v>23.52</v>
      </c>
      <c r="DB216" s="228">
        <v>0.16</v>
      </c>
      <c r="DC216" s="228">
        <v>0.16</v>
      </c>
      <c r="DD216" s="228">
        <v>30.11</v>
      </c>
      <c r="DE216" s="228">
        <v>30.19</v>
      </c>
      <c r="DF216" s="228">
        <v>-6.43</v>
      </c>
      <c r="DG216" s="228">
        <v>-0.08</v>
      </c>
      <c r="DH216" s="228">
        <v>23.86</v>
      </c>
      <c r="DI216" s="228">
        <v>23.46</v>
      </c>
      <c r="DJ216" s="228">
        <v>0.4</v>
      </c>
      <c r="DK216" s="228">
        <v>0.4</v>
      </c>
      <c r="DL216" s="228">
        <v>23.21</v>
      </c>
      <c r="DM216" s="228">
        <v>23.79</v>
      </c>
      <c r="DN216" s="228">
        <v>-0.57999999999999996</v>
      </c>
      <c r="DO216" s="228">
        <v>-0.57999999999999996</v>
      </c>
      <c r="DP216" s="228">
        <v>0.62</v>
      </c>
      <c r="DQ216" s="228">
        <v>0.6</v>
      </c>
      <c r="DR216" s="228">
        <v>0.02</v>
      </c>
      <c r="DS216" s="229">
        <v>3.3300000000000003E-2</v>
      </c>
      <c r="DT216" s="231">
        <v>1100</v>
      </c>
      <c r="DU216" s="231">
        <v>1000</v>
      </c>
      <c r="DV216" s="228">
        <v>0.4</v>
      </c>
      <c r="DW216" s="228">
        <v>0.22</v>
      </c>
      <c r="DX216" s="228">
        <v>0.18</v>
      </c>
      <c r="DY216" s="229">
        <v>0.81820000000000004</v>
      </c>
      <c r="DZ216" s="229">
        <v>9.06E-2</v>
      </c>
      <c r="EA216" s="230">
        <v>180000</v>
      </c>
      <c r="EB216" s="229">
        <v>5.7000000000000002E-3</v>
      </c>
      <c r="EC216" s="229">
        <v>9.06E-2</v>
      </c>
      <c r="ED216" s="228">
        <v>4.43</v>
      </c>
      <c r="EE216" s="229">
        <v>4.4000000000000003E-3</v>
      </c>
      <c r="EF216" s="230">
        <v>847209</v>
      </c>
      <c r="EG216" s="230">
        <v>1490209</v>
      </c>
      <c r="EH216" s="229">
        <v>-0.43149999999999999</v>
      </c>
      <c r="EI216" s="229">
        <v>0.52559999999999996</v>
      </c>
      <c r="EJ216" s="231">
        <v>64399.05</v>
      </c>
      <c r="EK216" s="231">
        <v>24979.919999999998</v>
      </c>
      <c r="EL216" s="231">
        <v>35169.1</v>
      </c>
      <c r="EM216" s="231">
        <v>1673</v>
      </c>
      <c r="EN216" s="231">
        <v>124548.07</v>
      </c>
      <c r="EO216" s="231">
        <v>155830.22</v>
      </c>
      <c r="EP216" s="231">
        <v>-31282.15</v>
      </c>
      <c r="EQ216" s="229">
        <v>-0.20069999999999999</v>
      </c>
      <c r="ER216" s="231">
        <v>34286</v>
      </c>
      <c r="ES216" s="231">
        <v>19453</v>
      </c>
      <c r="ET216" s="231">
        <v>88410</v>
      </c>
      <c r="EU216" s="231">
        <v>32617803</v>
      </c>
      <c r="EV216" s="231">
        <v>142150</v>
      </c>
      <c r="EW216" s="231">
        <v>136678</v>
      </c>
      <c r="EX216" s="231">
        <v>5472</v>
      </c>
      <c r="EY216" s="229">
        <v>0.04</v>
      </c>
      <c r="EZ216" s="229">
        <v>0.4325</v>
      </c>
      <c r="FA216" s="227" t="s">
        <v>567</v>
      </c>
      <c r="FB216" s="161">
        <f t="shared" si="5"/>
        <v>0</v>
      </c>
    </row>
    <row r="217" spans="1:158" x14ac:dyDescent="0.25">
      <c r="FB217" s="161">
        <f t="shared" si="5"/>
        <v>0</v>
      </c>
    </row>
    <row r="218" spans="1:158" x14ac:dyDescent="0.25">
      <c r="FB218" s="161">
        <f t="shared" si="5"/>
        <v>0</v>
      </c>
    </row>
    <row r="219" spans="1:158" x14ac:dyDescent="0.25">
      <c r="FB219" s="161">
        <f t="shared" si="5"/>
        <v>0</v>
      </c>
    </row>
    <row r="220" spans="1:158" x14ac:dyDescent="0.25">
      <c r="FB220" s="161">
        <f t="shared" si="5"/>
        <v>0</v>
      </c>
    </row>
    <row r="221" spans="1:158" x14ac:dyDescent="0.25">
      <c r="FB221" s="161">
        <f t="shared" si="5"/>
        <v>0</v>
      </c>
    </row>
    <row r="222" spans="1:158" x14ac:dyDescent="0.25">
      <c r="FB222" s="161">
        <f t="shared" si="5"/>
        <v>0</v>
      </c>
    </row>
    <row r="223" spans="1:158" x14ac:dyDescent="0.25">
      <c r="FB223" s="161">
        <f t="shared" si="5"/>
        <v>0</v>
      </c>
    </row>
    <row r="224" spans="1:158" x14ac:dyDescent="0.25">
      <c r="FB224" s="161">
        <f t="shared" si="5"/>
        <v>0</v>
      </c>
    </row>
    <row r="225" spans="158:158" x14ac:dyDescent="0.25">
      <c r="FB225" s="161">
        <f t="shared" si="5"/>
        <v>0</v>
      </c>
    </row>
    <row r="226" spans="158:158" x14ac:dyDescent="0.25">
      <c r="FB226" s="161">
        <f t="shared" si="5"/>
        <v>0</v>
      </c>
    </row>
    <row r="227" spans="158:158" x14ac:dyDescent="0.25">
      <c r="FB227" s="161">
        <f t="shared" si="5"/>
        <v>0</v>
      </c>
    </row>
    <row r="228" spans="158:158" x14ac:dyDescent="0.25">
      <c r="FB228" s="161">
        <f t="shared" si="5"/>
        <v>0</v>
      </c>
    </row>
    <row r="229" spans="158:158" x14ac:dyDescent="0.25">
      <c r="FB229" s="161">
        <f t="shared" si="5"/>
        <v>0</v>
      </c>
    </row>
    <row r="230" spans="158:158" x14ac:dyDescent="0.25">
      <c r="FB230" s="161">
        <f t="shared" si="5"/>
        <v>0</v>
      </c>
    </row>
    <row r="231" spans="158:158" x14ac:dyDescent="0.25">
      <c r="FB231" s="161">
        <f t="shared" si="5"/>
        <v>0</v>
      </c>
    </row>
    <row r="232" spans="158:158" x14ac:dyDescent="0.25">
      <c r="FB232" s="161">
        <f t="shared" si="5"/>
        <v>0</v>
      </c>
    </row>
    <row r="233" spans="158:158" x14ac:dyDescent="0.25">
      <c r="FB233" s="161">
        <f t="shared" si="5"/>
        <v>0</v>
      </c>
    </row>
    <row r="234" spans="158:158" x14ac:dyDescent="0.25">
      <c r="FB234" s="161">
        <f t="shared" si="5"/>
        <v>0</v>
      </c>
    </row>
    <row r="235" spans="158:158" x14ac:dyDescent="0.25">
      <c r="FB235" s="161">
        <f t="shared" si="5"/>
        <v>0</v>
      </c>
    </row>
    <row r="236" spans="158:158" x14ac:dyDescent="0.25">
      <c r="FB236" s="161">
        <f t="shared" si="5"/>
        <v>0</v>
      </c>
    </row>
    <row r="237" spans="158:158" x14ac:dyDescent="0.25">
      <c r="FB237" s="161">
        <f t="shared" si="5"/>
        <v>0</v>
      </c>
    </row>
    <row r="238" spans="158:158" x14ac:dyDescent="0.25">
      <c r="FB238" s="161">
        <f t="shared" si="5"/>
        <v>0</v>
      </c>
    </row>
    <row r="239" spans="158:158" x14ac:dyDescent="0.25">
      <c r="FB239" s="161">
        <f t="shared" si="5"/>
        <v>0</v>
      </c>
    </row>
    <row r="240" spans="158: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BX326-CB326</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topLeftCell="EJ1" zoomScale="87" zoomScaleNormal="87" workbookViewId="0">
      <selection activeCell="EP5" sqref="EP5"/>
    </sheetView>
  </sheetViews>
  <sheetFormatPr defaultRowHeight="15" x14ac:dyDescent="0.25"/>
  <cols>
    <col min="1" max="1" width="12" bestFit="1" customWidth="1"/>
    <col min="2" max="2" width="16.42578125" bestFit="1" customWidth="1"/>
    <col min="3" max="3" width="16.710937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7" width="11.42578125" bestFit="1" customWidth="1"/>
    <col min="88" max="88" width="12.85546875" bestFit="1" customWidth="1"/>
    <col min="89" max="89" width="11.5703125" bestFit="1" customWidth="1"/>
    <col min="90" max="90" width="10.42578125" bestFit="1" customWidth="1"/>
    <col min="91" max="92" width="14.28515625" bestFit="1" customWidth="1"/>
    <col min="93" max="93" width="14" bestFit="1" customWidth="1"/>
    <col min="94" max="94" width="10.42578125" bestFit="1" customWidth="1"/>
    <col min="95" max="95" width="13.140625" bestFit="1" customWidth="1"/>
    <col min="96" max="96" width="13.28515625" bestFit="1" customWidth="1"/>
    <col min="97" max="97" width="12.28515625" bestFit="1" customWidth="1"/>
    <col min="98" max="98" width="10.28515625" bestFit="1" customWidth="1"/>
    <col min="99" max="99" width="14.28515625" bestFit="1" customWidth="1"/>
    <col min="100" max="100" width="14.7109375" bestFit="1" customWidth="1"/>
    <col min="101" max="101" width="14"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45940</v>
      </c>
      <c r="B2" s="227" t="s">
        <v>215</v>
      </c>
      <c r="C2" s="227" t="s">
        <v>159</v>
      </c>
      <c r="D2" s="231">
        <v>2564.6999999999998</v>
      </c>
      <c r="E2" s="231">
        <v>2557.9</v>
      </c>
      <c r="F2" s="228">
        <v>6.8</v>
      </c>
      <c r="G2" s="229">
        <v>2.7000000000000001E-3</v>
      </c>
      <c r="H2" s="231">
        <v>2550.9</v>
      </c>
      <c r="I2" s="231">
        <v>2542.4</v>
      </c>
      <c r="J2" s="228">
        <v>8.5</v>
      </c>
      <c r="K2" s="229">
        <v>3.3E-3</v>
      </c>
      <c r="L2" s="231">
        <v>2564.6999999999998</v>
      </c>
      <c r="M2" s="231">
        <v>2557.9</v>
      </c>
      <c r="N2" s="228">
        <v>6.8</v>
      </c>
      <c r="O2" s="229">
        <v>2.7000000000000001E-3</v>
      </c>
      <c r="P2" s="231">
        <v>2579.3000000000002</v>
      </c>
      <c r="Q2" s="231">
        <v>2572.1999999999998</v>
      </c>
      <c r="R2" s="228">
        <v>7.1</v>
      </c>
      <c r="S2" s="229">
        <v>2.8E-3</v>
      </c>
      <c r="T2" s="231">
        <v>2594.8000000000002</v>
      </c>
      <c r="U2" s="231">
        <v>2587.9</v>
      </c>
      <c r="V2" s="228">
        <v>6.9</v>
      </c>
      <c r="W2" s="229">
        <v>2.7000000000000001E-3</v>
      </c>
      <c r="X2" s="228">
        <v>13.8</v>
      </c>
      <c r="Y2" s="228">
        <v>15.5</v>
      </c>
      <c r="Z2" s="228">
        <v>-1.7</v>
      </c>
      <c r="AA2" s="229">
        <v>5.4000000000000003E-3</v>
      </c>
      <c r="AB2" s="228">
        <v>13.8</v>
      </c>
      <c r="AC2" s="228">
        <v>15.5</v>
      </c>
      <c r="AD2" s="228">
        <v>-1.7</v>
      </c>
      <c r="AE2" s="229">
        <v>5.4000000000000003E-3</v>
      </c>
      <c r="AF2" s="228">
        <v>28.4</v>
      </c>
      <c r="AG2" s="228">
        <v>29.8</v>
      </c>
      <c r="AH2" s="228">
        <v>-1.4</v>
      </c>
      <c r="AI2" s="229">
        <v>1.11E-2</v>
      </c>
      <c r="AJ2" s="228">
        <v>43.9</v>
      </c>
      <c r="AK2" s="228">
        <v>45.5</v>
      </c>
      <c r="AL2" s="228">
        <v>-1.6</v>
      </c>
      <c r="AM2" s="229">
        <v>1.72E-2</v>
      </c>
      <c r="AN2" s="231">
        <v>2566.5300000000002</v>
      </c>
      <c r="AO2" s="231">
        <v>2580.4299999999998</v>
      </c>
      <c r="AP2" s="228">
        <v>0</v>
      </c>
      <c r="AQ2" s="230">
        <v>4761</v>
      </c>
      <c r="AR2" s="230">
        <v>4210</v>
      </c>
      <c r="AS2" s="228">
        <v>551</v>
      </c>
      <c r="AT2" s="229">
        <v>0.13089999999999999</v>
      </c>
      <c r="AU2" s="230">
        <v>4430</v>
      </c>
      <c r="AV2" s="230">
        <v>4010</v>
      </c>
      <c r="AW2" s="228">
        <v>420</v>
      </c>
      <c r="AX2" s="229">
        <v>0.1047</v>
      </c>
      <c r="AY2" s="228">
        <v>278</v>
      </c>
      <c r="AZ2" s="228">
        <v>193</v>
      </c>
      <c r="BA2" s="228">
        <v>85</v>
      </c>
      <c r="BB2" s="229">
        <v>0.44040000000000001</v>
      </c>
      <c r="BC2" s="228">
        <v>53</v>
      </c>
      <c r="BD2" s="228">
        <v>7</v>
      </c>
      <c r="BE2" s="228">
        <v>46</v>
      </c>
      <c r="BF2" s="229">
        <v>6.5713999999999997</v>
      </c>
      <c r="BG2" s="230">
        <v>24542</v>
      </c>
      <c r="BH2" s="230">
        <v>27761</v>
      </c>
      <c r="BI2" s="230">
        <v>-3219</v>
      </c>
      <c r="BJ2" s="229">
        <v>-0.11600000000000001</v>
      </c>
      <c r="BK2" s="230">
        <v>8939</v>
      </c>
      <c r="BL2" s="230">
        <v>9337</v>
      </c>
      <c r="BM2" s="228">
        <v>-398</v>
      </c>
      <c r="BN2" s="229">
        <v>-4.2599999999999999E-2</v>
      </c>
      <c r="BO2" s="230">
        <v>38242</v>
      </c>
      <c r="BP2" s="230">
        <v>41308</v>
      </c>
      <c r="BQ2" s="230">
        <v>-3066</v>
      </c>
      <c r="BR2" s="229">
        <v>-7.4200000000000002E-2</v>
      </c>
      <c r="BS2" s="230">
        <v>711321</v>
      </c>
      <c r="BT2" s="230">
        <v>681679</v>
      </c>
      <c r="BU2" s="230">
        <v>29642</v>
      </c>
      <c r="BV2" s="229">
        <v>4.3499999999999997E-2</v>
      </c>
      <c r="BW2" s="230">
        <v>14297700</v>
      </c>
      <c r="BX2" s="230">
        <v>14323200</v>
      </c>
      <c r="BY2" s="230">
        <v>-25500</v>
      </c>
      <c r="BZ2" s="229">
        <v>-1.8E-3</v>
      </c>
      <c r="CA2" s="230">
        <v>13960500</v>
      </c>
      <c r="CB2" s="230">
        <v>14019600</v>
      </c>
      <c r="CC2" s="230">
        <v>-59100</v>
      </c>
      <c r="CD2" s="229">
        <v>-4.1999999999999997E-3</v>
      </c>
      <c r="CE2" s="230">
        <v>309900</v>
      </c>
      <c r="CF2" s="230">
        <v>286800</v>
      </c>
      <c r="CG2" s="230">
        <v>23100</v>
      </c>
      <c r="CH2" s="229">
        <v>8.0500000000000002E-2</v>
      </c>
      <c r="CI2" s="230">
        <v>27300</v>
      </c>
      <c r="CJ2" s="230">
        <v>16800</v>
      </c>
      <c r="CK2" s="230">
        <v>10500</v>
      </c>
      <c r="CL2" s="229">
        <v>0.625</v>
      </c>
      <c r="CM2" s="230">
        <v>8176500</v>
      </c>
      <c r="CN2" s="230">
        <v>8141100</v>
      </c>
      <c r="CO2" s="230">
        <v>35400</v>
      </c>
      <c r="CP2" s="229">
        <v>4.3E-3</v>
      </c>
      <c r="CQ2" s="230">
        <v>4701300</v>
      </c>
      <c r="CR2" s="230">
        <v>4600500</v>
      </c>
      <c r="CS2" s="230">
        <v>100800</v>
      </c>
      <c r="CT2" s="229">
        <v>2.1899999999999999E-2</v>
      </c>
      <c r="CU2" s="230">
        <v>27175500</v>
      </c>
      <c r="CV2" s="230">
        <v>27064800</v>
      </c>
      <c r="CW2" s="230">
        <v>110700</v>
      </c>
      <c r="CX2" s="229">
        <v>4.1000000000000003E-3</v>
      </c>
      <c r="CY2" s="228">
        <v>29.53</v>
      </c>
      <c r="CZ2" s="228">
        <v>30.51</v>
      </c>
      <c r="DA2" s="228">
        <v>-0.98</v>
      </c>
      <c r="DB2" s="228">
        <v>-0.98</v>
      </c>
      <c r="DC2" s="228">
        <v>49.74</v>
      </c>
      <c r="DD2" s="228">
        <v>49.86</v>
      </c>
      <c r="DE2" s="228">
        <v>-20.21</v>
      </c>
      <c r="DF2" s="228">
        <v>-0.12</v>
      </c>
      <c r="DG2" s="228">
        <v>29.7</v>
      </c>
      <c r="DH2" s="228">
        <v>30.7</v>
      </c>
      <c r="DI2" s="228">
        <v>-1</v>
      </c>
      <c r="DJ2" s="228">
        <v>-1</v>
      </c>
      <c r="DK2" s="228">
        <v>29.05</v>
      </c>
      <c r="DL2" s="228">
        <v>29.95</v>
      </c>
      <c r="DM2" s="228">
        <v>-0.9</v>
      </c>
      <c r="DN2" s="228">
        <v>-0.9</v>
      </c>
      <c r="DO2" s="228">
        <v>0.56999999999999995</v>
      </c>
      <c r="DP2" s="228">
        <v>0.56999999999999995</v>
      </c>
      <c r="DQ2" s="228">
        <v>0</v>
      </c>
      <c r="DR2" s="229">
        <v>0</v>
      </c>
      <c r="DS2" s="231">
        <v>2600</v>
      </c>
      <c r="DT2" s="231">
        <v>2500</v>
      </c>
      <c r="DU2" s="228">
        <v>0.36</v>
      </c>
      <c r="DV2" s="228">
        <v>0.34</v>
      </c>
      <c r="DW2" s="228">
        <v>0.02</v>
      </c>
      <c r="DX2" s="229">
        <v>5.8799999999999998E-2</v>
      </c>
      <c r="DY2" s="229">
        <v>2.3599999999999999E-2</v>
      </c>
      <c r="DZ2" s="230">
        <v>303600</v>
      </c>
      <c r="EA2" s="229">
        <v>5.7000000000000002E-3</v>
      </c>
      <c r="EB2" s="229">
        <v>2.3599999999999999E-2</v>
      </c>
      <c r="EC2" s="228">
        <v>13.9</v>
      </c>
      <c r="ED2" s="229">
        <v>5.4000000000000003E-3</v>
      </c>
      <c r="EE2" s="230">
        <v>248411</v>
      </c>
      <c r="EF2" s="230">
        <v>190865</v>
      </c>
      <c r="EG2" s="229">
        <v>0.30149999999999999</v>
      </c>
      <c r="EH2" s="229">
        <v>0.34920000000000001</v>
      </c>
      <c r="EI2" s="231">
        <v>197161.89</v>
      </c>
      <c r="EJ2" s="231">
        <v>68365.279999999999</v>
      </c>
      <c r="EK2" s="231">
        <v>36674.21</v>
      </c>
      <c r="EL2" s="231">
        <v>6800</v>
      </c>
      <c r="EM2" s="231">
        <v>302201.38</v>
      </c>
      <c r="EN2" s="231">
        <v>326281.59999999998</v>
      </c>
      <c r="EO2" s="231">
        <v>-24080.22</v>
      </c>
      <c r="EP2" s="229">
        <v>-7.3800000000000004E-2</v>
      </c>
      <c r="EQ2" s="231">
        <v>219390</v>
      </c>
      <c r="ER2" s="231">
        <v>117405</v>
      </c>
      <c r="ES2" s="231">
        <v>366747</v>
      </c>
      <c r="ET2" s="231">
        <v>30040977</v>
      </c>
      <c r="EU2" s="231">
        <v>703541</v>
      </c>
      <c r="EV2" s="231">
        <v>699823</v>
      </c>
      <c r="EW2" s="231">
        <v>3718</v>
      </c>
      <c r="EX2" s="229">
        <v>5.3E-3</v>
      </c>
      <c r="EY2" s="229">
        <v>0.90459999999999996</v>
      </c>
    </row>
    <row r="3" spans="1:155" ht="17.25" thickBot="1" x14ac:dyDescent="0.3">
      <c r="A3" s="226">
        <v>45940</v>
      </c>
      <c r="B3" s="227" t="s">
        <v>215</v>
      </c>
      <c r="C3" s="227" t="s">
        <v>160</v>
      </c>
      <c r="D3" s="231">
        <v>1417.3</v>
      </c>
      <c r="E3" s="231">
        <v>1403.9</v>
      </c>
      <c r="F3" s="228">
        <v>13.4</v>
      </c>
      <c r="G3" s="229">
        <v>9.4999999999999998E-3</v>
      </c>
      <c r="H3" s="231">
        <v>1409.4</v>
      </c>
      <c r="I3" s="231">
        <v>1395.6</v>
      </c>
      <c r="J3" s="228">
        <v>13.8</v>
      </c>
      <c r="K3" s="229">
        <v>9.9000000000000008E-3</v>
      </c>
      <c r="L3" s="231">
        <v>1417.3</v>
      </c>
      <c r="M3" s="231">
        <v>1403.9</v>
      </c>
      <c r="N3" s="228">
        <v>13.4</v>
      </c>
      <c r="O3" s="229">
        <v>9.4999999999999998E-3</v>
      </c>
      <c r="P3" s="231">
        <v>1425.1</v>
      </c>
      <c r="Q3" s="231">
        <v>1411.6</v>
      </c>
      <c r="R3" s="228">
        <v>13.5</v>
      </c>
      <c r="S3" s="229">
        <v>9.5999999999999992E-3</v>
      </c>
      <c r="T3" s="231">
        <v>1432.9</v>
      </c>
      <c r="U3" s="231">
        <v>1420.4</v>
      </c>
      <c r="V3" s="228">
        <v>12.5</v>
      </c>
      <c r="W3" s="229">
        <v>8.8000000000000005E-3</v>
      </c>
      <c r="X3" s="228">
        <v>7.9</v>
      </c>
      <c r="Y3" s="228">
        <v>8.3000000000000007</v>
      </c>
      <c r="Z3" s="228">
        <v>-0.4</v>
      </c>
      <c r="AA3" s="229">
        <v>5.5999999999999999E-3</v>
      </c>
      <c r="AB3" s="228">
        <v>7.9</v>
      </c>
      <c r="AC3" s="228">
        <v>8.3000000000000007</v>
      </c>
      <c r="AD3" s="228">
        <v>-0.4</v>
      </c>
      <c r="AE3" s="229">
        <v>5.5999999999999999E-3</v>
      </c>
      <c r="AF3" s="228">
        <v>15.7</v>
      </c>
      <c r="AG3" s="228">
        <v>16</v>
      </c>
      <c r="AH3" s="228">
        <v>-0.3</v>
      </c>
      <c r="AI3" s="229">
        <v>1.11E-2</v>
      </c>
      <c r="AJ3" s="228">
        <v>23.5</v>
      </c>
      <c r="AK3" s="228">
        <v>24.8</v>
      </c>
      <c r="AL3" s="228">
        <v>-1.3</v>
      </c>
      <c r="AM3" s="229">
        <v>1.67E-2</v>
      </c>
      <c r="AN3" s="231">
        <v>1418.43</v>
      </c>
      <c r="AO3" s="231">
        <v>1425.35</v>
      </c>
      <c r="AP3" s="228">
        <v>0</v>
      </c>
      <c r="AQ3" s="230">
        <v>5603</v>
      </c>
      <c r="AR3" s="230">
        <v>3225</v>
      </c>
      <c r="AS3" s="230">
        <v>2378</v>
      </c>
      <c r="AT3" s="229">
        <v>0.73740000000000006</v>
      </c>
      <c r="AU3" s="230">
        <v>4998</v>
      </c>
      <c r="AV3" s="230">
        <v>2959</v>
      </c>
      <c r="AW3" s="230">
        <v>2039</v>
      </c>
      <c r="AX3" s="229">
        <v>0.68910000000000005</v>
      </c>
      <c r="AY3" s="228">
        <v>512</v>
      </c>
      <c r="AZ3" s="228">
        <v>242</v>
      </c>
      <c r="BA3" s="228">
        <v>270</v>
      </c>
      <c r="BB3" s="229">
        <v>1.1156999999999999</v>
      </c>
      <c r="BC3" s="228">
        <v>93</v>
      </c>
      <c r="BD3" s="228">
        <v>24</v>
      </c>
      <c r="BE3" s="228">
        <v>69</v>
      </c>
      <c r="BF3" s="229">
        <v>2.875</v>
      </c>
      <c r="BG3" s="230">
        <v>27318</v>
      </c>
      <c r="BH3" s="230">
        <v>12150</v>
      </c>
      <c r="BI3" s="230">
        <v>15168</v>
      </c>
      <c r="BJ3" s="229">
        <v>1.2484</v>
      </c>
      <c r="BK3" s="230">
        <v>8988</v>
      </c>
      <c r="BL3" s="230">
        <v>5089</v>
      </c>
      <c r="BM3" s="230">
        <v>3899</v>
      </c>
      <c r="BN3" s="229">
        <v>0.76619999999999999</v>
      </c>
      <c r="BO3" s="230">
        <v>41909</v>
      </c>
      <c r="BP3" s="230">
        <v>20464</v>
      </c>
      <c r="BQ3" s="230">
        <v>21445</v>
      </c>
      <c r="BR3" s="229">
        <v>1.0479000000000001</v>
      </c>
      <c r="BS3" s="230">
        <v>1469048</v>
      </c>
      <c r="BT3" s="230">
        <v>1289851</v>
      </c>
      <c r="BU3" s="230">
        <v>179197</v>
      </c>
      <c r="BV3" s="229">
        <v>0.1389</v>
      </c>
      <c r="BW3" s="230">
        <v>22842750</v>
      </c>
      <c r="BX3" s="230">
        <v>22729225</v>
      </c>
      <c r="BY3" s="230">
        <v>113525</v>
      </c>
      <c r="BZ3" s="229">
        <v>5.0000000000000001E-3</v>
      </c>
      <c r="CA3" s="230">
        <v>22049025</v>
      </c>
      <c r="CB3" s="230">
        <v>22018150</v>
      </c>
      <c r="CC3" s="230">
        <v>30875</v>
      </c>
      <c r="CD3" s="229">
        <v>1.4E-3</v>
      </c>
      <c r="CE3" s="230">
        <v>729600</v>
      </c>
      <c r="CF3" s="230">
        <v>661675</v>
      </c>
      <c r="CG3" s="230">
        <v>67925</v>
      </c>
      <c r="CH3" s="229">
        <v>0.1027</v>
      </c>
      <c r="CI3" s="230">
        <v>64125</v>
      </c>
      <c r="CJ3" s="230">
        <v>49400</v>
      </c>
      <c r="CK3" s="230">
        <v>14725</v>
      </c>
      <c r="CL3" s="229">
        <v>0.29809999999999998</v>
      </c>
      <c r="CM3" s="230">
        <v>7550600</v>
      </c>
      <c r="CN3" s="230">
        <v>7606650</v>
      </c>
      <c r="CO3" s="230">
        <v>-56050</v>
      </c>
      <c r="CP3" s="229">
        <v>-7.4000000000000003E-3</v>
      </c>
      <c r="CQ3" s="230">
        <v>4484000</v>
      </c>
      <c r="CR3" s="230">
        <v>4490175</v>
      </c>
      <c r="CS3" s="230">
        <v>-6175</v>
      </c>
      <c r="CT3" s="229">
        <v>-1.4E-3</v>
      </c>
      <c r="CU3" s="230">
        <v>34877350</v>
      </c>
      <c r="CV3" s="230">
        <v>34826050</v>
      </c>
      <c r="CW3" s="230">
        <v>51300</v>
      </c>
      <c r="CX3" s="229">
        <v>1.5E-3</v>
      </c>
      <c r="CY3" s="228">
        <v>22.83</v>
      </c>
      <c r="CZ3" s="228">
        <v>23.54</v>
      </c>
      <c r="DA3" s="228">
        <v>-0.71</v>
      </c>
      <c r="DB3" s="228">
        <v>-0.71</v>
      </c>
      <c r="DC3" s="228">
        <v>39.21</v>
      </c>
      <c r="DD3" s="228">
        <v>39.28</v>
      </c>
      <c r="DE3" s="228">
        <v>-16.38</v>
      </c>
      <c r="DF3" s="228">
        <v>-7.0000000000000007E-2</v>
      </c>
      <c r="DG3" s="228">
        <v>22.86</v>
      </c>
      <c r="DH3" s="228">
        <v>23.67</v>
      </c>
      <c r="DI3" s="228">
        <v>-0.81</v>
      </c>
      <c r="DJ3" s="228">
        <v>-0.81</v>
      </c>
      <c r="DK3" s="228">
        <v>22.72</v>
      </c>
      <c r="DL3" s="228">
        <v>23.21</v>
      </c>
      <c r="DM3" s="228">
        <v>-0.49</v>
      </c>
      <c r="DN3" s="228">
        <v>-0.49</v>
      </c>
      <c r="DO3" s="228">
        <v>0.59</v>
      </c>
      <c r="DP3" s="228">
        <v>0.59</v>
      </c>
      <c r="DQ3" s="228">
        <v>0</v>
      </c>
      <c r="DR3" s="229">
        <v>0</v>
      </c>
      <c r="DS3" s="231">
        <v>1500</v>
      </c>
      <c r="DT3" s="231">
        <v>1400</v>
      </c>
      <c r="DU3" s="228">
        <v>0.33</v>
      </c>
      <c r="DV3" s="228">
        <v>0.42</v>
      </c>
      <c r="DW3" s="228">
        <v>-0.09</v>
      </c>
      <c r="DX3" s="229">
        <v>-0.21429999999999999</v>
      </c>
      <c r="DY3" s="229">
        <v>3.4700000000000002E-2</v>
      </c>
      <c r="DZ3" s="230">
        <v>711075</v>
      </c>
      <c r="EA3" s="229">
        <v>5.4999999999999997E-3</v>
      </c>
      <c r="EB3" s="229">
        <v>3.4700000000000002E-2</v>
      </c>
      <c r="EC3" s="228">
        <v>6.92</v>
      </c>
      <c r="ED3" s="229">
        <v>4.8999999999999998E-3</v>
      </c>
      <c r="EE3" s="230">
        <v>550381</v>
      </c>
      <c r="EF3" s="230">
        <v>539991</v>
      </c>
      <c r="EG3" s="229">
        <v>1.9199999999999998E-2</v>
      </c>
      <c r="EH3" s="229">
        <v>0.37469999999999998</v>
      </c>
      <c r="EI3" s="231">
        <v>190408.02</v>
      </c>
      <c r="EJ3" s="231">
        <v>59943.49</v>
      </c>
      <c r="EK3" s="231">
        <v>37774.269999999997</v>
      </c>
      <c r="EL3" s="231">
        <v>4581</v>
      </c>
      <c r="EM3" s="231">
        <v>288125.78000000003</v>
      </c>
      <c r="EN3" s="231">
        <v>139166.71</v>
      </c>
      <c r="EO3" s="231">
        <v>148959.07</v>
      </c>
      <c r="EP3" s="229">
        <v>1.0704</v>
      </c>
      <c r="EQ3" s="231">
        <v>110818</v>
      </c>
      <c r="ER3" s="231">
        <v>62057</v>
      </c>
      <c r="ES3" s="231">
        <v>323817</v>
      </c>
      <c r="ET3" s="231">
        <v>73799006</v>
      </c>
      <c r="EU3" s="231">
        <v>496692</v>
      </c>
      <c r="EV3" s="231">
        <v>492824</v>
      </c>
      <c r="EW3" s="231">
        <v>3868</v>
      </c>
      <c r="EX3" s="229">
        <v>7.7999999999999996E-3</v>
      </c>
      <c r="EY3" s="229">
        <v>0.47260000000000002</v>
      </c>
    </row>
    <row r="4" spans="1:155" ht="17.25" thickBot="1" x14ac:dyDescent="0.3">
      <c r="A4" s="226">
        <v>45940</v>
      </c>
      <c r="B4" s="227" t="s">
        <v>170</v>
      </c>
      <c r="C4" s="227" t="s">
        <v>165</v>
      </c>
      <c r="D4" s="231">
        <v>7721</v>
      </c>
      <c r="E4" s="231">
        <v>7734</v>
      </c>
      <c r="F4" s="228">
        <v>-13</v>
      </c>
      <c r="G4" s="229">
        <v>-1.6999999999999999E-3</v>
      </c>
      <c r="H4" s="231">
        <v>7681</v>
      </c>
      <c r="I4" s="231">
        <v>7695</v>
      </c>
      <c r="J4" s="228">
        <v>-14</v>
      </c>
      <c r="K4" s="229">
        <v>-1.8E-3</v>
      </c>
      <c r="L4" s="231">
        <v>7721</v>
      </c>
      <c r="M4" s="231">
        <v>7734</v>
      </c>
      <c r="N4" s="228">
        <v>-13</v>
      </c>
      <c r="O4" s="229">
        <v>-1.6999999999999999E-3</v>
      </c>
      <c r="P4" s="231">
        <v>7762</v>
      </c>
      <c r="Q4" s="231">
        <v>7778.5</v>
      </c>
      <c r="R4" s="228">
        <v>-16.5</v>
      </c>
      <c r="S4" s="229">
        <v>-2.0999999999999999E-3</v>
      </c>
      <c r="T4" s="231">
        <v>7811</v>
      </c>
      <c r="U4" s="231">
        <v>7808</v>
      </c>
      <c r="V4" s="228">
        <v>3</v>
      </c>
      <c r="W4" s="229">
        <v>4.0000000000000002E-4</v>
      </c>
      <c r="X4" s="228">
        <v>40</v>
      </c>
      <c r="Y4" s="228">
        <v>39</v>
      </c>
      <c r="Z4" s="228">
        <v>1</v>
      </c>
      <c r="AA4" s="229">
        <v>5.1999999999999998E-3</v>
      </c>
      <c r="AB4" s="228">
        <v>40</v>
      </c>
      <c r="AC4" s="228">
        <v>39</v>
      </c>
      <c r="AD4" s="228">
        <v>1</v>
      </c>
      <c r="AE4" s="229">
        <v>5.1999999999999998E-3</v>
      </c>
      <c r="AF4" s="228">
        <v>81</v>
      </c>
      <c r="AG4" s="228">
        <v>83.5</v>
      </c>
      <c r="AH4" s="228">
        <v>-2.5</v>
      </c>
      <c r="AI4" s="229">
        <v>1.0500000000000001E-2</v>
      </c>
      <c r="AJ4" s="228">
        <v>130</v>
      </c>
      <c r="AK4" s="228">
        <v>113</v>
      </c>
      <c r="AL4" s="228">
        <v>17</v>
      </c>
      <c r="AM4" s="229">
        <v>1.6899999999999998E-2</v>
      </c>
      <c r="AN4" s="231">
        <v>7731.21</v>
      </c>
      <c r="AO4" s="231">
        <v>7775.26</v>
      </c>
      <c r="AP4" s="228">
        <v>0</v>
      </c>
      <c r="AQ4" s="230">
        <v>1774</v>
      </c>
      <c r="AR4" s="230">
        <v>1838</v>
      </c>
      <c r="AS4" s="228">
        <v>-64</v>
      </c>
      <c r="AT4" s="229">
        <v>-3.4799999999999998E-2</v>
      </c>
      <c r="AU4" s="230">
        <v>1650</v>
      </c>
      <c r="AV4" s="230">
        <v>1725</v>
      </c>
      <c r="AW4" s="228">
        <v>-75</v>
      </c>
      <c r="AX4" s="229">
        <v>-4.3499999999999997E-2</v>
      </c>
      <c r="AY4" s="228">
        <v>97</v>
      </c>
      <c r="AZ4" s="228">
        <v>103</v>
      </c>
      <c r="BA4" s="228">
        <v>-6</v>
      </c>
      <c r="BB4" s="229">
        <v>-5.8299999999999998E-2</v>
      </c>
      <c r="BC4" s="228">
        <v>27</v>
      </c>
      <c r="BD4" s="228">
        <v>10</v>
      </c>
      <c r="BE4" s="228">
        <v>17</v>
      </c>
      <c r="BF4" s="229">
        <v>1.7</v>
      </c>
      <c r="BG4" s="230">
        <v>7887</v>
      </c>
      <c r="BH4" s="230">
        <v>10441</v>
      </c>
      <c r="BI4" s="230">
        <v>-2554</v>
      </c>
      <c r="BJ4" s="229">
        <v>-0.24460000000000001</v>
      </c>
      <c r="BK4" s="230">
        <v>3867</v>
      </c>
      <c r="BL4" s="230">
        <v>5893</v>
      </c>
      <c r="BM4" s="230">
        <v>-2026</v>
      </c>
      <c r="BN4" s="229">
        <v>-0.34379999999999999</v>
      </c>
      <c r="BO4" s="230">
        <v>13528</v>
      </c>
      <c r="BP4" s="230">
        <v>18172</v>
      </c>
      <c r="BQ4" s="230">
        <v>-4644</v>
      </c>
      <c r="BR4" s="229">
        <v>-0.25559999999999999</v>
      </c>
      <c r="BS4" s="230">
        <v>275093</v>
      </c>
      <c r="BT4" s="230">
        <v>315750</v>
      </c>
      <c r="BU4" s="230">
        <v>-40657</v>
      </c>
      <c r="BV4" s="229">
        <v>-0.1288</v>
      </c>
      <c r="BW4" s="230">
        <v>2858875</v>
      </c>
      <c r="BX4" s="230">
        <v>2808500</v>
      </c>
      <c r="BY4" s="230">
        <v>50375</v>
      </c>
      <c r="BZ4" s="229">
        <v>1.7899999999999999E-2</v>
      </c>
      <c r="CA4" s="230">
        <v>2817375</v>
      </c>
      <c r="CB4" s="230">
        <v>2774500</v>
      </c>
      <c r="CC4" s="230">
        <v>42875</v>
      </c>
      <c r="CD4" s="229">
        <v>1.55E-2</v>
      </c>
      <c r="CE4" s="230">
        <v>34750</v>
      </c>
      <c r="CF4" s="230">
        <v>30375</v>
      </c>
      <c r="CG4" s="230">
        <v>4375</v>
      </c>
      <c r="CH4" s="229">
        <v>0.14399999999999999</v>
      </c>
      <c r="CI4" s="230">
        <v>6750</v>
      </c>
      <c r="CJ4" s="230">
        <v>3625</v>
      </c>
      <c r="CK4" s="230">
        <v>3125</v>
      </c>
      <c r="CL4" s="229">
        <v>0.86209999999999998</v>
      </c>
      <c r="CM4" s="230">
        <v>724125</v>
      </c>
      <c r="CN4" s="230">
        <v>704250</v>
      </c>
      <c r="CO4" s="230">
        <v>19875</v>
      </c>
      <c r="CP4" s="229">
        <v>2.8199999999999999E-2</v>
      </c>
      <c r="CQ4" s="230">
        <v>426750</v>
      </c>
      <c r="CR4" s="230">
        <v>439250</v>
      </c>
      <c r="CS4" s="230">
        <v>-12500</v>
      </c>
      <c r="CT4" s="229">
        <v>-2.8500000000000001E-2</v>
      </c>
      <c r="CU4" s="230">
        <v>4009750</v>
      </c>
      <c r="CV4" s="230">
        <v>3952000</v>
      </c>
      <c r="CW4" s="230">
        <v>57750</v>
      </c>
      <c r="CX4" s="229">
        <v>1.46E-2</v>
      </c>
      <c r="CY4" s="228">
        <v>17.170000000000002</v>
      </c>
      <c r="CZ4" s="228">
        <v>16.850000000000001</v>
      </c>
      <c r="DA4" s="228">
        <v>0.32</v>
      </c>
      <c r="DB4" s="228">
        <v>0.32</v>
      </c>
      <c r="DC4" s="228">
        <v>26.64</v>
      </c>
      <c r="DD4" s="228">
        <v>26.71</v>
      </c>
      <c r="DE4" s="228">
        <v>-9.4700000000000006</v>
      </c>
      <c r="DF4" s="228">
        <v>-7.0000000000000007E-2</v>
      </c>
      <c r="DG4" s="228">
        <v>17.2</v>
      </c>
      <c r="DH4" s="228">
        <v>16.989999999999998</v>
      </c>
      <c r="DI4" s="228">
        <v>0.21</v>
      </c>
      <c r="DJ4" s="228">
        <v>0.21</v>
      </c>
      <c r="DK4" s="228">
        <v>17.11</v>
      </c>
      <c r="DL4" s="228">
        <v>16.600000000000001</v>
      </c>
      <c r="DM4" s="228">
        <v>0.51</v>
      </c>
      <c r="DN4" s="228">
        <v>0.51</v>
      </c>
      <c r="DO4" s="228">
        <v>0.59</v>
      </c>
      <c r="DP4" s="228">
        <v>0.62</v>
      </c>
      <c r="DQ4" s="228">
        <v>-0.03</v>
      </c>
      <c r="DR4" s="229">
        <v>-4.8399999999999999E-2</v>
      </c>
      <c r="DS4" s="231">
        <v>7800</v>
      </c>
      <c r="DT4" s="231">
        <v>7700</v>
      </c>
      <c r="DU4" s="228">
        <v>0.49</v>
      </c>
      <c r="DV4" s="228">
        <v>0.56000000000000005</v>
      </c>
      <c r="DW4" s="228">
        <v>-7.0000000000000007E-2</v>
      </c>
      <c r="DX4" s="229">
        <v>-0.125</v>
      </c>
      <c r="DY4" s="229">
        <v>1.4500000000000001E-2</v>
      </c>
      <c r="DZ4" s="230">
        <v>34000</v>
      </c>
      <c r="EA4" s="229">
        <v>5.3E-3</v>
      </c>
      <c r="EB4" s="229">
        <v>1.4500000000000001E-2</v>
      </c>
      <c r="EC4" s="228">
        <v>44.05</v>
      </c>
      <c r="ED4" s="229">
        <v>5.7000000000000002E-3</v>
      </c>
      <c r="EE4" s="230">
        <v>180775</v>
      </c>
      <c r="EF4" s="230">
        <v>203707</v>
      </c>
      <c r="EG4" s="229">
        <v>-0.11260000000000001</v>
      </c>
      <c r="EH4" s="229">
        <v>0.65710000000000002</v>
      </c>
      <c r="EI4" s="231">
        <v>78376.78</v>
      </c>
      <c r="EJ4" s="231">
        <v>37072.370000000003</v>
      </c>
      <c r="EK4" s="231">
        <v>17152.23</v>
      </c>
      <c r="EL4" s="231">
        <v>2500</v>
      </c>
      <c r="EM4" s="231">
        <v>132601.38</v>
      </c>
      <c r="EN4" s="231">
        <v>178112.72</v>
      </c>
      <c r="EO4" s="231">
        <v>-45511.34</v>
      </c>
      <c r="EP4" s="229">
        <v>-0.2555</v>
      </c>
      <c r="EQ4" s="231">
        <v>56880</v>
      </c>
      <c r="ER4" s="231">
        <v>31866</v>
      </c>
      <c r="ES4" s="231">
        <v>220754</v>
      </c>
      <c r="ET4" s="231">
        <v>15240043</v>
      </c>
      <c r="EU4" s="231">
        <v>309500</v>
      </c>
      <c r="EV4" s="231">
        <v>305392</v>
      </c>
      <c r="EW4" s="231">
        <v>4108</v>
      </c>
      <c r="EX4" s="229">
        <v>1.35E-2</v>
      </c>
      <c r="EY4" s="229">
        <v>0.2631</v>
      </c>
    </row>
    <row r="5" spans="1:155" ht="17.25" thickBot="1" x14ac:dyDescent="0.3">
      <c r="A5" s="226">
        <v>45940</v>
      </c>
      <c r="B5" s="227" t="s">
        <v>168</v>
      </c>
      <c r="C5" s="227" t="s">
        <v>169</v>
      </c>
      <c r="D5" s="231">
        <v>2351.1999999999998</v>
      </c>
      <c r="E5" s="231">
        <v>2347.4</v>
      </c>
      <c r="F5" s="228">
        <v>3.8</v>
      </c>
      <c r="G5" s="229">
        <v>1.6000000000000001E-3</v>
      </c>
      <c r="H5" s="231">
        <v>2340.1999999999998</v>
      </c>
      <c r="I5" s="231">
        <v>2336.4</v>
      </c>
      <c r="J5" s="228">
        <v>3.8</v>
      </c>
      <c r="K5" s="229">
        <v>1.6000000000000001E-3</v>
      </c>
      <c r="L5" s="231">
        <v>2351.1999999999998</v>
      </c>
      <c r="M5" s="231">
        <v>2347.4</v>
      </c>
      <c r="N5" s="228">
        <v>3.8</v>
      </c>
      <c r="O5" s="229">
        <v>1.6000000000000001E-3</v>
      </c>
      <c r="P5" s="231">
        <v>2361.6</v>
      </c>
      <c r="Q5" s="231">
        <v>2356.1</v>
      </c>
      <c r="R5" s="228">
        <v>5.5</v>
      </c>
      <c r="S5" s="229">
        <v>2.3E-3</v>
      </c>
      <c r="T5" s="231">
        <v>2375.4</v>
      </c>
      <c r="U5" s="231">
        <v>2369.3000000000002</v>
      </c>
      <c r="V5" s="228">
        <v>6.1</v>
      </c>
      <c r="W5" s="229">
        <v>2.5999999999999999E-3</v>
      </c>
      <c r="X5" s="228">
        <v>11</v>
      </c>
      <c r="Y5" s="228">
        <v>11</v>
      </c>
      <c r="Z5" s="228">
        <v>0</v>
      </c>
      <c r="AA5" s="229">
        <v>4.7000000000000002E-3</v>
      </c>
      <c r="AB5" s="228">
        <v>11</v>
      </c>
      <c r="AC5" s="228">
        <v>11</v>
      </c>
      <c r="AD5" s="228">
        <v>0</v>
      </c>
      <c r="AE5" s="229">
        <v>4.7000000000000002E-3</v>
      </c>
      <c r="AF5" s="228">
        <v>21.4</v>
      </c>
      <c r="AG5" s="228">
        <v>19.7</v>
      </c>
      <c r="AH5" s="228">
        <v>1.7</v>
      </c>
      <c r="AI5" s="229">
        <v>9.1000000000000004E-3</v>
      </c>
      <c r="AJ5" s="228">
        <v>35.200000000000003</v>
      </c>
      <c r="AK5" s="228">
        <v>32.9</v>
      </c>
      <c r="AL5" s="228">
        <v>2.2999999999999998</v>
      </c>
      <c r="AM5" s="229">
        <v>1.4999999999999999E-2</v>
      </c>
      <c r="AN5" s="231">
        <v>2356.19</v>
      </c>
      <c r="AO5" s="231">
        <v>2365.92</v>
      </c>
      <c r="AP5" s="228">
        <v>0</v>
      </c>
      <c r="AQ5" s="230">
        <v>5893</v>
      </c>
      <c r="AR5" s="230">
        <v>3618</v>
      </c>
      <c r="AS5" s="230">
        <v>2275</v>
      </c>
      <c r="AT5" s="229">
        <v>0.62880000000000003</v>
      </c>
      <c r="AU5" s="230">
        <v>5398</v>
      </c>
      <c r="AV5" s="230">
        <v>3290</v>
      </c>
      <c r="AW5" s="230">
        <v>2108</v>
      </c>
      <c r="AX5" s="229">
        <v>0.64070000000000005</v>
      </c>
      <c r="AY5" s="228">
        <v>404</v>
      </c>
      <c r="AZ5" s="228">
        <v>300</v>
      </c>
      <c r="BA5" s="228">
        <v>104</v>
      </c>
      <c r="BB5" s="229">
        <v>0.34670000000000001</v>
      </c>
      <c r="BC5" s="228">
        <v>91</v>
      </c>
      <c r="BD5" s="228">
        <v>28</v>
      </c>
      <c r="BE5" s="228">
        <v>63</v>
      </c>
      <c r="BF5" s="229">
        <v>2.25</v>
      </c>
      <c r="BG5" s="230">
        <v>19075</v>
      </c>
      <c r="BH5" s="230">
        <v>17858</v>
      </c>
      <c r="BI5" s="230">
        <v>1217</v>
      </c>
      <c r="BJ5" s="229">
        <v>6.8099999999999994E-2</v>
      </c>
      <c r="BK5" s="230">
        <v>6313</v>
      </c>
      <c r="BL5" s="230">
        <v>6070</v>
      </c>
      <c r="BM5" s="228">
        <v>243</v>
      </c>
      <c r="BN5" s="229">
        <v>0.04</v>
      </c>
      <c r="BO5" s="230">
        <v>31281</v>
      </c>
      <c r="BP5" s="230">
        <v>27546</v>
      </c>
      <c r="BQ5" s="230">
        <v>3735</v>
      </c>
      <c r="BR5" s="229">
        <v>0.1356</v>
      </c>
      <c r="BS5" s="230">
        <v>1127657</v>
      </c>
      <c r="BT5" s="230">
        <v>601476</v>
      </c>
      <c r="BU5" s="230">
        <v>526181</v>
      </c>
      <c r="BV5" s="229">
        <v>0.87480000000000002</v>
      </c>
      <c r="BW5" s="230">
        <v>13370000</v>
      </c>
      <c r="BX5" s="230">
        <v>13745250</v>
      </c>
      <c r="BY5" s="230">
        <v>-375250</v>
      </c>
      <c r="BZ5" s="229">
        <v>-2.7300000000000001E-2</v>
      </c>
      <c r="CA5" s="230">
        <v>12758750</v>
      </c>
      <c r="CB5" s="230">
        <v>13187250</v>
      </c>
      <c r="CC5" s="230">
        <v>-428500</v>
      </c>
      <c r="CD5" s="229">
        <v>-3.2500000000000001E-2</v>
      </c>
      <c r="CE5" s="230">
        <v>563250</v>
      </c>
      <c r="CF5" s="230">
        <v>527000</v>
      </c>
      <c r="CG5" s="230">
        <v>36250</v>
      </c>
      <c r="CH5" s="229">
        <v>6.88E-2</v>
      </c>
      <c r="CI5" s="230">
        <v>48000</v>
      </c>
      <c r="CJ5" s="230">
        <v>31000</v>
      </c>
      <c r="CK5" s="230">
        <v>17000</v>
      </c>
      <c r="CL5" s="229">
        <v>0.5484</v>
      </c>
      <c r="CM5" s="230">
        <v>6192500</v>
      </c>
      <c r="CN5" s="230">
        <v>6032250</v>
      </c>
      <c r="CO5" s="230">
        <v>160250</v>
      </c>
      <c r="CP5" s="229">
        <v>2.6599999999999999E-2</v>
      </c>
      <c r="CQ5" s="230">
        <v>3578000</v>
      </c>
      <c r="CR5" s="230">
        <v>3538500</v>
      </c>
      <c r="CS5" s="230">
        <v>39500</v>
      </c>
      <c r="CT5" s="229">
        <v>1.12E-2</v>
      </c>
      <c r="CU5" s="230">
        <v>23140500</v>
      </c>
      <c r="CV5" s="230">
        <v>23316000</v>
      </c>
      <c r="CW5" s="230">
        <v>-175500</v>
      </c>
      <c r="CX5" s="229">
        <v>-7.4999999999999997E-3</v>
      </c>
      <c r="CY5" s="228">
        <v>18.559999999999999</v>
      </c>
      <c r="CZ5" s="228">
        <v>19.239999999999998</v>
      </c>
      <c r="DA5" s="228">
        <v>-0.68</v>
      </c>
      <c r="DB5" s="228">
        <v>-0.68</v>
      </c>
      <c r="DC5" s="228">
        <v>23.45</v>
      </c>
      <c r="DD5" s="228">
        <v>23.51</v>
      </c>
      <c r="DE5" s="228">
        <v>-4.8899999999999997</v>
      </c>
      <c r="DF5" s="228">
        <v>-0.06</v>
      </c>
      <c r="DG5" s="228">
        <v>18.579999999999998</v>
      </c>
      <c r="DH5" s="228">
        <v>19.22</v>
      </c>
      <c r="DI5" s="228">
        <v>-0.64</v>
      </c>
      <c r="DJ5" s="228">
        <v>-0.64</v>
      </c>
      <c r="DK5" s="228">
        <v>18.52</v>
      </c>
      <c r="DL5" s="228">
        <v>19.309999999999999</v>
      </c>
      <c r="DM5" s="228">
        <v>-0.79</v>
      </c>
      <c r="DN5" s="228">
        <v>-0.79</v>
      </c>
      <c r="DO5" s="228">
        <v>0.57999999999999996</v>
      </c>
      <c r="DP5" s="228">
        <v>0.59</v>
      </c>
      <c r="DQ5" s="228">
        <v>-0.01</v>
      </c>
      <c r="DR5" s="229">
        <v>-1.6899999999999998E-2</v>
      </c>
      <c r="DS5" s="231">
        <v>2500</v>
      </c>
      <c r="DT5" s="231">
        <v>2300</v>
      </c>
      <c r="DU5" s="228">
        <v>0.33</v>
      </c>
      <c r="DV5" s="228">
        <v>0.34</v>
      </c>
      <c r="DW5" s="228">
        <v>-0.01</v>
      </c>
      <c r="DX5" s="229">
        <v>-2.9399999999999999E-2</v>
      </c>
      <c r="DY5" s="229">
        <v>4.5699999999999998E-2</v>
      </c>
      <c r="DZ5" s="230">
        <v>558000</v>
      </c>
      <c r="EA5" s="229">
        <v>4.4000000000000003E-3</v>
      </c>
      <c r="EB5" s="229">
        <v>4.5699999999999998E-2</v>
      </c>
      <c r="EC5" s="228">
        <v>9.73</v>
      </c>
      <c r="ED5" s="229">
        <v>4.1000000000000003E-3</v>
      </c>
      <c r="EE5" s="230">
        <v>863709</v>
      </c>
      <c r="EF5" s="230">
        <v>362340</v>
      </c>
      <c r="EG5" s="229">
        <v>1.3836999999999999</v>
      </c>
      <c r="EH5" s="229">
        <v>0.76590000000000003</v>
      </c>
      <c r="EI5" s="231">
        <v>115657.34</v>
      </c>
      <c r="EJ5" s="231">
        <v>36612.92</v>
      </c>
      <c r="EK5" s="231">
        <v>34728.07</v>
      </c>
      <c r="EL5" s="231">
        <v>3760</v>
      </c>
      <c r="EM5" s="231">
        <v>186998.33</v>
      </c>
      <c r="EN5" s="231">
        <v>164976.48000000001</v>
      </c>
      <c r="EO5" s="231">
        <v>22021.85</v>
      </c>
      <c r="EP5" s="229">
        <v>0.13350000000000001</v>
      </c>
      <c r="EQ5" s="231">
        <v>153569</v>
      </c>
      <c r="ER5" s="231">
        <v>82533</v>
      </c>
      <c r="ES5" s="231">
        <v>314426</v>
      </c>
      <c r="ET5" s="231">
        <v>52357280</v>
      </c>
      <c r="EU5" s="231">
        <v>550528</v>
      </c>
      <c r="EV5" s="231">
        <v>554011</v>
      </c>
      <c r="EW5" s="231">
        <v>-3483</v>
      </c>
      <c r="EX5" s="229">
        <v>-6.3E-3</v>
      </c>
      <c r="EY5" s="229">
        <v>0.442</v>
      </c>
    </row>
    <row r="6" spans="1:155" ht="17.25" thickBot="1" x14ac:dyDescent="0.3">
      <c r="A6" s="226">
        <v>45940</v>
      </c>
      <c r="B6" s="227" t="s">
        <v>172</v>
      </c>
      <c r="C6" s="227" t="s">
        <v>173</v>
      </c>
      <c r="D6" s="231">
        <v>1183.8</v>
      </c>
      <c r="E6" s="231">
        <v>1173.0999999999999</v>
      </c>
      <c r="F6" s="228">
        <v>10.7</v>
      </c>
      <c r="G6" s="229">
        <v>9.1000000000000004E-3</v>
      </c>
      <c r="H6" s="231">
        <v>1180.4000000000001</v>
      </c>
      <c r="I6" s="231">
        <v>1167.4000000000001</v>
      </c>
      <c r="J6" s="228">
        <v>13</v>
      </c>
      <c r="K6" s="229">
        <v>1.11E-2</v>
      </c>
      <c r="L6" s="231">
        <v>1183.8</v>
      </c>
      <c r="M6" s="231">
        <v>1173.0999999999999</v>
      </c>
      <c r="N6" s="228">
        <v>10.7</v>
      </c>
      <c r="O6" s="229">
        <v>9.1000000000000004E-3</v>
      </c>
      <c r="P6" s="231">
        <v>1190.5999999999999</v>
      </c>
      <c r="Q6" s="231">
        <v>1179.0999999999999</v>
      </c>
      <c r="R6" s="228">
        <v>11.5</v>
      </c>
      <c r="S6" s="229">
        <v>9.7999999999999997E-3</v>
      </c>
      <c r="T6" s="231">
        <v>1198.3</v>
      </c>
      <c r="U6" s="231">
        <v>1185.9000000000001</v>
      </c>
      <c r="V6" s="228">
        <v>12.4</v>
      </c>
      <c r="W6" s="229">
        <v>1.0500000000000001E-2</v>
      </c>
      <c r="X6" s="228">
        <v>3.4</v>
      </c>
      <c r="Y6" s="228">
        <v>5.7</v>
      </c>
      <c r="Z6" s="228">
        <v>-2.2999999999999998</v>
      </c>
      <c r="AA6" s="229">
        <v>2.8999999999999998E-3</v>
      </c>
      <c r="AB6" s="228">
        <v>3.4</v>
      </c>
      <c r="AC6" s="228">
        <v>5.7</v>
      </c>
      <c r="AD6" s="228">
        <v>-2.2999999999999998</v>
      </c>
      <c r="AE6" s="229">
        <v>2.8999999999999998E-3</v>
      </c>
      <c r="AF6" s="228">
        <v>10.199999999999999</v>
      </c>
      <c r="AG6" s="228">
        <v>11.7</v>
      </c>
      <c r="AH6" s="228">
        <v>-1.5</v>
      </c>
      <c r="AI6" s="229">
        <v>8.6E-3</v>
      </c>
      <c r="AJ6" s="228">
        <v>17.899999999999999</v>
      </c>
      <c r="AK6" s="228">
        <v>18.5</v>
      </c>
      <c r="AL6" s="228">
        <v>-0.6</v>
      </c>
      <c r="AM6" s="229">
        <v>1.52E-2</v>
      </c>
      <c r="AN6" s="231">
        <v>1188.2</v>
      </c>
      <c r="AO6" s="231">
        <v>1193.92</v>
      </c>
      <c r="AP6" s="228">
        <v>0</v>
      </c>
      <c r="AQ6" s="230">
        <v>22127</v>
      </c>
      <c r="AR6" s="230">
        <v>20635</v>
      </c>
      <c r="AS6" s="230">
        <v>1492</v>
      </c>
      <c r="AT6" s="229">
        <v>7.2300000000000003E-2</v>
      </c>
      <c r="AU6" s="230">
        <v>21047</v>
      </c>
      <c r="AV6" s="230">
        <v>19847</v>
      </c>
      <c r="AW6" s="230">
        <v>1200</v>
      </c>
      <c r="AX6" s="229">
        <v>6.0499999999999998E-2</v>
      </c>
      <c r="AY6" s="228">
        <v>874</v>
      </c>
      <c r="AZ6" s="228">
        <v>705</v>
      </c>
      <c r="BA6" s="228">
        <v>169</v>
      </c>
      <c r="BB6" s="229">
        <v>0.2397</v>
      </c>
      <c r="BC6" s="228">
        <v>206</v>
      </c>
      <c r="BD6" s="228">
        <v>83</v>
      </c>
      <c r="BE6" s="228">
        <v>123</v>
      </c>
      <c r="BF6" s="229">
        <v>1.4819</v>
      </c>
      <c r="BG6" s="230">
        <v>45814</v>
      </c>
      <c r="BH6" s="230">
        <v>54578</v>
      </c>
      <c r="BI6" s="230">
        <v>-8764</v>
      </c>
      <c r="BJ6" s="229">
        <v>-0.16059999999999999</v>
      </c>
      <c r="BK6" s="230">
        <v>26816</v>
      </c>
      <c r="BL6" s="230">
        <v>29160</v>
      </c>
      <c r="BM6" s="230">
        <v>-2344</v>
      </c>
      <c r="BN6" s="229">
        <v>-8.0399999999999999E-2</v>
      </c>
      <c r="BO6" s="230">
        <v>94757</v>
      </c>
      <c r="BP6" s="230">
        <v>104373</v>
      </c>
      <c r="BQ6" s="230">
        <v>-9616</v>
      </c>
      <c r="BR6" s="229">
        <v>-9.2100000000000001E-2</v>
      </c>
      <c r="BS6" s="230">
        <v>7048509</v>
      </c>
      <c r="BT6" s="230">
        <v>7490388</v>
      </c>
      <c r="BU6" s="230">
        <v>-441879</v>
      </c>
      <c r="BV6" s="229">
        <v>-5.8999999999999997E-2</v>
      </c>
      <c r="BW6" s="230">
        <v>82467500</v>
      </c>
      <c r="BX6" s="230">
        <v>83480000</v>
      </c>
      <c r="BY6" s="230">
        <v>-1012500</v>
      </c>
      <c r="BZ6" s="229">
        <v>-1.21E-2</v>
      </c>
      <c r="CA6" s="230">
        <v>80983125</v>
      </c>
      <c r="CB6" s="230">
        <v>82093750</v>
      </c>
      <c r="CC6" s="230">
        <v>-1110625</v>
      </c>
      <c r="CD6" s="229">
        <v>-1.35E-2</v>
      </c>
      <c r="CE6" s="230">
        <v>1312500</v>
      </c>
      <c r="CF6" s="230">
        <v>1287500</v>
      </c>
      <c r="CG6" s="230">
        <v>25000</v>
      </c>
      <c r="CH6" s="229">
        <v>1.9400000000000001E-2</v>
      </c>
      <c r="CI6" s="230">
        <v>171875</v>
      </c>
      <c r="CJ6" s="230">
        <v>98750</v>
      </c>
      <c r="CK6" s="230">
        <v>73125</v>
      </c>
      <c r="CL6" s="229">
        <v>0.74050000000000005</v>
      </c>
      <c r="CM6" s="230">
        <v>28375000</v>
      </c>
      <c r="CN6" s="230">
        <v>29771250</v>
      </c>
      <c r="CO6" s="230">
        <v>-1396250</v>
      </c>
      <c r="CP6" s="229">
        <v>-4.6899999999999997E-2</v>
      </c>
      <c r="CQ6" s="230">
        <v>12871875</v>
      </c>
      <c r="CR6" s="230">
        <v>12216875</v>
      </c>
      <c r="CS6" s="230">
        <v>655000</v>
      </c>
      <c r="CT6" s="229">
        <v>5.3600000000000002E-2</v>
      </c>
      <c r="CU6" s="230">
        <v>123714375</v>
      </c>
      <c r="CV6" s="230">
        <v>125468125</v>
      </c>
      <c r="CW6" s="230">
        <v>-1753750</v>
      </c>
      <c r="CX6" s="229">
        <v>-1.4E-2</v>
      </c>
      <c r="CY6" s="228">
        <v>23.44</v>
      </c>
      <c r="CZ6" s="228">
        <v>24.17</v>
      </c>
      <c r="DA6" s="228">
        <v>-0.73</v>
      </c>
      <c r="DB6" s="228">
        <v>-0.73</v>
      </c>
      <c r="DC6" s="228">
        <v>27.01</v>
      </c>
      <c r="DD6" s="228">
        <v>27.04</v>
      </c>
      <c r="DE6" s="228">
        <v>-3.57</v>
      </c>
      <c r="DF6" s="228">
        <v>-0.03</v>
      </c>
      <c r="DG6" s="228">
        <v>23.48</v>
      </c>
      <c r="DH6" s="228">
        <v>24.18</v>
      </c>
      <c r="DI6" s="228">
        <v>-0.7</v>
      </c>
      <c r="DJ6" s="228">
        <v>-0.7</v>
      </c>
      <c r="DK6" s="228">
        <v>23.37</v>
      </c>
      <c r="DL6" s="228">
        <v>24.17</v>
      </c>
      <c r="DM6" s="228">
        <v>-0.8</v>
      </c>
      <c r="DN6" s="228">
        <v>-0.8</v>
      </c>
      <c r="DO6" s="228">
        <v>0.45</v>
      </c>
      <c r="DP6" s="228">
        <v>0.41</v>
      </c>
      <c r="DQ6" s="228">
        <v>0.04</v>
      </c>
      <c r="DR6" s="229">
        <v>9.7600000000000006E-2</v>
      </c>
      <c r="DS6" s="231">
        <v>1250</v>
      </c>
      <c r="DT6" s="231">
        <v>1180</v>
      </c>
      <c r="DU6" s="228">
        <v>0.59</v>
      </c>
      <c r="DV6" s="228">
        <v>0.53</v>
      </c>
      <c r="DW6" s="228">
        <v>0.06</v>
      </c>
      <c r="DX6" s="229">
        <v>0.1132</v>
      </c>
      <c r="DY6" s="229">
        <v>1.7999999999999999E-2</v>
      </c>
      <c r="DZ6" s="230">
        <v>1386250</v>
      </c>
      <c r="EA6" s="229">
        <v>5.7000000000000002E-3</v>
      </c>
      <c r="EB6" s="229">
        <v>1.7999999999999999E-2</v>
      </c>
      <c r="EC6" s="228">
        <v>5.72</v>
      </c>
      <c r="ED6" s="229">
        <v>4.7999999999999996E-3</v>
      </c>
      <c r="EE6" s="230">
        <v>4892235</v>
      </c>
      <c r="EF6" s="230">
        <v>3993815</v>
      </c>
      <c r="EG6" s="229">
        <v>0.22500000000000001</v>
      </c>
      <c r="EH6" s="229">
        <v>0.69410000000000005</v>
      </c>
      <c r="EI6" s="231">
        <v>351494.19</v>
      </c>
      <c r="EJ6" s="231">
        <v>196226.92</v>
      </c>
      <c r="EK6" s="231">
        <v>164371.51</v>
      </c>
      <c r="EL6" s="231">
        <v>21876</v>
      </c>
      <c r="EM6" s="231">
        <v>712092.62</v>
      </c>
      <c r="EN6" s="231">
        <v>784359.03</v>
      </c>
      <c r="EO6" s="231">
        <v>-72266.41</v>
      </c>
      <c r="EP6" s="229">
        <v>-9.2100000000000001E-2</v>
      </c>
      <c r="EQ6" s="231">
        <v>343554</v>
      </c>
      <c r="ER6" s="231">
        <v>147063</v>
      </c>
      <c r="ES6" s="231">
        <v>976364</v>
      </c>
      <c r="ET6" s="231">
        <v>316147681</v>
      </c>
      <c r="EU6" s="231">
        <v>1466981</v>
      </c>
      <c r="EV6" s="231">
        <v>1478913</v>
      </c>
      <c r="EW6" s="231">
        <v>-11932</v>
      </c>
      <c r="EX6" s="229">
        <v>-8.0999999999999996E-3</v>
      </c>
      <c r="EY6" s="229">
        <v>0.39129999999999998</v>
      </c>
    </row>
    <row r="7" spans="1:155" ht="17.25" thickBot="1" x14ac:dyDescent="0.3">
      <c r="A7" s="226">
        <v>45940</v>
      </c>
      <c r="B7" s="227" t="s">
        <v>162</v>
      </c>
      <c r="C7" s="227" t="s">
        <v>174</v>
      </c>
      <c r="D7" s="231">
        <v>8993.5</v>
      </c>
      <c r="E7" s="231">
        <v>8851</v>
      </c>
      <c r="F7" s="228">
        <v>142.5</v>
      </c>
      <c r="G7" s="229">
        <v>1.61E-2</v>
      </c>
      <c r="H7" s="231">
        <v>8946.5</v>
      </c>
      <c r="I7" s="231">
        <v>8810</v>
      </c>
      <c r="J7" s="228">
        <v>136.5</v>
      </c>
      <c r="K7" s="229">
        <v>1.55E-2</v>
      </c>
      <c r="L7" s="231">
        <v>8993.5</v>
      </c>
      <c r="M7" s="231">
        <v>8851</v>
      </c>
      <c r="N7" s="228">
        <v>142.5</v>
      </c>
      <c r="O7" s="229">
        <v>1.61E-2</v>
      </c>
      <c r="P7" s="231">
        <v>9021.5</v>
      </c>
      <c r="Q7" s="231">
        <v>8875.5</v>
      </c>
      <c r="R7" s="228">
        <v>146</v>
      </c>
      <c r="S7" s="229">
        <v>1.6400000000000001E-2</v>
      </c>
      <c r="T7" s="231">
        <v>9056</v>
      </c>
      <c r="U7" s="231">
        <v>8860</v>
      </c>
      <c r="V7" s="228">
        <v>196</v>
      </c>
      <c r="W7" s="229">
        <v>2.2100000000000002E-2</v>
      </c>
      <c r="X7" s="228">
        <v>47</v>
      </c>
      <c r="Y7" s="228">
        <v>41</v>
      </c>
      <c r="Z7" s="228">
        <v>6</v>
      </c>
      <c r="AA7" s="229">
        <v>5.3E-3</v>
      </c>
      <c r="AB7" s="228">
        <v>47</v>
      </c>
      <c r="AC7" s="228">
        <v>41</v>
      </c>
      <c r="AD7" s="228">
        <v>6</v>
      </c>
      <c r="AE7" s="229">
        <v>5.3E-3</v>
      </c>
      <c r="AF7" s="228">
        <v>75</v>
      </c>
      <c r="AG7" s="228">
        <v>65.5</v>
      </c>
      <c r="AH7" s="228">
        <v>9.5</v>
      </c>
      <c r="AI7" s="229">
        <v>8.3999999999999995E-3</v>
      </c>
      <c r="AJ7" s="228">
        <v>109.5</v>
      </c>
      <c r="AK7" s="228">
        <v>50</v>
      </c>
      <c r="AL7" s="228">
        <v>59.5</v>
      </c>
      <c r="AM7" s="229">
        <v>1.2200000000000001E-2</v>
      </c>
      <c r="AN7" s="231">
        <v>8953.86</v>
      </c>
      <c r="AO7" s="231">
        <v>8969.58</v>
      </c>
      <c r="AP7" s="228">
        <v>0</v>
      </c>
      <c r="AQ7" s="230">
        <v>8103</v>
      </c>
      <c r="AR7" s="230">
        <v>4450</v>
      </c>
      <c r="AS7" s="230">
        <v>3653</v>
      </c>
      <c r="AT7" s="229">
        <v>0.82089999999999996</v>
      </c>
      <c r="AU7" s="230">
        <v>7493</v>
      </c>
      <c r="AV7" s="230">
        <v>4157</v>
      </c>
      <c r="AW7" s="230">
        <v>3336</v>
      </c>
      <c r="AX7" s="229">
        <v>0.80249999999999999</v>
      </c>
      <c r="AY7" s="228">
        <v>505</v>
      </c>
      <c r="AZ7" s="228">
        <v>288</v>
      </c>
      <c r="BA7" s="228">
        <v>217</v>
      </c>
      <c r="BB7" s="229">
        <v>0.75349999999999995</v>
      </c>
      <c r="BC7" s="228">
        <v>105</v>
      </c>
      <c r="BD7" s="228">
        <v>5</v>
      </c>
      <c r="BE7" s="228">
        <v>100</v>
      </c>
      <c r="BF7" s="229">
        <v>20</v>
      </c>
      <c r="BG7" s="230">
        <v>45978</v>
      </c>
      <c r="BH7" s="230">
        <v>20085</v>
      </c>
      <c r="BI7" s="230">
        <v>25893</v>
      </c>
      <c r="BJ7" s="229">
        <v>1.2891999999999999</v>
      </c>
      <c r="BK7" s="230">
        <v>16824</v>
      </c>
      <c r="BL7" s="230">
        <v>9808</v>
      </c>
      <c r="BM7" s="230">
        <v>7016</v>
      </c>
      <c r="BN7" s="229">
        <v>0.71530000000000005</v>
      </c>
      <c r="BO7" s="230">
        <v>70905</v>
      </c>
      <c r="BP7" s="230">
        <v>34343</v>
      </c>
      <c r="BQ7" s="230">
        <v>36562</v>
      </c>
      <c r="BR7" s="229">
        <v>1.0646</v>
      </c>
      <c r="BS7" s="230">
        <v>239842</v>
      </c>
      <c r="BT7" s="230">
        <v>222350</v>
      </c>
      <c r="BU7" s="230">
        <v>17492</v>
      </c>
      <c r="BV7" s="229">
        <v>7.8700000000000006E-2</v>
      </c>
      <c r="BW7" s="230">
        <v>3117975</v>
      </c>
      <c r="BX7" s="230">
        <v>3111300</v>
      </c>
      <c r="BY7" s="230">
        <v>6675</v>
      </c>
      <c r="BZ7" s="229">
        <v>2.0999999999999999E-3</v>
      </c>
      <c r="CA7" s="230">
        <v>3018375</v>
      </c>
      <c r="CB7" s="230">
        <v>3021300</v>
      </c>
      <c r="CC7" s="230">
        <v>-2925</v>
      </c>
      <c r="CD7" s="229">
        <v>-1E-3</v>
      </c>
      <c r="CE7" s="230">
        <v>88425</v>
      </c>
      <c r="CF7" s="230">
        <v>81450</v>
      </c>
      <c r="CG7" s="230">
        <v>6975</v>
      </c>
      <c r="CH7" s="229">
        <v>8.5599999999999996E-2</v>
      </c>
      <c r="CI7" s="230">
        <v>11175</v>
      </c>
      <c r="CJ7" s="230">
        <v>8550</v>
      </c>
      <c r="CK7" s="230">
        <v>2625</v>
      </c>
      <c r="CL7" s="229">
        <v>0.307</v>
      </c>
      <c r="CM7" s="230">
        <v>1573350</v>
      </c>
      <c r="CN7" s="230">
        <v>1622700</v>
      </c>
      <c r="CO7" s="230">
        <v>-49350</v>
      </c>
      <c r="CP7" s="229">
        <v>-3.04E-2</v>
      </c>
      <c r="CQ7" s="230">
        <v>1056450</v>
      </c>
      <c r="CR7" s="230">
        <v>944925</v>
      </c>
      <c r="CS7" s="230">
        <v>111525</v>
      </c>
      <c r="CT7" s="229">
        <v>0.11799999999999999</v>
      </c>
      <c r="CU7" s="230">
        <v>5747775</v>
      </c>
      <c r="CV7" s="230">
        <v>5678925</v>
      </c>
      <c r="CW7" s="230">
        <v>68850</v>
      </c>
      <c r="CX7" s="229">
        <v>1.21E-2</v>
      </c>
      <c r="CY7" s="228">
        <v>24.57</v>
      </c>
      <c r="CZ7" s="228">
        <v>24.4</v>
      </c>
      <c r="DA7" s="228">
        <v>0.17</v>
      </c>
      <c r="DB7" s="228">
        <v>0.17</v>
      </c>
      <c r="DC7" s="228">
        <v>30.65</v>
      </c>
      <c r="DD7" s="228">
        <v>30.65</v>
      </c>
      <c r="DE7" s="228">
        <v>-6.08</v>
      </c>
      <c r="DF7" s="228">
        <v>0</v>
      </c>
      <c r="DG7" s="228">
        <v>24.5</v>
      </c>
      <c r="DH7" s="228">
        <v>24.41</v>
      </c>
      <c r="DI7" s="228">
        <v>0.09</v>
      </c>
      <c r="DJ7" s="228">
        <v>0.09</v>
      </c>
      <c r="DK7" s="228">
        <v>24.77</v>
      </c>
      <c r="DL7" s="228">
        <v>24.39</v>
      </c>
      <c r="DM7" s="228">
        <v>0.38</v>
      </c>
      <c r="DN7" s="228">
        <v>0.38</v>
      </c>
      <c r="DO7" s="228">
        <v>0.67</v>
      </c>
      <c r="DP7" s="228">
        <v>0.57999999999999996</v>
      </c>
      <c r="DQ7" s="228">
        <v>0.09</v>
      </c>
      <c r="DR7" s="229">
        <v>0.1552</v>
      </c>
      <c r="DS7" s="231">
        <v>9000</v>
      </c>
      <c r="DT7" s="231">
        <v>8500</v>
      </c>
      <c r="DU7" s="228">
        <v>0.37</v>
      </c>
      <c r="DV7" s="228">
        <v>0.49</v>
      </c>
      <c r="DW7" s="228">
        <v>-0.12</v>
      </c>
      <c r="DX7" s="229">
        <v>-0.24490000000000001</v>
      </c>
      <c r="DY7" s="229">
        <v>3.1899999999999998E-2</v>
      </c>
      <c r="DZ7" s="230">
        <v>90000</v>
      </c>
      <c r="EA7" s="229">
        <v>3.0999999999999999E-3</v>
      </c>
      <c r="EB7" s="229">
        <v>3.1899999999999998E-2</v>
      </c>
      <c r="EC7" s="228">
        <v>15.72</v>
      </c>
      <c r="ED7" s="229">
        <v>1.8E-3</v>
      </c>
      <c r="EE7" s="230">
        <v>109474</v>
      </c>
      <c r="EF7" s="230">
        <v>108669</v>
      </c>
      <c r="EG7" s="229">
        <v>7.4000000000000003E-3</v>
      </c>
      <c r="EH7" s="229">
        <v>0.45639999999999997</v>
      </c>
      <c r="EI7" s="231">
        <v>320590.55</v>
      </c>
      <c r="EJ7" s="231">
        <v>110424.97</v>
      </c>
      <c r="EK7" s="231">
        <v>54426.66</v>
      </c>
      <c r="EL7" s="231">
        <v>7217</v>
      </c>
      <c r="EM7" s="231">
        <v>485442.18</v>
      </c>
      <c r="EN7" s="231">
        <v>231943.02</v>
      </c>
      <c r="EO7" s="231">
        <v>253499.16</v>
      </c>
      <c r="EP7" s="229">
        <v>1.0929</v>
      </c>
      <c r="EQ7" s="231">
        <v>145910</v>
      </c>
      <c r="ER7" s="231">
        <v>89660</v>
      </c>
      <c r="ES7" s="231">
        <v>280447</v>
      </c>
      <c r="ET7" s="231">
        <v>12547731</v>
      </c>
      <c r="EU7" s="231">
        <v>516017</v>
      </c>
      <c r="EV7" s="231">
        <v>505556</v>
      </c>
      <c r="EW7" s="231">
        <v>10461</v>
      </c>
      <c r="EX7" s="229">
        <v>2.07E-2</v>
      </c>
      <c r="EY7" s="229">
        <v>0.45810000000000001</v>
      </c>
    </row>
    <row r="8" spans="1:155" ht="17.25" thickBot="1" x14ac:dyDescent="0.3">
      <c r="A8" s="226">
        <v>45940</v>
      </c>
      <c r="B8" s="227" t="s">
        <v>175</v>
      </c>
      <c r="C8" s="227" t="s">
        <v>176</v>
      </c>
      <c r="D8" s="231">
        <v>2015.7</v>
      </c>
      <c r="E8" s="231">
        <v>2025.1</v>
      </c>
      <c r="F8" s="228">
        <v>-9.4</v>
      </c>
      <c r="G8" s="229">
        <v>-4.5999999999999999E-3</v>
      </c>
      <c r="H8" s="231">
        <v>2004.3</v>
      </c>
      <c r="I8" s="231">
        <v>2014.6</v>
      </c>
      <c r="J8" s="228">
        <v>-10.3</v>
      </c>
      <c r="K8" s="229">
        <v>-5.1000000000000004E-3</v>
      </c>
      <c r="L8" s="231">
        <v>2015.7</v>
      </c>
      <c r="M8" s="231">
        <v>2025.1</v>
      </c>
      <c r="N8" s="228">
        <v>-9.4</v>
      </c>
      <c r="O8" s="229">
        <v>-4.5999999999999999E-3</v>
      </c>
      <c r="P8" s="231">
        <v>2026.7</v>
      </c>
      <c r="Q8" s="231">
        <v>2036.5</v>
      </c>
      <c r="R8" s="228">
        <v>-9.8000000000000007</v>
      </c>
      <c r="S8" s="229">
        <v>-4.7999999999999996E-3</v>
      </c>
      <c r="T8" s="231">
        <v>2041.5</v>
      </c>
      <c r="U8" s="231">
        <v>2045.3</v>
      </c>
      <c r="V8" s="228">
        <v>-3.8</v>
      </c>
      <c r="W8" s="229">
        <v>-1.9E-3</v>
      </c>
      <c r="X8" s="228">
        <v>11.4</v>
      </c>
      <c r="Y8" s="228">
        <v>10.5</v>
      </c>
      <c r="Z8" s="228">
        <v>0.9</v>
      </c>
      <c r="AA8" s="229">
        <v>5.7000000000000002E-3</v>
      </c>
      <c r="AB8" s="228">
        <v>11.4</v>
      </c>
      <c r="AC8" s="228">
        <v>10.5</v>
      </c>
      <c r="AD8" s="228">
        <v>0.9</v>
      </c>
      <c r="AE8" s="229">
        <v>5.7000000000000002E-3</v>
      </c>
      <c r="AF8" s="228">
        <v>22.4</v>
      </c>
      <c r="AG8" s="228">
        <v>21.9</v>
      </c>
      <c r="AH8" s="228">
        <v>0.5</v>
      </c>
      <c r="AI8" s="229">
        <v>1.12E-2</v>
      </c>
      <c r="AJ8" s="228">
        <v>37.200000000000003</v>
      </c>
      <c r="AK8" s="228">
        <v>30.7</v>
      </c>
      <c r="AL8" s="228">
        <v>6.5</v>
      </c>
      <c r="AM8" s="229">
        <v>1.8599999999999998E-2</v>
      </c>
      <c r="AN8" s="231">
        <v>2021.73</v>
      </c>
      <c r="AO8" s="231">
        <v>2035.43</v>
      </c>
      <c r="AP8" s="228">
        <v>0</v>
      </c>
      <c r="AQ8" s="230">
        <v>2323</v>
      </c>
      <c r="AR8" s="230">
        <v>1863</v>
      </c>
      <c r="AS8" s="228">
        <v>460</v>
      </c>
      <c r="AT8" s="229">
        <v>0.24690000000000001</v>
      </c>
      <c r="AU8" s="230">
        <v>2081</v>
      </c>
      <c r="AV8" s="230">
        <v>1726</v>
      </c>
      <c r="AW8" s="228">
        <v>355</v>
      </c>
      <c r="AX8" s="229">
        <v>0.20569999999999999</v>
      </c>
      <c r="AY8" s="228">
        <v>202</v>
      </c>
      <c r="AZ8" s="228">
        <v>130</v>
      </c>
      <c r="BA8" s="228">
        <v>72</v>
      </c>
      <c r="BB8" s="229">
        <v>0.55379999999999996</v>
      </c>
      <c r="BC8" s="228">
        <v>40</v>
      </c>
      <c r="BD8" s="228">
        <v>7</v>
      </c>
      <c r="BE8" s="228">
        <v>33</v>
      </c>
      <c r="BF8" s="229">
        <v>4.7142999999999997</v>
      </c>
      <c r="BG8" s="230">
        <v>7035</v>
      </c>
      <c r="BH8" s="230">
        <v>5223</v>
      </c>
      <c r="BI8" s="230">
        <v>1812</v>
      </c>
      <c r="BJ8" s="229">
        <v>0.34689999999999999</v>
      </c>
      <c r="BK8" s="230">
        <v>3572</v>
      </c>
      <c r="BL8" s="230">
        <v>3456</v>
      </c>
      <c r="BM8" s="228">
        <v>116</v>
      </c>
      <c r="BN8" s="229">
        <v>3.3599999999999998E-2</v>
      </c>
      <c r="BO8" s="230">
        <v>12930</v>
      </c>
      <c r="BP8" s="230">
        <v>10542</v>
      </c>
      <c r="BQ8" s="230">
        <v>2388</v>
      </c>
      <c r="BR8" s="229">
        <v>0.22650000000000001</v>
      </c>
      <c r="BS8" s="230">
        <v>790184</v>
      </c>
      <c r="BT8" s="230">
        <v>451880</v>
      </c>
      <c r="BU8" s="230">
        <v>338304</v>
      </c>
      <c r="BV8" s="229">
        <v>0.74870000000000003</v>
      </c>
      <c r="BW8" s="230">
        <v>17912500</v>
      </c>
      <c r="BX8" s="230">
        <v>17657000</v>
      </c>
      <c r="BY8" s="230">
        <v>255500</v>
      </c>
      <c r="BZ8" s="229">
        <v>1.4500000000000001E-2</v>
      </c>
      <c r="CA8" s="230">
        <v>17656000</v>
      </c>
      <c r="CB8" s="230">
        <v>17449000</v>
      </c>
      <c r="CC8" s="230">
        <v>207000</v>
      </c>
      <c r="CD8" s="229">
        <v>1.1900000000000001E-2</v>
      </c>
      <c r="CE8" s="230">
        <v>225000</v>
      </c>
      <c r="CF8" s="230">
        <v>194000</v>
      </c>
      <c r="CG8" s="230">
        <v>31000</v>
      </c>
      <c r="CH8" s="229">
        <v>0.1598</v>
      </c>
      <c r="CI8" s="230">
        <v>31500</v>
      </c>
      <c r="CJ8" s="230">
        <v>14000</v>
      </c>
      <c r="CK8" s="230">
        <v>17500</v>
      </c>
      <c r="CL8" s="229">
        <v>1.25</v>
      </c>
      <c r="CM8" s="230">
        <v>5087000</v>
      </c>
      <c r="CN8" s="230">
        <v>4774500</v>
      </c>
      <c r="CO8" s="230">
        <v>312500</v>
      </c>
      <c r="CP8" s="229">
        <v>6.5500000000000003E-2</v>
      </c>
      <c r="CQ8" s="230">
        <v>3152500</v>
      </c>
      <c r="CR8" s="230">
        <v>3073000</v>
      </c>
      <c r="CS8" s="230">
        <v>79500</v>
      </c>
      <c r="CT8" s="229">
        <v>2.5899999999999999E-2</v>
      </c>
      <c r="CU8" s="230">
        <v>26152000</v>
      </c>
      <c r="CV8" s="230">
        <v>25504500</v>
      </c>
      <c r="CW8" s="230">
        <v>647500</v>
      </c>
      <c r="CX8" s="229">
        <v>2.5399999999999999E-2</v>
      </c>
      <c r="CY8" s="228">
        <v>22.62</v>
      </c>
      <c r="CZ8" s="228">
        <v>22.56</v>
      </c>
      <c r="DA8" s="228">
        <v>0.06</v>
      </c>
      <c r="DB8" s="228">
        <v>0.06</v>
      </c>
      <c r="DC8" s="228">
        <v>28.11</v>
      </c>
      <c r="DD8" s="228">
        <v>28.17</v>
      </c>
      <c r="DE8" s="228">
        <v>-5.49</v>
      </c>
      <c r="DF8" s="228">
        <v>-0.06</v>
      </c>
      <c r="DG8" s="228">
        <v>22.53</v>
      </c>
      <c r="DH8" s="228">
        <v>22.26</v>
      </c>
      <c r="DI8" s="228">
        <v>0.27</v>
      </c>
      <c r="DJ8" s="228">
        <v>0.27</v>
      </c>
      <c r="DK8" s="228">
        <v>22.79</v>
      </c>
      <c r="DL8" s="228">
        <v>23.02</v>
      </c>
      <c r="DM8" s="228">
        <v>-0.23</v>
      </c>
      <c r="DN8" s="228">
        <v>-0.23</v>
      </c>
      <c r="DO8" s="228">
        <v>0.62</v>
      </c>
      <c r="DP8" s="228">
        <v>0.64</v>
      </c>
      <c r="DQ8" s="228">
        <v>-0.02</v>
      </c>
      <c r="DR8" s="229">
        <v>-3.1300000000000001E-2</v>
      </c>
      <c r="DS8" s="231">
        <v>2080</v>
      </c>
      <c r="DT8" s="231">
        <v>1800</v>
      </c>
      <c r="DU8" s="228">
        <v>0.51</v>
      </c>
      <c r="DV8" s="228">
        <v>0.66</v>
      </c>
      <c r="DW8" s="228">
        <v>-0.15</v>
      </c>
      <c r="DX8" s="229">
        <v>-0.2273</v>
      </c>
      <c r="DY8" s="229">
        <v>1.43E-2</v>
      </c>
      <c r="DZ8" s="230">
        <v>208000</v>
      </c>
      <c r="EA8" s="229">
        <v>5.4999999999999997E-3</v>
      </c>
      <c r="EB8" s="229">
        <v>1.43E-2</v>
      </c>
      <c r="EC8" s="228">
        <v>13.7</v>
      </c>
      <c r="ED8" s="229">
        <v>6.7999999999999996E-3</v>
      </c>
      <c r="EE8" s="230">
        <v>536869</v>
      </c>
      <c r="EF8" s="230">
        <v>229781</v>
      </c>
      <c r="EG8" s="229">
        <v>1.3364</v>
      </c>
      <c r="EH8" s="229">
        <v>0.6794</v>
      </c>
      <c r="EI8" s="231">
        <v>73584.27</v>
      </c>
      <c r="EJ8" s="231">
        <v>35908.75</v>
      </c>
      <c r="EK8" s="231">
        <v>23501.42</v>
      </c>
      <c r="EL8" s="231">
        <v>2607</v>
      </c>
      <c r="EM8" s="231">
        <v>132994.44</v>
      </c>
      <c r="EN8" s="231">
        <v>108347.34</v>
      </c>
      <c r="EO8" s="231">
        <v>24647.1</v>
      </c>
      <c r="EP8" s="229">
        <v>0.22750000000000001</v>
      </c>
      <c r="EQ8" s="231">
        <v>107113</v>
      </c>
      <c r="ER8" s="231">
        <v>60279</v>
      </c>
      <c r="ES8" s="231">
        <v>361095</v>
      </c>
      <c r="ET8" s="231">
        <v>65659712</v>
      </c>
      <c r="EU8" s="231">
        <v>528487</v>
      </c>
      <c r="EV8" s="231">
        <v>516973</v>
      </c>
      <c r="EW8" s="231">
        <v>11514</v>
      </c>
      <c r="EX8" s="229">
        <v>2.23E-2</v>
      </c>
      <c r="EY8" s="229">
        <v>0.39829999999999999</v>
      </c>
    </row>
    <row r="9" spans="1:155" ht="17.25" thickBot="1" x14ac:dyDescent="0.3">
      <c r="A9" s="226">
        <v>45940</v>
      </c>
      <c r="B9" s="227" t="s">
        <v>175</v>
      </c>
      <c r="C9" s="227" t="s">
        <v>177</v>
      </c>
      <c r="D9" s="231">
        <v>1029.3</v>
      </c>
      <c r="E9" s="231">
        <v>1028.3499999999999</v>
      </c>
      <c r="F9" s="228">
        <v>0.95</v>
      </c>
      <c r="G9" s="229">
        <v>8.9999999999999998E-4</v>
      </c>
      <c r="H9" s="231">
        <v>1023.85</v>
      </c>
      <c r="I9" s="231">
        <v>1024.0999999999999</v>
      </c>
      <c r="J9" s="228">
        <v>-0.25</v>
      </c>
      <c r="K9" s="229">
        <v>-2.0000000000000001E-4</v>
      </c>
      <c r="L9" s="231">
        <v>1029.3</v>
      </c>
      <c r="M9" s="231">
        <v>1028.3499999999999</v>
      </c>
      <c r="N9" s="228">
        <v>0.95</v>
      </c>
      <c r="O9" s="229">
        <v>8.9999999999999998E-4</v>
      </c>
      <c r="P9" s="231">
        <v>1034.8499999999999</v>
      </c>
      <c r="Q9" s="231">
        <v>1033.5</v>
      </c>
      <c r="R9" s="228">
        <v>1.35</v>
      </c>
      <c r="S9" s="229">
        <v>1.2999999999999999E-3</v>
      </c>
      <c r="T9" s="231">
        <v>1040.75</v>
      </c>
      <c r="U9" s="231">
        <v>1039.3</v>
      </c>
      <c r="V9" s="228">
        <v>1.45</v>
      </c>
      <c r="W9" s="229">
        <v>1.4E-3</v>
      </c>
      <c r="X9" s="228">
        <v>5.45</v>
      </c>
      <c r="Y9" s="228">
        <v>4.25</v>
      </c>
      <c r="Z9" s="228">
        <v>1.2</v>
      </c>
      <c r="AA9" s="229">
        <v>5.3E-3</v>
      </c>
      <c r="AB9" s="228">
        <v>5.45</v>
      </c>
      <c r="AC9" s="228">
        <v>4.25</v>
      </c>
      <c r="AD9" s="228">
        <v>1.2</v>
      </c>
      <c r="AE9" s="229">
        <v>5.3E-3</v>
      </c>
      <c r="AF9" s="228">
        <v>11</v>
      </c>
      <c r="AG9" s="228">
        <v>9.4</v>
      </c>
      <c r="AH9" s="228">
        <v>1.6</v>
      </c>
      <c r="AI9" s="229">
        <v>1.0699999999999999E-2</v>
      </c>
      <c r="AJ9" s="228">
        <v>16.899999999999999</v>
      </c>
      <c r="AK9" s="228">
        <v>15.2</v>
      </c>
      <c r="AL9" s="228">
        <v>1.7</v>
      </c>
      <c r="AM9" s="229">
        <v>1.6500000000000001E-2</v>
      </c>
      <c r="AN9" s="231">
        <v>1028.95</v>
      </c>
      <c r="AO9" s="231">
        <v>1034.33</v>
      </c>
      <c r="AP9" s="228">
        <v>0</v>
      </c>
      <c r="AQ9" s="230">
        <v>5575</v>
      </c>
      <c r="AR9" s="230">
        <v>5269</v>
      </c>
      <c r="AS9" s="228">
        <v>306</v>
      </c>
      <c r="AT9" s="229">
        <v>5.8099999999999999E-2</v>
      </c>
      <c r="AU9" s="230">
        <v>4898</v>
      </c>
      <c r="AV9" s="230">
        <v>4719</v>
      </c>
      <c r="AW9" s="228">
        <v>179</v>
      </c>
      <c r="AX9" s="229">
        <v>3.7900000000000003E-2</v>
      </c>
      <c r="AY9" s="228">
        <v>526</v>
      </c>
      <c r="AZ9" s="228">
        <v>474</v>
      </c>
      <c r="BA9" s="228">
        <v>52</v>
      </c>
      <c r="BB9" s="229">
        <v>0.10970000000000001</v>
      </c>
      <c r="BC9" s="228">
        <v>151</v>
      </c>
      <c r="BD9" s="228">
        <v>76</v>
      </c>
      <c r="BE9" s="228">
        <v>75</v>
      </c>
      <c r="BF9" s="229">
        <v>0.98680000000000001</v>
      </c>
      <c r="BG9" s="230">
        <v>21436</v>
      </c>
      <c r="BH9" s="230">
        <v>14680</v>
      </c>
      <c r="BI9" s="230">
        <v>6756</v>
      </c>
      <c r="BJ9" s="229">
        <v>0.4602</v>
      </c>
      <c r="BK9" s="230">
        <v>10118</v>
      </c>
      <c r="BL9" s="230">
        <v>11108</v>
      </c>
      <c r="BM9" s="228">
        <v>-990</v>
      </c>
      <c r="BN9" s="229">
        <v>-8.9099999999999999E-2</v>
      </c>
      <c r="BO9" s="230">
        <v>37129</v>
      </c>
      <c r="BP9" s="230">
        <v>31057</v>
      </c>
      <c r="BQ9" s="230">
        <v>6072</v>
      </c>
      <c r="BR9" s="229">
        <v>0.19550000000000001</v>
      </c>
      <c r="BS9" s="230">
        <v>3901889</v>
      </c>
      <c r="BT9" s="230">
        <v>5050158</v>
      </c>
      <c r="BU9" s="230">
        <v>-1148269</v>
      </c>
      <c r="BV9" s="229">
        <v>-0.22739999999999999</v>
      </c>
      <c r="BW9" s="230">
        <v>91342500</v>
      </c>
      <c r="BX9" s="230">
        <v>91200000</v>
      </c>
      <c r="BY9" s="230">
        <v>142500</v>
      </c>
      <c r="BZ9" s="229">
        <v>1.6000000000000001E-3</v>
      </c>
      <c r="CA9" s="230">
        <v>89922000</v>
      </c>
      <c r="CB9" s="230">
        <v>89942250</v>
      </c>
      <c r="CC9" s="230">
        <v>-20250</v>
      </c>
      <c r="CD9" s="229">
        <v>-2.0000000000000001E-4</v>
      </c>
      <c r="CE9" s="230">
        <v>1245000</v>
      </c>
      <c r="CF9" s="230">
        <v>1153500</v>
      </c>
      <c r="CG9" s="230">
        <v>91500</v>
      </c>
      <c r="CH9" s="229">
        <v>7.9299999999999995E-2</v>
      </c>
      <c r="CI9" s="230">
        <v>175500</v>
      </c>
      <c r="CJ9" s="230">
        <v>104250</v>
      </c>
      <c r="CK9" s="230">
        <v>71250</v>
      </c>
      <c r="CL9" s="229">
        <v>0.6835</v>
      </c>
      <c r="CM9" s="230">
        <v>18580500</v>
      </c>
      <c r="CN9" s="230">
        <v>17291250</v>
      </c>
      <c r="CO9" s="230">
        <v>1289250</v>
      </c>
      <c r="CP9" s="229">
        <v>7.46E-2</v>
      </c>
      <c r="CQ9" s="230">
        <v>13308750</v>
      </c>
      <c r="CR9" s="230">
        <v>12934500</v>
      </c>
      <c r="CS9" s="230">
        <v>374250</v>
      </c>
      <c r="CT9" s="229">
        <v>2.8899999999999999E-2</v>
      </c>
      <c r="CU9" s="230">
        <v>123231750</v>
      </c>
      <c r="CV9" s="230">
        <v>121425750</v>
      </c>
      <c r="CW9" s="230">
        <v>1806000</v>
      </c>
      <c r="CX9" s="229">
        <v>1.49E-2</v>
      </c>
      <c r="CY9" s="228">
        <v>25.98</v>
      </c>
      <c r="CZ9" s="228">
        <v>25.27</v>
      </c>
      <c r="DA9" s="228">
        <v>0.71</v>
      </c>
      <c r="DB9" s="228">
        <v>0.71</v>
      </c>
      <c r="DC9" s="228">
        <v>31.11</v>
      </c>
      <c r="DD9" s="228">
        <v>31.19</v>
      </c>
      <c r="DE9" s="228">
        <v>-5.13</v>
      </c>
      <c r="DF9" s="228">
        <v>-0.08</v>
      </c>
      <c r="DG9" s="228">
        <v>25.71</v>
      </c>
      <c r="DH9" s="228">
        <v>24.93</v>
      </c>
      <c r="DI9" s="228">
        <v>0.78</v>
      </c>
      <c r="DJ9" s="228">
        <v>0.78</v>
      </c>
      <c r="DK9" s="228">
        <v>26.55</v>
      </c>
      <c r="DL9" s="228">
        <v>25.73</v>
      </c>
      <c r="DM9" s="228">
        <v>0.82</v>
      </c>
      <c r="DN9" s="228">
        <v>0.82</v>
      </c>
      <c r="DO9" s="228">
        <v>0.72</v>
      </c>
      <c r="DP9" s="228">
        <v>0.75</v>
      </c>
      <c r="DQ9" s="228">
        <v>-0.03</v>
      </c>
      <c r="DR9" s="229">
        <v>-0.04</v>
      </c>
      <c r="DS9" s="231">
        <v>1020</v>
      </c>
      <c r="DT9" s="231">
        <v>1020</v>
      </c>
      <c r="DU9" s="228">
        <v>0.47</v>
      </c>
      <c r="DV9" s="228">
        <v>0.76</v>
      </c>
      <c r="DW9" s="228">
        <v>-0.28999999999999998</v>
      </c>
      <c r="DX9" s="229">
        <v>-0.38159999999999999</v>
      </c>
      <c r="DY9" s="229">
        <v>1.5599999999999999E-2</v>
      </c>
      <c r="DZ9" s="230">
        <v>1257750</v>
      </c>
      <c r="EA9" s="229">
        <v>5.4000000000000003E-3</v>
      </c>
      <c r="EB9" s="229">
        <v>1.5599999999999999E-2</v>
      </c>
      <c r="EC9" s="228">
        <v>5.38</v>
      </c>
      <c r="ED9" s="229">
        <v>5.1999999999999998E-3</v>
      </c>
      <c r="EE9" s="230">
        <v>2225878</v>
      </c>
      <c r="EF9" s="230">
        <v>2322329</v>
      </c>
      <c r="EG9" s="229">
        <v>-4.1500000000000002E-2</v>
      </c>
      <c r="EH9" s="229">
        <v>0.57050000000000001</v>
      </c>
      <c r="EI9" s="231">
        <v>170924.25</v>
      </c>
      <c r="EJ9" s="231">
        <v>76984.87</v>
      </c>
      <c r="EK9" s="231">
        <v>43057.97</v>
      </c>
      <c r="EL9" s="231">
        <v>11215</v>
      </c>
      <c r="EM9" s="231">
        <v>290967.09000000003</v>
      </c>
      <c r="EN9" s="231">
        <v>241873.62</v>
      </c>
      <c r="EO9" s="231">
        <v>49093.47</v>
      </c>
      <c r="EP9" s="229">
        <v>0.20300000000000001</v>
      </c>
      <c r="EQ9" s="231">
        <v>194814</v>
      </c>
      <c r="ER9" s="231">
        <v>129265</v>
      </c>
      <c r="ES9" s="231">
        <v>940278</v>
      </c>
      <c r="ET9" s="231">
        <v>281116345</v>
      </c>
      <c r="EU9" s="231">
        <v>1264357</v>
      </c>
      <c r="EV9" s="231">
        <v>1244855</v>
      </c>
      <c r="EW9" s="231">
        <v>19502</v>
      </c>
      <c r="EX9" s="229">
        <v>1.5699999999999999E-2</v>
      </c>
      <c r="EY9" s="229">
        <v>0.43840000000000001</v>
      </c>
    </row>
    <row r="10" spans="1:155" ht="17.25" thickBot="1" x14ac:dyDescent="0.3">
      <c r="A10" s="226">
        <v>45940</v>
      </c>
      <c r="B10" s="227" t="s">
        <v>184</v>
      </c>
      <c r="C10" s="227" t="s">
        <v>185</v>
      </c>
      <c r="D10" s="228">
        <v>414.95</v>
      </c>
      <c r="E10" s="228">
        <v>411.65</v>
      </c>
      <c r="F10" s="228">
        <v>3.3</v>
      </c>
      <c r="G10" s="229">
        <v>8.0000000000000002E-3</v>
      </c>
      <c r="H10" s="228">
        <v>413.5</v>
      </c>
      <c r="I10" s="228">
        <v>409.35</v>
      </c>
      <c r="J10" s="228">
        <v>4.1500000000000004</v>
      </c>
      <c r="K10" s="229">
        <v>1.01E-2</v>
      </c>
      <c r="L10" s="228">
        <v>414.95</v>
      </c>
      <c r="M10" s="228">
        <v>411.65</v>
      </c>
      <c r="N10" s="228">
        <v>3.3</v>
      </c>
      <c r="O10" s="229">
        <v>8.0000000000000002E-3</v>
      </c>
      <c r="P10" s="228">
        <v>417.5</v>
      </c>
      <c r="Q10" s="228">
        <v>413.65</v>
      </c>
      <c r="R10" s="228">
        <v>3.85</v>
      </c>
      <c r="S10" s="229">
        <v>9.2999999999999992E-3</v>
      </c>
      <c r="T10" s="228">
        <v>419.8</v>
      </c>
      <c r="U10" s="228">
        <v>416.2</v>
      </c>
      <c r="V10" s="228">
        <v>3.6</v>
      </c>
      <c r="W10" s="229">
        <v>8.6E-3</v>
      </c>
      <c r="X10" s="228">
        <v>1.45</v>
      </c>
      <c r="Y10" s="228">
        <v>2.2999999999999998</v>
      </c>
      <c r="Z10" s="228">
        <v>-0.85</v>
      </c>
      <c r="AA10" s="229">
        <v>3.5000000000000001E-3</v>
      </c>
      <c r="AB10" s="228">
        <v>1.45</v>
      </c>
      <c r="AC10" s="228">
        <v>2.2999999999999998</v>
      </c>
      <c r="AD10" s="228">
        <v>-0.85</v>
      </c>
      <c r="AE10" s="229">
        <v>3.5000000000000001E-3</v>
      </c>
      <c r="AF10" s="228">
        <v>4</v>
      </c>
      <c r="AG10" s="228">
        <v>4.3</v>
      </c>
      <c r="AH10" s="228">
        <v>-0.3</v>
      </c>
      <c r="AI10" s="229">
        <v>9.7000000000000003E-3</v>
      </c>
      <c r="AJ10" s="228">
        <v>6.3</v>
      </c>
      <c r="AK10" s="228">
        <v>6.85</v>
      </c>
      <c r="AL10" s="228">
        <v>-0.55000000000000004</v>
      </c>
      <c r="AM10" s="229">
        <v>1.52E-2</v>
      </c>
      <c r="AN10" s="228">
        <v>415.66</v>
      </c>
      <c r="AO10" s="228">
        <v>417.96</v>
      </c>
      <c r="AP10" s="228">
        <v>0</v>
      </c>
      <c r="AQ10" s="230">
        <v>9232</v>
      </c>
      <c r="AR10" s="230">
        <v>7023</v>
      </c>
      <c r="AS10" s="230">
        <v>2209</v>
      </c>
      <c r="AT10" s="229">
        <v>0.3145</v>
      </c>
      <c r="AU10" s="230">
        <v>8149</v>
      </c>
      <c r="AV10" s="230">
        <v>6043</v>
      </c>
      <c r="AW10" s="230">
        <v>2106</v>
      </c>
      <c r="AX10" s="229">
        <v>0.34849999999999998</v>
      </c>
      <c r="AY10" s="228">
        <v>868</v>
      </c>
      <c r="AZ10" s="228">
        <v>847</v>
      </c>
      <c r="BA10" s="228">
        <v>21</v>
      </c>
      <c r="BB10" s="229">
        <v>2.4799999999999999E-2</v>
      </c>
      <c r="BC10" s="228">
        <v>215</v>
      </c>
      <c r="BD10" s="228">
        <v>133</v>
      </c>
      <c r="BE10" s="228">
        <v>82</v>
      </c>
      <c r="BF10" s="229">
        <v>0.61650000000000005</v>
      </c>
      <c r="BG10" s="230">
        <v>35436</v>
      </c>
      <c r="BH10" s="230">
        <v>25452</v>
      </c>
      <c r="BI10" s="230">
        <v>9984</v>
      </c>
      <c r="BJ10" s="229">
        <v>0.39229999999999998</v>
      </c>
      <c r="BK10" s="230">
        <v>17193</v>
      </c>
      <c r="BL10" s="230">
        <v>12745</v>
      </c>
      <c r="BM10" s="230">
        <v>4448</v>
      </c>
      <c r="BN10" s="229">
        <v>0.34899999999999998</v>
      </c>
      <c r="BO10" s="230">
        <v>61861</v>
      </c>
      <c r="BP10" s="230">
        <v>45220</v>
      </c>
      <c r="BQ10" s="230">
        <v>16641</v>
      </c>
      <c r="BR10" s="229">
        <v>0.36799999999999999</v>
      </c>
      <c r="BS10" s="230">
        <v>14753237</v>
      </c>
      <c r="BT10" s="230">
        <v>10034475</v>
      </c>
      <c r="BU10" s="230">
        <v>4718762</v>
      </c>
      <c r="BV10" s="229">
        <v>0.4703</v>
      </c>
      <c r="BW10" s="230">
        <v>109283250</v>
      </c>
      <c r="BX10" s="230">
        <v>110571450</v>
      </c>
      <c r="BY10" s="230">
        <v>-1288200</v>
      </c>
      <c r="BZ10" s="229">
        <v>-1.17E-2</v>
      </c>
      <c r="CA10" s="230">
        <v>102075600</v>
      </c>
      <c r="CB10" s="230">
        <v>103734300</v>
      </c>
      <c r="CC10" s="230">
        <v>-1658700</v>
      </c>
      <c r="CD10" s="229">
        <v>-1.6E-2</v>
      </c>
      <c r="CE10" s="230">
        <v>6044850</v>
      </c>
      <c r="CF10" s="230">
        <v>5848200</v>
      </c>
      <c r="CG10" s="230">
        <v>196650</v>
      </c>
      <c r="CH10" s="229">
        <v>3.3599999999999998E-2</v>
      </c>
      <c r="CI10" s="230">
        <v>1162800</v>
      </c>
      <c r="CJ10" s="230">
        <v>988950</v>
      </c>
      <c r="CK10" s="230">
        <v>173850</v>
      </c>
      <c r="CL10" s="229">
        <v>0.17580000000000001</v>
      </c>
      <c r="CM10" s="230">
        <v>61876350</v>
      </c>
      <c r="CN10" s="230">
        <v>61639800</v>
      </c>
      <c r="CO10" s="230">
        <v>236550</v>
      </c>
      <c r="CP10" s="229">
        <v>3.8E-3</v>
      </c>
      <c r="CQ10" s="230">
        <v>39358500</v>
      </c>
      <c r="CR10" s="230">
        <v>39549450</v>
      </c>
      <c r="CS10" s="230">
        <v>-190950</v>
      </c>
      <c r="CT10" s="229">
        <v>-4.7999999999999996E-3</v>
      </c>
      <c r="CU10" s="230">
        <v>210518100</v>
      </c>
      <c r="CV10" s="230">
        <v>211760700</v>
      </c>
      <c r="CW10" s="230">
        <v>-1242600</v>
      </c>
      <c r="CX10" s="229">
        <v>-5.8999999999999999E-3</v>
      </c>
      <c r="CY10" s="228">
        <v>22.49</v>
      </c>
      <c r="CZ10" s="228">
        <v>23.22</v>
      </c>
      <c r="DA10" s="228">
        <v>-0.73</v>
      </c>
      <c r="DB10" s="228">
        <v>-0.73</v>
      </c>
      <c r="DC10" s="228">
        <v>37.869999999999997</v>
      </c>
      <c r="DD10" s="228">
        <v>37.94</v>
      </c>
      <c r="DE10" s="228">
        <v>-15.38</v>
      </c>
      <c r="DF10" s="228">
        <v>-7.0000000000000007E-2</v>
      </c>
      <c r="DG10" s="228">
        <v>22.62</v>
      </c>
      <c r="DH10" s="228">
        <v>23.15</v>
      </c>
      <c r="DI10" s="228">
        <v>-0.53</v>
      </c>
      <c r="DJ10" s="228">
        <v>-0.53</v>
      </c>
      <c r="DK10" s="228">
        <v>22.22</v>
      </c>
      <c r="DL10" s="228">
        <v>23.35</v>
      </c>
      <c r="DM10" s="228">
        <v>-1.1299999999999999</v>
      </c>
      <c r="DN10" s="228">
        <v>-1.1299999999999999</v>
      </c>
      <c r="DO10" s="228">
        <v>0.64</v>
      </c>
      <c r="DP10" s="228">
        <v>0.64</v>
      </c>
      <c r="DQ10" s="228">
        <v>0</v>
      </c>
      <c r="DR10" s="229">
        <v>0</v>
      </c>
      <c r="DS10" s="228">
        <v>420</v>
      </c>
      <c r="DT10" s="228">
        <v>410</v>
      </c>
      <c r="DU10" s="228">
        <v>0.49</v>
      </c>
      <c r="DV10" s="228">
        <v>0.5</v>
      </c>
      <c r="DW10" s="228">
        <v>-0.01</v>
      </c>
      <c r="DX10" s="229">
        <v>-0.02</v>
      </c>
      <c r="DY10" s="229">
        <v>6.6000000000000003E-2</v>
      </c>
      <c r="DZ10" s="230">
        <v>6837150</v>
      </c>
      <c r="EA10" s="229">
        <v>6.1000000000000004E-3</v>
      </c>
      <c r="EB10" s="229">
        <v>6.6000000000000003E-2</v>
      </c>
      <c r="EC10" s="228">
        <v>2.2999999999999998</v>
      </c>
      <c r="ED10" s="229">
        <v>5.4999999999999997E-3</v>
      </c>
      <c r="EE10" s="230">
        <v>7764795</v>
      </c>
      <c r="EF10" s="230">
        <v>5362559</v>
      </c>
      <c r="EG10" s="229">
        <v>0.44800000000000001</v>
      </c>
      <c r="EH10" s="229">
        <v>0.52629999999999999</v>
      </c>
      <c r="EI10" s="231">
        <v>433073.67</v>
      </c>
      <c r="EJ10" s="231">
        <v>200349.21</v>
      </c>
      <c r="EK10" s="231">
        <v>109452.18</v>
      </c>
      <c r="EL10" s="231">
        <v>7408</v>
      </c>
      <c r="EM10" s="231">
        <v>742875.06</v>
      </c>
      <c r="EN10" s="231">
        <v>536435.99</v>
      </c>
      <c r="EO10" s="231">
        <v>206439.07</v>
      </c>
      <c r="EP10" s="229">
        <v>0.38479999999999998</v>
      </c>
      <c r="EQ10" s="231">
        <v>263044</v>
      </c>
      <c r="ER10" s="231">
        <v>156153</v>
      </c>
      <c r="ES10" s="231">
        <v>453681</v>
      </c>
      <c r="ET10" s="231">
        <v>535778534</v>
      </c>
      <c r="EU10" s="231">
        <v>872878</v>
      </c>
      <c r="EV10" s="231">
        <v>873409</v>
      </c>
      <c r="EW10" s="228">
        <v>-531</v>
      </c>
      <c r="EX10" s="229">
        <v>-5.9999999999999995E-4</v>
      </c>
      <c r="EY10" s="229">
        <v>0.39290000000000003</v>
      </c>
    </row>
    <row r="11" spans="1:155" ht="17.25" thickBot="1" x14ac:dyDescent="0.3">
      <c r="A11" s="226">
        <v>45940</v>
      </c>
      <c r="B11" s="227" t="s">
        <v>188</v>
      </c>
      <c r="C11" s="227" t="s">
        <v>189</v>
      </c>
      <c r="D11" s="231">
        <v>1950.5</v>
      </c>
      <c r="E11" s="231">
        <v>1948.7</v>
      </c>
      <c r="F11" s="228">
        <v>1.8</v>
      </c>
      <c r="G11" s="229">
        <v>8.9999999999999998E-4</v>
      </c>
      <c r="H11" s="231">
        <v>1939.9</v>
      </c>
      <c r="I11" s="231">
        <v>1942</v>
      </c>
      <c r="J11" s="228">
        <v>-2.1</v>
      </c>
      <c r="K11" s="229">
        <v>-1.1000000000000001E-3</v>
      </c>
      <c r="L11" s="231">
        <v>1950.5</v>
      </c>
      <c r="M11" s="231">
        <v>1948.7</v>
      </c>
      <c r="N11" s="228">
        <v>1.8</v>
      </c>
      <c r="O11" s="229">
        <v>8.9999999999999998E-4</v>
      </c>
      <c r="P11" s="231">
        <v>1961.2</v>
      </c>
      <c r="Q11" s="231">
        <v>1960.2</v>
      </c>
      <c r="R11" s="228">
        <v>1</v>
      </c>
      <c r="S11" s="229">
        <v>5.0000000000000001E-4</v>
      </c>
      <c r="T11" s="231">
        <v>1971.3</v>
      </c>
      <c r="U11" s="231">
        <v>1970</v>
      </c>
      <c r="V11" s="228">
        <v>1.3</v>
      </c>
      <c r="W11" s="229">
        <v>6.9999999999999999E-4</v>
      </c>
      <c r="X11" s="228">
        <v>10.6</v>
      </c>
      <c r="Y11" s="228">
        <v>6.7</v>
      </c>
      <c r="Z11" s="228">
        <v>3.9</v>
      </c>
      <c r="AA11" s="229">
        <v>5.4999999999999997E-3</v>
      </c>
      <c r="AB11" s="228">
        <v>10.6</v>
      </c>
      <c r="AC11" s="228">
        <v>6.7</v>
      </c>
      <c r="AD11" s="228">
        <v>3.9</v>
      </c>
      <c r="AE11" s="229">
        <v>5.4999999999999997E-3</v>
      </c>
      <c r="AF11" s="228">
        <v>21.3</v>
      </c>
      <c r="AG11" s="228">
        <v>18.2</v>
      </c>
      <c r="AH11" s="228">
        <v>3.1</v>
      </c>
      <c r="AI11" s="229">
        <v>1.0999999999999999E-2</v>
      </c>
      <c r="AJ11" s="228">
        <v>31.4</v>
      </c>
      <c r="AK11" s="228">
        <v>28</v>
      </c>
      <c r="AL11" s="228">
        <v>3.4</v>
      </c>
      <c r="AM11" s="229">
        <v>1.6199999999999999E-2</v>
      </c>
      <c r="AN11" s="231">
        <v>1951.05</v>
      </c>
      <c r="AO11" s="231">
        <v>1961.69</v>
      </c>
      <c r="AP11" s="228">
        <v>0</v>
      </c>
      <c r="AQ11" s="230">
        <v>9157</v>
      </c>
      <c r="AR11" s="230">
        <v>8661</v>
      </c>
      <c r="AS11" s="228">
        <v>496</v>
      </c>
      <c r="AT11" s="229">
        <v>5.7299999999999997E-2</v>
      </c>
      <c r="AU11" s="230">
        <v>6779</v>
      </c>
      <c r="AV11" s="230">
        <v>8197</v>
      </c>
      <c r="AW11" s="230">
        <v>-1418</v>
      </c>
      <c r="AX11" s="229">
        <v>-0.17299999999999999</v>
      </c>
      <c r="AY11" s="228">
        <v>547</v>
      </c>
      <c r="AZ11" s="228">
        <v>432</v>
      </c>
      <c r="BA11" s="228">
        <v>115</v>
      </c>
      <c r="BB11" s="229">
        <v>0.26619999999999999</v>
      </c>
      <c r="BC11" s="230">
        <v>1831</v>
      </c>
      <c r="BD11" s="228">
        <v>32</v>
      </c>
      <c r="BE11" s="230">
        <v>1799</v>
      </c>
      <c r="BF11" s="229">
        <v>56.218800000000002</v>
      </c>
      <c r="BG11" s="230">
        <v>23239</v>
      </c>
      <c r="BH11" s="230">
        <v>38021</v>
      </c>
      <c r="BI11" s="230">
        <v>-14782</v>
      </c>
      <c r="BJ11" s="229">
        <v>-0.38879999999999998</v>
      </c>
      <c r="BK11" s="230">
        <v>11847</v>
      </c>
      <c r="BL11" s="230">
        <v>19728</v>
      </c>
      <c r="BM11" s="230">
        <v>-7881</v>
      </c>
      <c r="BN11" s="229">
        <v>-0.39950000000000002</v>
      </c>
      <c r="BO11" s="230">
        <v>44243</v>
      </c>
      <c r="BP11" s="230">
        <v>66410</v>
      </c>
      <c r="BQ11" s="230">
        <v>-22167</v>
      </c>
      <c r="BR11" s="229">
        <v>-0.33379999999999999</v>
      </c>
      <c r="BS11" s="230">
        <v>2589697</v>
      </c>
      <c r="BT11" s="230">
        <v>4352327</v>
      </c>
      <c r="BU11" s="230">
        <v>-1762630</v>
      </c>
      <c r="BV11" s="229">
        <v>-0.40500000000000003</v>
      </c>
      <c r="BW11" s="230">
        <v>49790450</v>
      </c>
      <c r="BX11" s="230">
        <v>49104075</v>
      </c>
      <c r="BY11" s="230">
        <v>686375</v>
      </c>
      <c r="BZ11" s="229">
        <v>1.4E-2</v>
      </c>
      <c r="CA11" s="230">
        <v>46668750</v>
      </c>
      <c r="CB11" s="230">
        <v>46921925</v>
      </c>
      <c r="CC11" s="230">
        <v>-253175</v>
      </c>
      <c r="CD11" s="229">
        <v>-5.4000000000000003E-3</v>
      </c>
      <c r="CE11" s="230">
        <v>601350</v>
      </c>
      <c r="CF11" s="230">
        <v>498750</v>
      </c>
      <c r="CG11" s="230">
        <v>102600</v>
      </c>
      <c r="CH11" s="229">
        <v>0.20569999999999999</v>
      </c>
      <c r="CI11" s="230">
        <v>2520350</v>
      </c>
      <c r="CJ11" s="230">
        <v>1683400</v>
      </c>
      <c r="CK11" s="230">
        <v>836950</v>
      </c>
      <c r="CL11" s="229">
        <v>0.49719999999999998</v>
      </c>
      <c r="CM11" s="230">
        <v>12763250</v>
      </c>
      <c r="CN11" s="230">
        <v>11249900</v>
      </c>
      <c r="CO11" s="230">
        <v>1513350</v>
      </c>
      <c r="CP11" s="229">
        <v>0.13450000000000001</v>
      </c>
      <c r="CQ11" s="230">
        <v>6094250</v>
      </c>
      <c r="CR11" s="230">
        <v>5890475</v>
      </c>
      <c r="CS11" s="230">
        <v>203775</v>
      </c>
      <c r="CT11" s="229">
        <v>3.4599999999999999E-2</v>
      </c>
      <c r="CU11" s="230">
        <v>68647950</v>
      </c>
      <c r="CV11" s="230">
        <v>66244450</v>
      </c>
      <c r="CW11" s="230">
        <v>2403500</v>
      </c>
      <c r="CX11" s="229">
        <v>3.6299999999999999E-2</v>
      </c>
      <c r="CY11" s="228">
        <v>14.25</v>
      </c>
      <c r="CZ11" s="228">
        <v>15.07</v>
      </c>
      <c r="DA11" s="228">
        <v>-0.82</v>
      </c>
      <c r="DB11" s="228">
        <v>-0.82</v>
      </c>
      <c r="DC11" s="228">
        <v>24.76</v>
      </c>
      <c r="DD11" s="228">
        <v>24.82</v>
      </c>
      <c r="DE11" s="228">
        <v>-10.51</v>
      </c>
      <c r="DF11" s="228">
        <v>-0.06</v>
      </c>
      <c r="DG11" s="228">
        <v>13.93</v>
      </c>
      <c r="DH11" s="228">
        <v>14.82</v>
      </c>
      <c r="DI11" s="228">
        <v>-0.89</v>
      </c>
      <c r="DJ11" s="228">
        <v>-0.89</v>
      </c>
      <c r="DK11" s="228">
        <v>14.88</v>
      </c>
      <c r="DL11" s="228">
        <v>15.55</v>
      </c>
      <c r="DM11" s="228">
        <v>-0.67</v>
      </c>
      <c r="DN11" s="228">
        <v>-0.67</v>
      </c>
      <c r="DO11" s="228">
        <v>0.48</v>
      </c>
      <c r="DP11" s="228">
        <v>0.52</v>
      </c>
      <c r="DQ11" s="228">
        <v>-0.04</v>
      </c>
      <c r="DR11" s="229">
        <v>-7.6899999999999996E-2</v>
      </c>
      <c r="DS11" s="231">
        <v>1960</v>
      </c>
      <c r="DT11" s="231">
        <v>1900</v>
      </c>
      <c r="DU11" s="228">
        <v>0.51</v>
      </c>
      <c r="DV11" s="228">
        <v>0.52</v>
      </c>
      <c r="DW11" s="228">
        <v>-0.01</v>
      </c>
      <c r="DX11" s="229">
        <v>-1.9199999999999998E-2</v>
      </c>
      <c r="DY11" s="229">
        <v>6.2700000000000006E-2</v>
      </c>
      <c r="DZ11" s="230">
        <v>2182150</v>
      </c>
      <c r="EA11" s="229">
        <v>5.4999999999999997E-3</v>
      </c>
      <c r="EB11" s="229">
        <v>6.2700000000000006E-2</v>
      </c>
      <c r="EC11" s="228">
        <v>10.64</v>
      </c>
      <c r="ED11" s="229">
        <v>5.4999999999999997E-3</v>
      </c>
      <c r="EE11" s="230">
        <v>1725638</v>
      </c>
      <c r="EF11" s="230">
        <v>2480893</v>
      </c>
      <c r="EG11" s="229">
        <v>-0.3044</v>
      </c>
      <c r="EH11" s="229">
        <v>0.6663</v>
      </c>
      <c r="EI11" s="231">
        <v>220029.62</v>
      </c>
      <c r="EJ11" s="231">
        <v>108853.4</v>
      </c>
      <c r="EK11" s="231">
        <v>85085.09</v>
      </c>
      <c r="EL11" s="231">
        <v>12191</v>
      </c>
      <c r="EM11" s="231">
        <v>413968.11</v>
      </c>
      <c r="EN11" s="231">
        <v>622100.98</v>
      </c>
      <c r="EO11" s="231">
        <v>-208132.87</v>
      </c>
      <c r="EP11" s="229">
        <v>-0.33460000000000001</v>
      </c>
      <c r="EQ11" s="231">
        <v>251952</v>
      </c>
      <c r="ER11" s="231">
        <v>114545</v>
      </c>
      <c r="ES11" s="231">
        <v>971751</v>
      </c>
      <c r="ET11" s="231">
        <v>314058656</v>
      </c>
      <c r="EU11" s="231">
        <v>1338248</v>
      </c>
      <c r="EV11" s="231">
        <v>1290073</v>
      </c>
      <c r="EW11" s="231">
        <v>48175</v>
      </c>
      <c r="EX11" s="229">
        <v>3.73E-2</v>
      </c>
      <c r="EY11" s="229">
        <v>0.21859999999999999</v>
      </c>
    </row>
    <row r="12" spans="1:155" ht="17.25" thickBot="1" x14ac:dyDescent="0.3">
      <c r="A12" s="226">
        <v>45940</v>
      </c>
      <c r="B12" s="227" t="s">
        <v>170</v>
      </c>
      <c r="C12" s="227" t="s">
        <v>199</v>
      </c>
      <c r="D12" s="231">
        <v>1572.2</v>
      </c>
      <c r="E12" s="231">
        <v>1517.3</v>
      </c>
      <c r="F12" s="228">
        <v>54.9</v>
      </c>
      <c r="G12" s="229">
        <v>3.6200000000000003E-2</v>
      </c>
      <c r="H12" s="231">
        <v>1561.8</v>
      </c>
      <c r="I12" s="231">
        <v>1513.1</v>
      </c>
      <c r="J12" s="228">
        <v>48.7</v>
      </c>
      <c r="K12" s="229">
        <v>3.2199999999999999E-2</v>
      </c>
      <c r="L12" s="231">
        <v>1572.2</v>
      </c>
      <c r="M12" s="231">
        <v>1517.3</v>
      </c>
      <c r="N12" s="228">
        <v>54.9</v>
      </c>
      <c r="O12" s="229">
        <v>3.6200000000000003E-2</v>
      </c>
      <c r="P12" s="231">
        <v>1581.2</v>
      </c>
      <c r="Q12" s="231">
        <v>1525.8</v>
      </c>
      <c r="R12" s="228">
        <v>55.4</v>
      </c>
      <c r="S12" s="229">
        <v>3.6299999999999999E-2</v>
      </c>
      <c r="T12" s="231">
        <v>1590</v>
      </c>
      <c r="U12" s="231">
        <v>1531.9</v>
      </c>
      <c r="V12" s="228">
        <v>58.1</v>
      </c>
      <c r="W12" s="229">
        <v>3.7900000000000003E-2</v>
      </c>
      <c r="X12" s="228">
        <v>10.4</v>
      </c>
      <c r="Y12" s="228">
        <v>4.2</v>
      </c>
      <c r="Z12" s="228">
        <v>6.2</v>
      </c>
      <c r="AA12" s="229">
        <v>6.7000000000000002E-3</v>
      </c>
      <c r="AB12" s="228">
        <v>10.4</v>
      </c>
      <c r="AC12" s="228">
        <v>4.2</v>
      </c>
      <c r="AD12" s="228">
        <v>6.2</v>
      </c>
      <c r="AE12" s="229">
        <v>6.7000000000000002E-3</v>
      </c>
      <c r="AF12" s="228">
        <v>19.399999999999999</v>
      </c>
      <c r="AG12" s="228">
        <v>12.7</v>
      </c>
      <c r="AH12" s="228">
        <v>6.7</v>
      </c>
      <c r="AI12" s="229">
        <v>1.24E-2</v>
      </c>
      <c r="AJ12" s="228">
        <v>28.2</v>
      </c>
      <c r="AK12" s="228">
        <v>18.8</v>
      </c>
      <c r="AL12" s="228">
        <v>9.4</v>
      </c>
      <c r="AM12" s="229">
        <v>1.8100000000000002E-2</v>
      </c>
      <c r="AN12" s="231">
        <v>1555.19</v>
      </c>
      <c r="AO12" s="231">
        <v>1558.88</v>
      </c>
      <c r="AP12" s="228">
        <v>0</v>
      </c>
      <c r="AQ12" s="230">
        <v>9417</v>
      </c>
      <c r="AR12" s="230">
        <v>3583</v>
      </c>
      <c r="AS12" s="230">
        <v>5834</v>
      </c>
      <c r="AT12" s="229">
        <v>1.6282000000000001</v>
      </c>
      <c r="AU12" s="230">
        <v>8976</v>
      </c>
      <c r="AV12" s="230">
        <v>3445</v>
      </c>
      <c r="AW12" s="230">
        <v>5531</v>
      </c>
      <c r="AX12" s="229">
        <v>1.6054999999999999</v>
      </c>
      <c r="AY12" s="228">
        <v>380</v>
      </c>
      <c r="AZ12" s="228">
        <v>133</v>
      </c>
      <c r="BA12" s="228">
        <v>247</v>
      </c>
      <c r="BB12" s="229">
        <v>1.8571</v>
      </c>
      <c r="BC12" s="228">
        <v>61</v>
      </c>
      <c r="BD12" s="228">
        <v>5</v>
      </c>
      <c r="BE12" s="228">
        <v>56</v>
      </c>
      <c r="BF12" s="229">
        <v>11.2</v>
      </c>
      <c r="BG12" s="230">
        <v>55387</v>
      </c>
      <c r="BH12" s="230">
        <v>13696</v>
      </c>
      <c r="BI12" s="230">
        <v>41691</v>
      </c>
      <c r="BJ12" s="229">
        <v>3.044</v>
      </c>
      <c r="BK12" s="230">
        <v>21107</v>
      </c>
      <c r="BL12" s="230">
        <v>4390</v>
      </c>
      <c r="BM12" s="230">
        <v>16717</v>
      </c>
      <c r="BN12" s="229">
        <v>3.8079999999999998</v>
      </c>
      <c r="BO12" s="230">
        <v>85911</v>
      </c>
      <c r="BP12" s="230">
        <v>21669</v>
      </c>
      <c r="BQ12" s="230">
        <v>64242</v>
      </c>
      <c r="BR12" s="229">
        <v>2.9647000000000001</v>
      </c>
      <c r="BS12" s="230">
        <v>1556526</v>
      </c>
      <c r="BT12" s="230">
        <v>954937</v>
      </c>
      <c r="BU12" s="230">
        <v>601589</v>
      </c>
      <c r="BV12" s="229">
        <v>0.63</v>
      </c>
      <c r="BW12" s="230">
        <v>11117625</v>
      </c>
      <c r="BX12" s="230">
        <v>10803375</v>
      </c>
      <c r="BY12" s="230">
        <v>314250</v>
      </c>
      <c r="BZ12" s="229">
        <v>2.9100000000000001E-2</v>
      </c>
      <c r="CA12" s="230">
        <v>10968750</v>
      </c>
      <c r="CB12" s="230">
        <v>10689750</v>
      </c>
      <c r="CC12" s="230">
        <v>279000</v>
      </c>
      <c r="CD12" s="229">
        <v>2.6100000000000002E-2</v>
      </c>
      <c r="CE12" s="230">
        <v>129000</v>
      </c>
      <c r="CF12" s="230">
        <v>108375</v>
      </c>
      <c r="CG12" s="230">
        <v>20625</v>
      </c>
      <c r="CH12" s="229">
        <v>0.1903</v>
      </c>
      <c r="CI12" s="230">
        <v>19875</v>
      </c>
      <c r="CJ12" s="230">
        <v>5250</v>
      </c>
      <c r="CK12" s="230">
        <v>14625</v>
      </c>
      <c r="CL12" s="229">
        <v>2.7856999999999998</v>
      </c>
      <c r="CM12" s="230">
        <v>4042125</v>
      </c>
      <c r="CN12" s="230">
        <v>3541125</v>
      </c>
      <c r="CO12" s="230">
        <v>501000</v>
      </c>
      <c r="CP12" s="229">
        <v>0.14149999999999999</v>
      </c>
      <c r="CQ12" s="230">
        <v>3231375</v>
      </c>
      <c r="CR12" s="230">
        <v>2017500</v>
      </c>
      <c r="CS12" s="230">
        <v>1213875</v>
      </c>
      <c r="CT12" s="229">
        <v>0.60170000000000001</v>
      </c>
      <c r="CU12" s="230">
        <v>18391125</v>
      </c>
      <c r="CV12" s="230">
        <v>16362000</v>
      </c>
      <c r="CW12" s="230">
        <v>2029125</v>
      </c>
      <c r="CX12" s="229">
        <v>0.124</v>
      </c>
      <c r="CY12" s="228">
        <v>20.309999999999999</v>
      </c>
      <c r="CZ12" s="228">
        <v>18.899999999999999</v>
      </c>
      <c r="DA12" s="228">
        <v>1.41</v>
      </c>
      <c r="DB12" s="228">
        <v>1.41</v>
      </c>
      <c r="DC12" s="228">
        <v>26.49</v>
      </c>
      <c r="DD12" s="228">
        <v>26.21</v>
      </c>
      <c r="DE12" s="228">
        <v>-6.18</v>
      </c>
      <c r="DF12" s="228">
        <v>0.28000000000000003</v>
      </c>
      <c r="DG12" s="228">
        <v>19.829999999999998</v>
      </c>
      <c r="DH12" s="228">
        <v>18.7</v>
      </c>
      <c r="DI12" s="228">
        <v>1.1299999999999999</v>
      </c>
      <c r="DJ12" s="228">
        <v>1.1299999999999999</v>
      </c>
      <c r="DK12" s="228">
        <v>21.56</v>
      </c>
      <c r="DL12" s="228">
        <v>19.55</v>
      </c>
      <c r="DM12" s="228">
        <v>2.0099999999999998</v>
      </c>
      <c r="DN12" s="228">
        <v>2.0099999999999998</v>
      </c>
      <c r="DO12" s="228">
        <v>0.8</v>
      </c>
      <c r="DP12" s="228">
        <v>0.56999999999999995</v>
      </c>
      <c r="DQ12" s="228">
        <v>0.23</v>
      </c>
      <c r="DR12" s="229">
        <v>0.40350000000000003</v>
      </c>
      <c r="DS12" s="231">
        <v>1600</v>
      </c>
      <c r="DT12" s="231">
        <v>1500</v>
      </c>
      <c r="DU12" s="228">
        <v>0.38</v>
      </c>
      <c r="DV12" s="228">
        <v>0.32</v>
      </c>
      <c r="DW12" s="228">
        <v>0.06</v>
      </c>
      <c r="DX12" s="229">
        <v>0.1875</v>
      </c>
      <c r="DY12" s="229">
        <v>1.34E-2</v>
      </c>
      <c r="DZ12" s="230">
        <v>113625</v>
      </c>
      <c r="EA12" s="229">
        <v>5.7000000000000002E-3</v>
      </c>
      <c r="EB12" s="229">
        <v>1.34E-2</v>
      </c>
      <c r="EC12" s="228">
        <v>3.69</v>
      </c>
      <c r="ED12" s="229">
        <v>2.3999999999999998E-3</v>
      </c>
      <c r="EE12" s="230">
        <v>579022</v>
      </c>
      <c r="EF12" s="230">
        <v>503096</v>
      </c>
      <c r="EG12" s="229">
        <v>0.15090000000000001</v>
      </c>
      <c r="EH12" s="229">
        <v>0.372</v>
      </c>
      <c r="EI12" s="231">
        <v>332257.40000000002</v>
      </c>
      <c r="EJ12" s="231">
        <v>119964.86</v>
      </c>
      <c r="EK12" s="231">
        <v>54928.69</v>
      </c>
      <c r="EL12" s="231">
        <v>2664</v>
      </c>
      <c r="EM12" s="231">
        <v>507150.95</v>
      </c>
      <c r="EN12" s="231">
        <v>124930.63</v>
      </c>
      <c r="EO12" s="231">
        <v>382220.32</v>
      </c>
      <c r="EP12" s="229">
        <v>3.0594999999999999</v>
      </c>
      <c r="EQ12" s="231">
        <v>64750</v>
      </c>
      <c r="ER12" s="231">
        <v>47389</v>
      </c>
      <c r="ES12" s="231">
        <v>174806</v>
      </c>
      <c r="ET12" s="231">
        <v>57073940</v>
      </c>
      <c r="EU12" s="231">
        <v>286946</v>
      </c>
      <c r="EV12" s="231">
        <v>249523</v>
      </c>
      <c r="EW12" s="231">
        <v>37423</v>
      </c>
      <c r="EX12" s="229">
        <v>0.15</v>
      </c>
      <c r="EY12" s="229">
        <v>0.32219999999999999</v>
      </c>
    </row>
    <row r="13" spans="1:155" ht="17.25" thickBot="1" x14ac:dyDescent="0.3">
      <c r="A13" s="226">
        <v>45940</v>
      </c>
      <c r="B13" s="227" t="s">
        <v>227</v>
      </c>
      <c r="C13" s="227" t="s">
        <v>200</v>
      </c>
      <c r="D13" s="228">
        <v>385.7</v>
      </c>
      <c r="E13" s="228">
        <v>385.45</v>
      </c>
      <c r="F13" s="228">
        <v>0.25</v>
      </c>
      <c r="G13" s="229">
        <v>5.9999999999999995E-4</v>
      </c>
      <c r="H13" s="228">
        <v>384.5</v>
      </c>
      <c r="I13" s="228">
        <v>383.35</v>
      </c>
      <c r="J13" s="228">
        <v>1.1499999999999999</v>
      </c>
      <c r="K13" s="229">
        <v>3.0000000000000001E-3</v>
      </c>
      <c r="L13" s="228">
        <v>385.7</v>
      </c>
      <c r="M13" s="228">
        <v>385.45</v>
      </c>
      <c r="N13" s="228">
        <v>0.25</v>
      </c>
      <c r="O13" s="229">
        <v>5.9999999999999995E-4</v>
      </c>
      <c r="P13" s="228">
        <v>386.7</v>
      </c>
      <c r="Q13" s="228">
        <v>386.65</v>
      </c>
      <c r="R13" s="228">
        <v>0.05</v>
      </c>
      <c r="S13" s="229">
        <v>1E-4</v>
      </c>
      <c r="T13" s="228">
        <v>389.3</v>
      </c>
      <c r="U13" s="228">
        <v>389.1</v>
      </c>
      <c r="V13" s="228">
        <v>0.2</v>
      </c>
      <c r="W13" s="229">
        <v>5.0000000000000001E-4</v>
      </c>
      <c r="X13" s="228">
        <v>1.2</v>
      </c>
      <c r="Y13" s="228">
        <v>2.1</v>
      </c>
      <c r="Z13" s="228">
        <v>-0.9</v>
      </c>
      <c r="AA13" s="229">
        <v>3.0999999999999999E-3</v>
      </c>
      <c r="AB13" s="228">
        <v>1.2</v>
      </c>
      <c r="AC13" s="228">
        <v>2.1</v>
      </c>
      <c r="AD13" s="228">
        <v>-0.9</v>
      </c>
      <c r="AE13" s="229">
        <v>3.0999999999999999E-3</v>
      </c>
      <c r="AF13" s="228">
        <v>2.2000000000000002</v>
      </c>
      <c r="AG13" s="228">
        <v>3.3</v>
      </c>
      <c r="AH13" s="228">
        <v>-1.1000000000000001</v>
      </c>
      <c r="AI13" s="229">
        <v>5.7000000000000002E-3</v>
      </c>
      <c r="AJ13" s="228">
        <v>4.8</v>
      </c>
      <c r="AK13" s="228">
        <v>5.75</v>
      </c>
      <c r="AL13" s="228">
        <v>-0.95</v>
      </c>
      <c r="AM13" s="229">
        <v>1.2500000000000001E-2</v>
      </c>
      <c r="AN13" s="228">
        <v>386.48</v>
      </c>
      <c r="AO13" s="228">
        <v>387.17</v>
      </c>
      <c r="AP13" s="228">
        <v>0</v>
      </c>
      <c r="AQ13" s="230">
        <v>4197</v>
      </c>
      <c r="AR13" s="230">
        <v>3863</v>
      </c>
      <c r="AS13" s="228">
        <v>334</v>
      </c>
      <c r="AT13" s="229">
        <v>8.6499999999999994E-2</v>
      </c>
      <c r="AU13" s="230">
        <v>3415</v>
      </c>
      <c r="AV13" s="230">
        <v>3390</v>
      </c>
      <c r="AW13" s="228">
        <v>25</v>
      </c>
      <c r="AX13" s="229">
        <v>7.4000000000000003E-3</v>
      </c>
      <c r="AY13" s="228">
        <v>659</v>
      </c>
      <c r="AZ13" s="228">
        <v>357</v>
      </c>
      <c r="BA13" s="228">
        <v>302</v>
      </c>
      <c r="BB13" s="229">
        <v>0.84589999999999999</v>
      </c>
      <c r="BC13" s="228">
        <v>123</v>
      </c>
      <c r="BD13" s="228">
        <v>116</v>
      </c>
      <c r="BE13" s="228">
        <v>7</v>
      </c>
      <c r="BF13" s="229">
        <v>6.0299999999999999E-2</v>
      </c>
      <c r="BG13" s="230">
        <v>12488</v>
      </c>
      <c r="BH13" s="230">
        <v>14734</v>
      </c>
      <c r="BI13" s="230">
        <v>-2246</v>
      </c>
      <c r="BJ13" s="229">
        <v>-0.15240000000000001</v>
      </c>
      <c r="BK13" s="230">
        <v>5811</v>
      </c>
      <c r="BL13" s="230">
        <v>6676</v>
      </c>
      <c r="BM13" s="228">
        <v>-865</v>
      </c>
      <c r="BN13" s="229">
        <v>-0.12959999999999999</v>
      </c>
      <c r="BO13" s="230">
        <v>22496</v>
      </c>
      <c r="BP13" s="230">
        <v>25273</v>
      </c>
      <c r="BQ13" s="230">
        <v>-2777</v>
      </c>
      <c r="BR13" s="229">
        <v>-0.1099</v>
      </c>
      <c r="BS13" s="230">
        <v>5520794</v>
      </c>
      <c r="BT13" s="230">
        <v>5021808</v>
      </c>
      <c r="BU13" s="230">
        <v>498986</v>
      </c>
      <c r="BV13" s="229">
        <v>9.9400000000000002E-2</v>
      </c>
      <c r="BW13" s="230">
        <v>70777800</v>
      </c>
      <c r="BX13" s="230">
        <v>69962400</v>
      </c>
      <c r="BY13" s="230">
        <v>815400</v>
      </c>
      <c r="BZ13" s="229">
        <v>1.17E-2</v>
      </c>
      <c r="CA13" s="230">
        <v>68196600</v>
      </c>
      <c r="CB13" s="230">
        <v>67805100</v>
      </c>
      <c r="CC13" s="230">
        <v>391500</v>
      </c>
      <c r="CD13" s="229">
        <v>5.7999999999999996E-3</v>
      </c>
      <c r="CE13" s="230">
        <v>2172150</v>
      </c>
      <c r="CF13" s="230">
        <v>1844100</v>
      </c>
      <c r="CG13" s="230">
        <v>328050</v>
      </c>
      <c r="CH13" s="229">
        <v>0.1779</v>
      </c>
      <c r="CI13" s="230">
        <v>409050</v>
      </c>
      <c r="CJ13" s="230">
        <v>313200</v>
      </c>
      <c r="CK13" s="230">
        <v>95850</v>
      </c>
      <c r="CL13" s="229">
        <v>0.30599999999999999</v>
      </c>
      <c r="CM13" s="230">
        <v>29917350</v>
      </c>
      <c r="CN13" s="230">
        <v>28525500</v>
      </c>
      <c r="CO13" s="230">
        <v>1391850</v>
      </c>
      <c r="CP13" s="229">
        <v>4.8800000000000003E-2</v>
      </c>
      <c r="CQ13" s="230">
        <v>19711350</v>
      </c>
      <c r="CR13" s="230">
        <v>19110600</v>
      </c>
      <c r="CS13" s="230">
        <v>600750</v>
      </c>
      <c r="CT13" s="229">
        <v>3.1399999999999997E-2</v>
      </c>
      <c r="CU13" s="230">
        <v>120406500</v>
      </c>
      <c r="CV13" s="230">
        <v>117598500</v>
      </c>
      <c r="CW13" s="230">
        <v>2808000</v>
      </c>
      <c r="CX13" s="229">
        <v>2.3900000000000001E-2</v>
      </c>
      <c r="CY13" s="228">
        <v>18.04</v>
      </c>
      <c r="CZ13" s="228">
        <v>17.68</v>
      </c>
      <c r="DA13" s="228">
        <v>0.36</v>
      </c>
      <c r="DB13" s="228">
        <v>0.36</v>
      </c>
      <c r="DC13" s="228">
        <v>29.03</v>
      </c>
      <c r="DD13" s="228">
        <v>29.1</v>
      </c>
      <c r="DE13" s="228">
        <v>-10.99</v>
      </c>
      <c r="DF13" s="228">
        <v>-7.0000000000000007E-2</v>
      </c>
      <c r="DG13" s="228">
        <v>18.14</v>
      </c>
      <c r="DH13" s="228">
        <v>17.8</v>
      </c>
      <c r="DI13" s="228">
        <v>0.34</v>
      </c>
      <c r="DJ13" s="228">
        <v>0.34</v>
      </c>
      <c r="DK13" s="228">
        <v>17.84</v>
      </c>
      <c r="DL13" s="228">
        <v>17.43</v>
      </c>
      <c r="DM13" s="228">
        <v>0.41</v>
      </c>
      <c r="DN13" s="228">
        <v>0.41</v>
      </c>
      <c r="DO13" s="228">
        <v>0.66</v>
      </c>
      <c r="DP13" s="228">
        <v>0.67</v>
      </c>
      <c r="DQ13" s="228">
        <v>-0.01</v>
      </c>
      <c r="DR13" s="229">
        <v>-1.49E-2</v>
      </c>
      <c r="DS13" s="228">
        <v>395</v>
      </c>
      <c r="DT13" s="228">
        <v>380</v>
      </c>
      <c r="DU13" s="228">
        <v>0.47</v>
      </c>
      <c r="DV13" s="228">
        <v>0.45</v>
      </c>
      <c r="DW13" s="228">
        <v>0.02</v>
      </c>
      <c r="DX13" s="229">
        <v>4.4400000000000002E-2</v>
      </c>
      <c r="DY13" s="229">
        <v>3.6499999999999998E-2</v>
      </c>
      <c r="DZ13" s="230">
        <v>2157300</v>
      </c>
      <c r="EA13" s="229">
        <v>2.5999999999999999E-3</v>
      </c>
      <c r="EB13" s="229">
        <v>3.6499999999999998E-2</v>
      </c>
      <c r="EC13" s="228">
        <v>0.69</v>
      </c>
      <c r="ED13" s="229">
        <v>1.8E-3</v>
      </c>
      <c r="EE13" s="230">
        <v>3648570</v>
      </c>
      <c r="EF13" s="230">
        <v>3258150</v>
      </c>
      <c r="EG13" s="229">
        <v>0.1198</v>
      </c>
      <c r="EH13" s="229">
        <v>0.66090000000000004</v>
      </c>
      <c r="EI13" s="231">
        <v>67123.94</v>
      </c>
      <c r="EJ13" s="231">
        <v>30313.9</v>
      </c>
      <c r="EK13" s="231">
        <v>21909.42</v>
      </c>
      <c r="EL13" s="231">
        <v>5465</v>
      </c>
      <c r="EM13" s="231">
        <v>119347.26</v>
      </c>
      <c r="EN13" s="231">
        <v>133634.41</v>
      </c>
      <c r="EO13" s="231">
        <v>-14287.15</v>
      </c>
      <c r="EP13" s="229">
        <v>-0.1069</v>
      </c>
      <c r="EQ13" s="231">
        <v>120452</v>
      </c>
      <c r="ER13" s="231">
        <v>76954</v>
      </c>
      <c r="ES13" s="231">
        <v>273026</v>
      </c>
      <c r="ET13" s="231">
        <v>227199238</v>
      </c>
      <c r="EU13" s="231">
        <v>470432</v>
      </c>
      <c r="EV13" s="231">
        <v>459250</v>
      </c>
      <c r="EW13" s="231">
        <v>11182</v>
      </c>
      <c r="EX13" s="229">
        <v>2.4299999999999999E-2</v>
      </c>
      <c r="EY13" s="229">
        <v>0.53</v>
      </c>
    </row>
    <row r="14" spans="1:155" ht="17.25" thickBot="1" x14ac:dyDescent="0.3">
      <c r="A14" s="226">
        <v>45940</v>
      </c>
      <c r="B14" s="227" t="s">
        <v>170</v>
      </c>
      <c r="C14" s="227" t="s">
        <v>208</v>
      </c>
      <c r="D14" s="231">
        <v>1270.9000000000001</v>
      </c>
      <c r="E14" s="231">
        <v>1252.9000000000001</v>
      </c>
      <c r="F14" s="228">
        <v>18</v>
      </c>
      <c r="G14" s="229">
        <v>1.44E-2</v>
      </c>
      <c r="H14" s="231">
        <v>1264.4000000000001</v>
      </c>
      <c r="I14" s="231">
        <v>1246.0999999999999</v>
      </c>
      <c r="J14" s="228">
        <v>18.3</v>
      </c>
      <c r="K14" s="229">
        <v>1.47E-2</v>
      </c>
      <c r="L14" s="231">
        <v>1270.9000000000001</v>
      </c>
      <c r="M14" s="231">
        <v>1252.9000000000001</v>
      </c>
      <c r="N14" s="228">
        <v>18</v>
      </c>
      <c r="O14" s="229">
        <v>1.44E-2</v>
      </c>
      <c r="P14" s="231">
        <v>1274.5999999999999</v>
      </c>
      <c r="Q14" s="231">
        <v>1256.4000000000001</v>
      </c>
      <c r="R14" s="228">
        <v>18.2</v>
      </c>
      <c r="S14" s="229">
        <v>1.4500000000000001E-2</v>
      </c>
      <c r="T14" s="231">
        <v>1279.2</v>
      </c>
      <c r="U14" s="231">
        <v>1257.8</v>
      </c>
      <c r="V14" s="228">
        <v>21.4</v>
      </c>
      <c r="W14" s="229">
        <v>1.7000000000000001E-2</v>
      </c>
      <c r="X14" s="228">
        <v>6.5</v>
      </c>
      <c r="Y14" s="228">
        <v>6.8</v>
      </c>
      <c r="Z14" s="228">
        <v>-0.3</v>
      </c>
      <c r="AA14" s="229">
        <v>5.1000000000000004E-3</v>
      </c>
      <c r="AB14" s="228">
        <v>6.5</v>
      </c>
      <c r="AC14" s="228">
        <v>6.8</v>
      </c>
      <c r="AD14" s="228">
        <v>-0.3</v>
      </c>
      <c r="AE14" s="229">
        <v>5.1000000000000004E-3</v>
      </c>
      <c r="AF14" s="228">
        <v>10.199999999999999</v>
      </c>
      <c r="AG14" s="228">
        <v>10.3</v>
      </c>
      <c r="AH14" s="228">
        <v>-0.1</v>
      </c>
      <c r="AI14" s="229">
        <v>8.0999999999999996E-3</v>
      </c>
      <c r="AJ14" s="228">
        <v>14.8</v>
      </c>
      <c r="AK14" s="228">
        <v>11.7</v>
      </c>
      <c r="AL14" s="228">
        <v>3.1</v>
      </c>
      <c r="AM14" s="229">
        <v>1.17E-2</v>
      </c>
      <c r="AN14" s="231">
        <v>1266.72</v>
      </c>
      <c r="AO14" s="231">
        <v>1271.6600000000001</v>
      </c>
      <c r="AP14" s="228">
        <v>0</v>
      </c>
      <c r="AQ14" s="230">
        <v>3862</v>
      </c>
      <c r="AR14" s="230">
        <v>5137</v>
      </c>
      <c r="AS14" s="230">
        <v>-1275</v>
      </c>
      <c r="AT14" s="229">
        <v>-0.2482</v>
      </c>
      <c r="AU14" s="230">
        <v>3638</v>
      </c>
      <c r="AV14" s="230">
        <v>4837</v>
      </c>
      <c r="AW14" s="230">
        <v>-1199</v>
      </c>
      <c r="AX14" s="229">
        <v>-0.24790000000000001</v>
      </c>
      <c r="AY14" s="228">
        <v>186</v>
      </c>
      <c r="AZ14" s="228">
        <v>293</v>
      </c>
      <c r="BA14" s="228">
        <v>-107</v>
      </c>
      <c r="BB14" s="229">
        <v>-0.36520000000000002</v>
      </c>
      <c r="BC14" s="228">
        <v>38</v>
      </c>
      <c r="BD14" s="228">
        <v>7</v>
      </c>
      <c r="BE14" s="228">
        <v>31</v>
      </c>
      <c r="BF14" s="229">
        <v>4.4286000000000003</v>
      </c>
      <c r="BG14" s="230">
        <v>12318</v>
      </c>
      <c r="BH14" s="230">
        <v>21901</v>
      </c>
      <c r="BI14" s="230">
        <v>-9583</v>
      </c>
      <c r="BJ14" s="229">
        <v>-0.43759999999999999</v>
      </c>
      <c r="BK14" s="230">
        <v>4386</v>
      </c>
      <c r="BL14" s="230">
        <v>6090</v>
      </c>
      <c r="BM14" s="230">
        <v>-1704</v>
      </c>
      <c r="BN14" s="229">
        <v>-0.27979999999999999</v>
      </c>
      <c r="BO14" s="230">
        <v>20566</v>
      </c>
      <c r="BP14" s="230">
        <v>33128</v>
      </c>
      <c r="BQ14" s="230">
        <v>-12562</v>
      </c>
      <c r="BR14" s="229">
        <v>-0.37919999999999998</v>
      </c>
      <c r="BS14" s="230">
        <v>1724902</v>
      </c>
      <c r="BT14" s="230">
        <v>2789764</v>
      </c>
      <c r="BU14" s="230">
        <v>-1064862</v>
      </c>
      <c r="BV14" s="229">
        <v>-0.38169999999999998</v>
      </c>
      <c r="BW14" s="230">
        <v>12598750</v>
      </c>
      <c r="BX14" s="230">
        <v>12480000</v>
      </c>
      <c r="BY14" s="230">
        <v>118750</v>
      </c>
      <c r="BZ14" s="229">
        <v>9.4999999999999998E-3</v>
      </c>
      <c r="CA14" s="230">
        <v>12370625</v>
      </c>
      <c r="CB14" s="230">
        <v>12285000</v>
      </c>
      <c r="CC14" s="230">
        <v>85625</v>
      </c>
      <c r="CD14" s="229">
        <v>7.0000000000000001E-3</v>
      </c>
      <c r="CE14" s="230">
        <v>200625</v>
      </c>
      <c r="CF14" s="230">
        <v>184375</v>
      </c>
      <c r="CG14" s="230">
        <v>16250</v>
      </c>
      <c r="CH14" s="229">
        <v>8.8099999999999998E-2</v>
      </c>
      <c r="CI14" s="230">
        <v>27500</v>
      </c>
      <c r="CJ14" s="230">
        <v>10625</v>
      </c>
      <c r="CK14" s="230">
        <v>16875</v>
      </c>
      <c r="CL14" s="229">
        <v>1.5882000000000001</v>
      </c>
      <c r="CM14" s="230">
        <v>5405625</v>
      </c>
      <c r="CN14" s="230">
        <v>5571250</v>
      </c>
      <c r="CO14" s="230">
        <v>-165625</v>
      </c>
      <c r="CP14" s="229">
        <v>-2.9700000000000001E-2</v>
      </c>
      <c r="CQ14" s="230">
        <v>3009375</v>
      </c>
      <c r="CR14" s="230">
        <v>3062500</v>
      </c>
      <c r="CS14" s="230">
        <v>-53125</v>
      </c>
      <c r="CT14" s="229">
        <v>-1.7299999999999999E-2</v>
      </c>
      <c r="CU14" s="230">
        <v>21013750</v>
      </c>
      <c r="CV14" s="230">
        <v>21113750</v>
      </c>
      <c r="CW14" s="230">
        <v>-100000</v>
      </c>
      <c r="CX14" s="229">
        <v>-4.7000000000000002E-3</v>
      </c>
      <c r="CY14" s="228">
        <v>21.7</v>
      </c>
      <c r="CZ14" s="228">
        <v>23.06</v>
      </c>
      <c r="DA14" s="228">
        <v>-1.36</v>
      </c>
      <c r="DB14" s="228">
        <v>-1.36</v>
      </c>
      <c r="DC14" s="228">
        <v>24.85</v>
      </c>
      <c r="DD14" s="228">
        <v>24.83</v>
      </c>
      <c r="DE14" s="228">
        <v>-3.15</v>
      </c>
      <c r="DF14" s="228">
        <v>0.02</v>
      </c>
      <c r="DG14" s="228">
        <v>21.19</v>
      </c>
      <c r="DH14" s="228">
        <v>22.69</v>
      </c>
      <c r="DI14" s="228">
        <v>-1.5</v>
      </c>
      <c r="DJ14" s="228">
        <v>-1.5</v>
      </c>
      <c r="DK14" s="228">
        <v>23.15</v>
      </c>
      <c r="DL14" s="228">
        <v>24.41</v>
      </c>
      <c r="DM14" s="228">
        <v>-1.26</v>
      </c>
      <c r="DN14" s="228">
        <v>-1.26</v>
      </c>
      <c r="DO14" s="228">
        <v>0.56000000000000005</v>
      </c>
      <c r="DP14" s="228">
        <v>0.55000000000000004</v>
      </c>
      <c r="DQ14" s="228">
        <v>0.01</v>
      </c>
      <c r="DR14" s="229">
        <v>1.8200000000000001E-2</v>
      </c>
      <c r="DS14" s="231">
        <v>1320</v>
      </c>
      <c r="DT14" s="231">
        <v>1250</v>
      </c>
      <c r="DU14" s="228">
        <v>0.36</v>
      </c>
      <c r="DV14" s="228">
        <v>0.28000000000000003</v>
      </c>
      <c r="DW14" s="228">
        <v>0.08</v>
      </c>
      <c r="DX14" s="229">
        <v>0.28570000000000001</v>
      </c>
      <c r="DY14" s="229">
        <v>1.8100000000000002E-2</v>
      </c>
      <c r="DZ14" s="230">
        <v>195000</v>
      </c>
      <c r="EA14" s="229">
        <v>2.8999999999999998E-3</v>
      </c>
      <c r="EB14" s="229">
        <v>1.8100000000000002E-2</v>
      </c>
      <c r="EC14" s="228">
        <v>4.9400000000000004</v>
      </c>
      <c r="ED14" s="229">
        <v>3.8999999999999998E-3</v>
      </c>
      <c r="EE14" s="230">
        <v>985592</v>
      </c>
      <c r="EF14" s="230">
        <v>1564596</v>
      </c>
      <c r="EG14" s="229">
        <v>-0.37009999999999998</v>
      </c>
      <c r="EH14" s="229">
        <v>0.57140000000000002</v>
      </c>
      <c r="EI14" s="231">
        <v>100386.68</v>
      </c>
      <c r="EJ14" s="231">
        <v>34436.82</v>
      </c>
      <c r="EK14" s="231">
        <v>30583.63</v>
      </c>
      <c r="EL14" s="231">
        <v>2936</v>
      </c>
      <c r="EM14" s="231">
        <v>165407.13</v>
      </c>
      <c r="EN14" s="231">
        <v>266510.09000000003</v>
      </c>
      <c r="EO14" s="231">
        <v>-101102.96</v>
      </c>
      <c r="EP14" s="229">
        <v>-0.37940000000000002</v>
      </c>
      <c r="EQ14" s="231">
        <v>71135</v>
      </c>
      <c r="ER14" s="231">
        <v>36564</v>
      </c>
      <c r="ES14" s="231">
        <v>160127</v>
      </c>
      <c r="ET14" s="231">
        <v>61006521</v>
      </c>
      <c r="EU14" s="231">
        <v>267826</v>
      </c>
      <c r="EV14" s="231">
        <v>266602</v>
      </c>
      <c r="EW14" s="231">
        <v>1224</v>
      </c>
      <c r="EX14" s="229">
        <v>4.5999999999999999E-3</v>
      </c>
      <c r="EY14" s="229">
        <v>0.34449999999999997</v>
      </c>
    </row>
    <row r="15" spans="1:155" ht="17.25" thickBot="1" x14ac:dyDescent="0.3">
      <c r="A15" s="226">
        <v>45940</v>
      </c>
      <c r="B15" s="227" t="s">
        <v>162</v>
      </c>
      <c r="C15" s="227" t="s">
        <v>209</v>
      </c>
      <c r="D15" s="231">
        <v>6984</v>
      </c>
      <c r="E15" s="231">
        <v>6914.5</v>
      </c>
      <c r="F15" s="228">
        <v>69.5</v>
      </c>
      <c r="G15" s="229">
        <v>1.01E-2</v>
      </c>
      <c r="H15" s="231">
        <v>6965</v>
      </c>
      <c r="I15" s="231">
        <v>6896.5</v>
      </c>
      <c r="J15" s="228">
        <v>68.5</v>
      </c>
      <c r="K15" s="229">
        <v>9.9000000000000008E-3</v>
      </c>
      <c r="L15" s="231">
        <v>6984</v>
      </c>
      <c r="M15" s="231">
        <v>6914.5</v>
      </c>
      <c r="N15" s="228">
        <v>69.5</v>
      </c>
      <c r="O15" s="229">
        <v>1.01E-2</v>
      </c>
      <c r="P15" s="231">
        <v>7019</v>
      </c>
      <c r="Q15" s="231">
        <v>6951</v>
      </c>
      <c r="R15" s="228">
        <v>68</v>
      </c>
      <c r="S15" s="229">
        <v>9.7999999999999997E-3</v>
      </c>
      <c r="T15" s="231">
        <v>7059</v>
      </c>
      <c r="U15" s="231">
        <v>6962</v>
      </c>
      <c r="V15" s="228">
        <v>97</v>
      </c>
      <c r="W15" s="229">
        <v>1.3899999999999999E-2</v>
      </c>
      <c r="X15" s="228">
        <v>19</v>
      </c>
      <c r="Y15" s="228">
        <v>18</v>
      </c>
      <c r="Z15" s="228">
        <v>1</v>
      </c>
      <c r="AA15" s="229">
        <v>2.7000000000000001E-3</v>
      </c>
      <c r="AB15" s="228">
        <v>19</v>
      </c>
      <c r="AC15" s="228">
        <v>18</v>
      </c>
      <c r="AD15" s="228">
        <v>1</v>
      </c>
      <c r="AE15" s="229">
        <v>2.7000000000000001E-3</v>
      </c>
      <c r="AF15" s="228">
        <v>54</v>
      </c>
      <c r="AG15" s="228">
        <v>54.5</v>
      </c>
      <c r="AH15" s="228">
        <v>-0.5</v>
      </c>
      <c r="AI15" s="229">
        <v>7.7999999999999996E-3</v>
      </c>
      <c r="AJ15" s="228">
        <v>94</v>
      </c>
      <c r="AK15" s="228">
        <v>65.5</v>
      </c>
      <c r="AL15" s="228">
        <v>28.5</v>
      </c>
      <c r="AM15" s="229">
        <v>1.35E-2</v>
      </c>
      <c r="AN15" s="231">
        <v>6972.98</v>
      </c>
      <c r="AO15" s="231">
        <v>7001.63</v>
      </c>
      <c r="AP15" s="228">
        <v>0</v>
      </c>
      <c r="AQ15" s="230">
        <v>2954</v>
      </c>
      <c r="AR15" s="230">
        <v>3885</v>
      </c>
      <c r="AS15" s="228">
        <v>-931</v>
      </c>
      <c r="AT15" s="229">
        <v>-0.23960000000000001</v>
      </c>
      <c r="AU15" s="230">
        <v>2801</v>
      </c>
      <c r="AV15" s="230">
        <v>3676</v>
      </c>
      <c r="AW15" s="228">
        <v>-875</v>
      </c>
      <c r="AX15" s="229">
        <v>-0.23799999999999999</v>
      </c>
      <c r="AY15" s="228">
        <v>109</v>
      </c>
      <c r="AZ15" s="228">
        <v>184</v>
      </c>
      <c r="BA15" s="228">
        <v>-75</v>
      </c>
      <c r="BB15" s="229">
        <v>-0.40760000000000002</v>
      </c>
      <c r="BC15" s="228">
        <v>44</v>
      </c>
      <c r="BD15" s="228">
        <v>25</v>
      </c>
      <c r="BE15" s="228">
        <v>19</v>
      </c>
      <c r="BF15" s="229">
        <v>0.76</v>
      </c>
      <c r="BG15" s="230">
        <v>11527</v>
      </c>
      <c r="BH15" s="230">
        <v>13615</v>
      </c>
      <c r="BI15" s="230">
        <v>-2088</v>
      </c>
      <c r="BJ15" s="229">
        <v>-0.15340000000000001</v>
      </c>
      <c r="BK15" s="230">
        <v>6585</v>
      </c>
      <c r="BL15" s="230">
        <v>10519</v>
      </c>
      <c r="BM15" s="230">
        <v>-3934</v>
      </c>
      <c r="BN15" s="229">
        <v>-0.374</v>
      </c>
      <c r="BO15" s="230">
        <v>21066</v>
      </c>
      <c r="BP15" s="230">
        <v>28019</v>
      </c>
      <c r="BQ15" s="230">
        <v>-6953</v>
      </c>
      <c r="BR15" s="229">
        <v>-0.2482</v>
      </c>
      <c r="BS15" s="230">
        <v>288207</v>
      </c>
      <c r="BT15" s="230">
        <v>410169</v>
      </c>
      <c r="BU15" s="230">
        <v>-121962</v>
      </c>
      <c r="BV15" s="229">
        <v>-0.29730000000000001</v>
      </c>
      <c r="BW15" s="230">
        <v>3494225</v>
      </c>
      <c r="BX15" s="230">
        <v>3450475</v>
      </c>
      <c r="BY15" s="230">
        <v>43750</v>
      </c>
      <c r="BZ15" s="229">
        <v>1.2699999999999999E-2</v>
      </c>
      <c r="CA15" s="230">
        <v>3409000</v>
      </c>
      <c r="CB15" s="230">
        <v>3377150</v>
      </c>
      <c r="CC15" s="230">
        <v>31850</v>
      </c>
      <c r="CD15" s="229">
        <v>9.4000000000000004E-3</v>
      </c>
      <c r="CE15" s="230">
        <v>68775</v>
      </c>
      <c r="CF15" s="230">
        <v>61775</v>
      </c>
      <c r="CG15" s="230">
        <v>7000</v>
      </c>
      <c r="CH15" s="229">
        <v>0.1133</v>
      </c>
      <c r="CI15" s="230">
        <v>16450</v>
      </c>
      <c r="CJ15" s="230">
        <v>11550</v>
      </c>
      <c r="CK15" s="230">
        <v>4900</v>
      </c>
      <c r="CL15" s="229">
        <v>0.42420000000000002</v>
      </c>
      <c r="CM15" s="230">
        <v>1846600</v>
      </c>
      <c r="CN15" s="230">
        <v>1877750</v>
      </c>
      <c r="CO15" s="230">
        <v>-31150</v>
      </c>
      <c r="CP15" s="229">
        <v>-1.66E-2</v>
      </c>
      <c r="CQ15" s="230">
        <v>1441300</v>
      </c>
      <c r="CR15" s="230">
        <v>1416450</v>
      </c>
      <c r="CS15" s="230">
        <v>24850</v>
      </c>
      <c r="CT15" s="229">
        <v>1.7500000000000002E-2</v>
      </c>
      <c r="CU15" s="230">
        <v>6782125</v>
      </c>
      <c r="CV15" s="230">
        <v>6744675</v>
      </c>
      <c r="CW15" s="230">
        <v>37450</v>
      </c>
      <c r="CX15" s="229">
        <v>5.5999999999999999E-3</v>
      </c>
      <c r="CY15" s="228">
        <v>19.63</v>
      </c>
      <c r="CZ15" s="228">
        <v>20.55</v>
      </c>
      <c r="DA15" s="228">
        <v>-0.92</v>
      </c>
      <c r="DB15" s="228">
        <v>-0.92</v>
      </c>
      <c r="DC15" s="228">
        <v>28.21</v>
      </c>
      <c r="DD15" s="228">
        <v>28.25</v>
      </c>
      <c r="DE15" s="228">
        <v>-8.58</v>
      </c>
      <c r="DF15" s="228">
        <v>-0.04</v>
      </c>
      <c r="DG15" s="228">
        <v>19.43</v>
      </c>
      <c r="DH15" s="228">
        <v>20.440000000000001</v>
      </c>
      <c r="DI15" s="228">
        <v>-1.01</v>
      </c>
      <c r="DJ15" s="228">
        <v>-1.01</v>
      </c>
      <c r="DK15" s="228">
        <v>19.97</v>
      </c>
      <c r="DL15" s="228">
        <v>20.68</v>
      </c>
      <c r="DM15" s="228">
        <v>-0.71</v>
      </c>
      <c r="DN15" s="228">
        <v>-0.71</v>
      </c>
      <c r="DO15" s="228">
        <v>0.78</v>
      </c>
      <c r="DP15" s="228">
        <v>0.75</v>
      </c>
      <c r="DQ15" s="228">
        <v>0.03</v>
      </c>
      <c r="DR15" s="229">
        <v>0.04</v>
      </c>
      <c r="DS15" s="231">
        <v>7000</v>
      </c>
      <c r="DT15" s="231">
        <v>6500</v>
      </c>
      <c r="DU15" s="228">
        <v>0.56999999999999995</v>
      </c>
      <c r="DV15" s="228">
        <v>0.77</v>
      </c>
      <c r="DW15" s="228">
        <v>-0.2</v>
      </c>
      <c r="DX15" s="229">
        <v>-0.25969999999999999</v>
      </c>
      <c r="DY15" s="229">
        <v>2.4400000000000002E-2</v>
      </c>
      <c r="DZ15" s="230">
        <v>73325</v>
      </c>
      <c r="EA15" s="229">
        <v>5.0000000000000001E-3</v>
      </c>
      <c r="EB15" s="229">
        <v>2.4400000000000002E-2</v>
      </c>
      <c r="EC15" s="228">
        <v>28.65</v>
      </c>
      <c r="ED15" s="229">
        <v>4.1000000000000003E-3</v>
      </c>
      <c r="EE15" s="230">
        <v>180641</v>
      </c>
      <c r="EF15" s="230">
        <v>247228</v>
      </c>
      <c r="EG15" s="229">
        <v>-0.26929999999999998</v>
      </c>
      <c r="EH15" s="229">
        <v>0.62680000000000002</v>
      </c>
      <c r="EI15" s="231">
        <v>144891.92000000001</v>
      </c>
      <c r="EJ15" s="231">
        <v>79505.149999999994</v>
      </c>
      <c r="EK15" s="231">
        <v>36057.980000000003</v>
      </c>
      <c r="EL15" s="231">
        <v>3829</v>
      </c>
      <c r="EM15" s="231">
        <v>260455.05</v>
      </c>
      <c r="EN15" s="231">
        <v>344054.89</v>
      </c>
      <c r="EO15" s="231">
        <v>-83599.839999999997</v>
      </c>
      <c r="EP15" s="229">
        <v>-0.24299999999999999</v>
      </c>
      <c r="EQ15" s="231">
        <v>133562</v>
      </c>
      <c r="ER15" s="231">
        <v>95086</v>
      </c>
      <c r="ES15" s="231">
        <v>244073</v>
      </c>
      <c r="ET15" s="231">
        <v>20353850</v>
      </c>
      <c r="EU15" s="231">
        <v>472722</v>
      </c>
      <c r="EV15" s="231">
        <v>467789</v>
      </c>
      <c r="EW15" s="231">
        <v>4933</v>
      </c>
      <c r="EX15" s="229">
        <v>1.0500000000000001E-2</v>
      </c>
      <c r="EY15" s="229">
        <v>0.3332</v>
      </c>
    </row>
    <row r="16" spans="1:155" ht="17.25" thickBot="1" x14ac:dyDescent="0.3">
      <c r="A16" s="226">
        <v>45940</v>
      </c>
      <c r="B16" s="227" t="s">
        <v>616</v>
      </c>
      <c r="C16" s="227" t="s">
        <v>669</v>
      </c>
      <c r="D16" s="228">
        <v>349.4</v>
      </c>
      <c r="E16" s="228">
        <v>346.55</v>
      </c>
      <c r="F16" s="228">
        <v>2.85</v>
      </c>
      <c r="G16" s="229">
        <v>8.2000000000000007E-3</v>
      </c>
      <c r="H16" s="228">
        <v>348.3</v>
      </c>
      <c r="I16" s="228">
        <v>345.5</v>
      </c>
      <c r="J16" s="228">
        <v>2.8</v>
      </c>
      <c r="K16" s="229">
        <v>8.0999999999999996E-3</v>
      </c>
      <c r="L16" s="228">
        <v>349.4</v>
      </c>
      <c r="M16" s="228">
        <v>346.55</v>
      </c>
      <c r="N16" s="228">
        <v>2.85</v>
      </c>
      <c r="O16" s="229">
        <v>8.2000000000000007E-3</v>
      </c>
      <c r="P16" s="228">
        <v>351.35</v>
      </c>
      <c r="Q16" s="228">
        <v>348.5</v>
      </c>
      <c r="R16" s="228">
        <v>2.85</v>
      </c>
      <c r="S16" s="229">
        <v>8.2000000000000007E-3</v>
      </c>
      <c r="T16" s="228">
        <v>353.25</v>
      </c>
      <c r="U16" s="228">
        <v>350.15</v>
      </c>
      <c r="V16" s="228">
        <v>3.1</v>
      </c>
      <c r="W16" s="229">
        <v>8.8999999999999999E-3</v>
      </c>
      <c r="X16" s="228">
        <v>1.1000000000000001</v>
      </c>
      <c r="Y16" s="228">
        <v>1.05</v>
      </c>
      <c r="Z16" s="228">
        <v>0.05</v>
      </c>
      <c r="AA16" s="229">
        <v>3.2000000000000002E-3</v>
      </c>
      <c r="AB16" s="228">
        <v>1.1000000000000001</v>
      </c>
      <c r="AC16" s="228">
        <v>1.05</v>
      </c>
      <c r="AD16" s="228">
        <v>0.05</v>
      </c>
      <c r="AE16" s="229">
        <v>3.2000000000000002E-3</v>
      </c>
      <c r="AF16" s="228">
        <v>3.05</v>
      </c>
      <c r="AG16" s="228">
        <v>3</v>
      </c>
      <c r="AH16" s="228">
        <v>0.05</v>
      </c>
      <c r="AI16" s="229">
        <v>8.8000000000000005E-3</v>
      </c>
      <c r="AJ16" s="228">
        <v>4.95</v>
      </c>
      <c r="AK16" s="228">
        <v>4.6500000000000004</v>
      </c>
      <c r="AL16" s="228">
        <v>0.3</v>
      </c>
      <c r="AM16" s="229">
        <v>1.4200000000000001E-2</v>
      </c>
      <c r="AN16" s="228">
        <v>347.56</v>
      </c>
      <c r="AO16" s="228">
        <v>349.83</v>
      </c>
      <c r="AP16" s="228">
        <v>0</v>
      </c>
      <c r="AQ16" s="230">
        <v>9302</v>
      </c>
      <c r="AR16" s="230">
        <v>11843</v>
      </c>
      <c r="AS16" s="230">
        <v>-2541</v>
      </c>
      <c r="AT16" s="229">
        <v>-0.21460000000000001</v>
      </c>
      <c r="AU16" s="230">
        <v>8461</v>
      </c>
      <c r="AV16" s="230">
        <v>11205</v>
      </c>
      <c r="AW16" s="230">
        <v>-2744</v>
      </c>
      <c r="AX16" s="229">
        <v>-0.24490000000000001</v>
      </c>
      <c r="AY16" s="228">
        <v>663</v>
      </c>
      <c r="AZ16" s="228">
        <v>536</v>
      </c>
      <c r="BA16" s="228">
        <v>127</v>
      </c>
      <c r="BB16" s="229">
        <v>0.2369</v>
      </c>
      <c r="BC16" s="228">
        <v>178</v>
      </c>
      <c r="BD16" s="228">
        <v>102</v>
      </c>
      <c r="BE16" s="228">
        <v>76</v>
      </c>
      <c r="BF16" s="229">
        <v>0.74509999999999998</v>
      </c>
      <c r="BG16" s="230">
        <v>22194</v>
      </c>
      <c r="BH16" s="230">
        <v>39525</v>
      </c>
      <c r="BI16" s="230">
        <v>-17331</v>
      </c>
      <c r="BJ16" s="229">
        <v>-0.4385</v>
      </c>
      <c r="BK16" s="230">
        <v>15222</v>
      </c>
      <c r="BL16" s="230">
        <v>22762</v>
      </c>
      <c r="BM16" s="230">
        <v>-7540</v>
      </c>
      <c r="BN16" s="229">
        <v>-0.33129999999999998</v>
      </c>
      <c r="BO16" s="230">
        <v>46718</v>
      </c>
      <c r="BP16" s="230">
        <v>74130</v>
      </c>
      <c r="BQ16" s="230">
        <v>-27412</v>
      </c>
      <c r="BR16" s="229">
        <v>-0.36980000000000002</v>
      </c>
      <c r="BS16" s="230">
        <v>17152682</v>
      </c>
      <c r="BT16" s="230">
        <v>25284279</v>
      </c>
      <c r="BU16" s="230">
        <v>-8131597</v>
      </c>
      <c r="BV16" s="229">
        <v>-0.3216</v>
      </c>
      <c r="BW16" s="230">
        <v>242257500</v>
      </c>
      <c r="BX16" s="230">
        <v>244025325</v>
      </c>
      <c r="BY16" s="230">
        <v>-1767825</v>
      </c>
      <c r="BZ16" s="229">
        <v>-7.1999999999999998E-3</v>
      </c>
      <c r="CA16" s="230">
        <v>238811575</v>
      </c>
      <c r="CB16" s="230">
        <v>240977100</v>
      </c>
      <c r="CC16" s="230">
        <v>-2165525</v>
      </c>
      <c r="CD16" s="229">
        <v>-8.9999999999999993E-3</v>
      </c>
      <c r="CE16" s="230">
        <v>2890600</v>
      </c>
      <c r="CF16" s="230">
        <v>2638400</v>
      </c>
      <c r="CG16" s="230">
        <v>252200</v>
      </c>
      <c r="CH16" s="229">
        <v>9.5600000000000004E-2</v>
      </c>
      <c r="CI16" s="230">
        <v>555325</v>
      </c>
      <c r="CJ16" s="230">
        <v>409825</v>
      </c>
      <c r="CK16" s="230">
        <v>145500</v>
      </c>
      <c r="CL16" s="229">
        <v>0.35499999999999998</v>
      </c>
      <c r="CM16" s="230">
        <v>51938650</v>
      </c>
      <c r="CN16" s="230">
        <v>53114775</v>
      </c>
      <c r="CO16" s="230">
        <v>-1176125</v>
      </c>
      <c r="CP16" s="229">
        <v>-2.2100000000000002E-2</v>
      </c>
      <c r="CQ16" s="230">
        <v>38268925</v>
      </c>
      <c r="CR16" s="230">
        <v>36993375</v>
      </c>
      <c r="CS16" s="230">
        <v>1275550</v>
      </c>
      <c r="CT16" s="229">
        <v>3.4500000000000003E-2</v>
      </c>
      <c r="CU16" s="230">
        <v>332465075</v>
      </c>
      <c r="CV16" s="230">
        <v>334133475</v>
      </c>
      <c r="CW16" s="230">
        <v>-1668400</v>
      </c>
      <c r="CX16" s="229">
        <v>-5.0000000000000001E-3</v>
      </c>
      <c r="CY16" s="228">
        <v>30.94</v>
      </c>
      <c r="CZ16" s="228">
        <v>31.92</v>
      </c>
      <c r="DA16" s="228">
        <v>-0.98</v>
      </c>
      <c r="DB16" s="228">
        <v>-0.98</v>
      </c>
      <c r="DC16" s="228">
        <v>46.02</v>
      </c>
      <c r="DD16" s="228">
        <v>46.12</v>
      </c>
      <c r="DE16" s="228">
        <v>-15.08</v>
      </c>
      <c r="DF16" s="228">
        <v>-0.1</v>
      </c>
      <c r="DG16" s="228">
        <v>29.83</v>
      </c>
      <c r="DH16" s="228">
        <v>31.4</v>
      </c>
      <c r="DI16" s="228">
        <v>-1.57</v>
      </c>
      <c r="DJ16" s="228">
        <v>-1.57</v>
      </c>
      <c r="DK16" s="228">
        <v>32.57</v>
      </c>
      <c r="DL16" s="228">
        <v>32.840000000000003</v>
      </c>
      <c r="DM16" s="228">
        <v>-0.27</v>
      </c>
      <c r="DN16" s="228">
        <v>-0.27</v>
      </c>
      <c r="DO16" s="228">
        <v>0.74</v>
      </c>
      <c r="DP16" s="228">
        <v>0.7</v>
      </c>
      <c r="DQ16" s="228">
        <v>0.04</v>
      </c>
      <c r="DR16" s="229">
        <v>5.7099999999999998E-2</v>
      </c>
      <c r="DS16" s="228">
        <v>335</v>
      </c>
      <c r="DT16" s="228">
        <v>330</v>
      </c>
      <c r="DU16" s="228">
        <v>0.69</v>
      </c>
      <c r="DV16" s="228">
        <v>0.57999999999999996</v>
      </c>
      <c r="DW16" s="228">
        <v>0.11</v>
      </c>
      <c r="DX16" s="229">
        <v>0.18970000000000001</v>
      </c>
      <c r="DY16" s="229">
        <v>1.4200000000000001E-2</v>
      </c>
      <c r="DZ16" s="230">
        <v>3048225</v>
      </c>
      <c r="EA16" s="229">
        <v>5.5999999999999999E-3</v>
      </c>
      <c r="EB16" s="229">
        <v>1.4200000000000001E-2</v>
      </c>
      <c r="EC16" s="228">
        <v>2.27</v>
      </c>
      <c r="ED16" s="229">
        <v>6.4999999999999997E-3</v>
      </c>
      <c r="EE16" s="230">
        <v>8768146</v>
      </c>
      <c r="EF16" s="230">
        <v>14421945</v>
      </c>
      <c r="EG16" s="229">
        <v>-0.39200000000000002</v>
      </c>
      <c r="EH16" s="229">
        <v>0.51119999999999999</v>
      </c>
      <c r="EI16" s="231">
        <v>194683.89</v>
      </c>
      <c r="EJ16" s="231">
        <v>124260.21</v>
      </c>
      <c r="EK16" s="231">
        <v>78452.960000000006</v>
      </c>
      <c r="EL16" s="231">
        <v>9112</v>
      </c>
      <c r="EM16" s="231">
        <v>397397.06</v>
      </c>
      <c r="EN16" s="231">
        <v>626703.61</v>
      </c>
      <c r="EO16" s="231">
        <v>-229306.55</v>
      </c>
      <c r="EP16" s="229">
        <v>-0.3659</v>
      </c>
      <c r="EQ16" s="231">
        <v>178677</v>
      </c>
      <c r="ER16" s="231">
        <v>123132</v>
      </c>
      <c r="ES16" s="231">
        <v>846525</v>
      </c>
      <c r="ET16" s="231">
        <v>1361988292</v>
      </c>
      <c r="EU16" s="231">
        <v>1148335</v>
      </c>
      <c r="EV16" s="231">
        <v>1146343</v>
      </c>
      <c r="EW16" s="231">
        <v>1992</v>
      </c>
      <c r="EX16" s="229">
        <v>1.6999999999999999E-3</v>
      </c>
      <c r="EY16" s="229">
        <v>0.24410000000000001</v>
      </c>
    </row>
    <row r="17" spans="1:155" ht="17.25" thickBot="1" x14ac:dyDescent="0.3">
      <c r="A17" s="226">
        <v>45940</v>
      </c>
      <c r="B17" s="227" t="s">
        <v>157</v>
      </c>
      <c r="C17" s="227" t="s">
        <v>219</v>
      </c>
      <c r="D17" s="231">
        <v>2826.5</v>
      </c>
      <c r="E17" s="231">
        <v>2824.7</v>
      </c>
      <c r="F17" s="228">
        <v>1.8</v>
      </c>
      <c r="G17" s="229">
        <v>5.9999999999999995E-4</v>
      </c>
      <c r="H17" s="231">
        <v>2811</v>
      </c>
      <c r="I17" s="231">
        <v>2810.6</v>
      </c>
      <c r="J17" s="228">
        <v>0.4</v>
      </c>
      <c r="K17" s="229">
        <v>1E-4</v>
      </c>
      <c r="L17" s="231">
        <v>2826.5</v>
      </c>
      <c r="M17" s="231">
        <v>2824.7</v>
      </c>
      <c r="N17" s="228">
        <v>1.8</v>
      </c>
      <c r="O17" s="229">
        <v>5.9999999999999995E-4</v>
      </c>
      <c r="P17" s="231">
        <v>2843</v>
      </c>
      <c r="Q17" s="231">
        <v>2839.6</v>
      </c>
      <c r="R17" s="228">
        <v>3.4</v>
      </c>
      <c r="S17" s="229">
        <v>1.1999999999999999E-3</v>
      </c>
      <c r="T17" s="231">
        <v>2859.8</v>
      </c>
      <c r="U17" s="231">
        <v>2835</v>
      </c>
      <c r="V17" s="228">
        <v>24.8</v>
      </c>
      <c r="W17" s="229">
        <v>8.6999999999999994E-3</v>
      </c>
      <c r="X17" s="228">
        <v>15.5</v>
      </c>
      <c r="Y17" s="228">
        <v>14.1</v>
      </c>
      <c r="Z17" s="228">
        <v>1.4</v>
      </c>
      <c r="AA17" s="229">
        <v>5.4999999999999997E-3</v>
      </c>
      <c r="AB17" s="228">
        <v>15.5</v>
      </c>
      <c r="AC17" s="228">
        <v>14.1</v>
      </c>
      <c r="AD17" s="228">
        <v>1.4</v>
      </c>
      <c r="AE17" s="229">
        <v>5.4999999999999997E-3</v>
      </c>
      <c r="AF17" s="228">
        <v>32</v>
      </c>
      <c r="AG17" s="228">
        <v>29</v>
      </c>
      <c r="AH17" s="228">
        <v>3</v>
      </c>
      <c r="AI17" s="229">
        <v>1.14E-2</v>
      </c>
      <c r="AJ17" s="228">
        <v>48.8</v>
      </c>
      <c r="AK17" s="228">
        <v>24.4</v>
      </c>
      <c r="AL17" s="228">
        <v>24.4</v>
      </c>
      <c r="AM17" s="229">
        <v>1.7399999999999999E-2</v>
      </c>
      <c r="AN17" s="231">
        <v>2829.11</v>
      </c>
      <c r="AO17" s="231">
        <v>2847.69</v>
      </c>
      <c r="AP17" s="228">
        <v>0</v>
      </c>
      <c r="AQ17" s="230">
        <v>2907</v>
      </c>
      <c r="AR17" s="230">
        <v>2308</v>
      </c>
      <c r="AS17" s="228">
        <v>599</v>
      </c>
      <c r="AT17" s="229">
        <v>0.25950000000000001</v>
      </c>
      <c r="AU17" s="230">
        <v>2670</v>
      </c>
      <c r="AV17" s="230">
        <v>2230</v>
      </c>
      <c r="AW17" s="228">
        <v>440</v>
      </c>
      <c r="AX17" s="229">
        <v>0.1973</v>
      </c>
      <c r="AY17" s="228">
        <v>193</v>
      </c>
      <c r="AZ17" s="228">
        <v>76</v>
      </c>
      <c r="BA17" s="228">
        <v>117</v>
      </c>
      <c r="BB17" s="229">
        <v>1.5395000000000001</v>
      </c>
      <c r="BC17" s="228">
        <v>44</v>
      </c>
      <c r="BD17" s="228">
        <v>2</v>
      </c>
      <c r="BE17" s="228">
        <v>42</v>
      </c>
      <c r="BF17" s="229">
        <v>21</v>
      </c>
      <c r="BG17" s="230">
        <v>6263</v>
      </c>
      <c r="BH17" s="230">
        <v>6949</v>
      </c>
      <c r="BI17" s="228">
        <v>-686</v>
      </c>
      <c r="BJ17" s="229">
        <v>-9.8699999999999996E-2</v>
      </c>
      <c r="BK17" s="230">
        <v>2286</v>
      </c>
      <c r="BL17" s="230">
        <v>2674</v>
      </c>
      <c r="BM17" s="228">
        <v>-388</v>
      </c>
      <c r="BN17" s="229">
        <v>-0.14510000000000001</v>
      </c>
      <c r="BO17" s="230">
        <v>11456</v>
      </c>
      <c r="BP17" s="230">
        <v>11931</v>
      </c>
      <c r="BQ17" s="228">
        <v>-475</v>
      </c>
      <c r="BR17" s="229">
        <v>-3.9800000000000002E-2</v>
      </c>
      <c r="BS17" s="230">
        <v>590080</v>
      </c>
      <c r="BT17" s="230">
        <v>411666</v>
      </c>
      <c r="BU17" s="230">
        <v>178414</v>
      </c>
      <c r="BV17" s="229">
        <v>0.43340000000000001</v>
      </c>
      <c r="BW17" s="230">
        <v>14454250</v>
      </c>
      <c r="BX17" s="230">
        <v>14297000</v>
      </c>
      <c r="BY17" s="230">
        <v>157250</v>
      </c>
      <c r="BZ17" s="229">
        <v>1.0999999999999999E-2</v>
      </c>
      <c r="CA17" s="230">
        <v>14371500</v>
      </c>
      <c r="CB17" s="230">
        <v>14242500</v>
      </c>
      <c r="CC17" s="230">
        <v>129000</v>
      </c>
      <c r="CD17" s="229">
        <v>9.1000000000000004E-3</v>
      </c>
      <c r="CE17" s="230">
        <v>71750</v>
      </c>
      <c r="CF17" s="230">
        <v>52500</v>
      </c>
      <c r="CG17" s="230">
        <v>19250</v>
      </c>
      <c r="CH17" s="229">
        <v>0.36670000000000003</v>
      </c>
      <c r="CI17" s="230">
        <v>11000</v>
      </c>
      <c r="CJ17" s="230">
        <v>2000</v>
      </c>
      <c r="CK17" s="230">
        <v>9000</v>
      </c>
      <c r="CL17" s="229">
        <v>4.5</v>
      </c>
      <c r="CM17" s="230">
        <v>1699250</v>
      </c>
      <c r="CN17" s="230">
        <v>1730250</v>
      </c>
      <c r="CO17" s="230">
        <v>-31000</v>
      </c>
      <c r="CP17" s="229">
        <v>-1.7899999999999999E-2</v>
      </c>
      <c r="CQ17" s="230">
        <v>1011500</v>
      </c>
      <c r="CR17" s="230">
        <v>1020500</v>
      </c>
      <c r="CS17" s="230">
        <v>-9000</v>
      </c>
      <c r="CT17" s="229">
        <v>-8.8000000000000005E-3</v>
      </c>
      <c r="CU17" s="230">
        <v>17165000</v>
      </c>
      <c r="CV17" s="230">
        <v>17047750</v>
      </c>
      <c r="CW17" s="230">
        <v>117250</v>
      </c>
      <c r="CX17" s="229">
        <v>6.8999999999999999E-3</v>
      </c>
      <c r="CY17" s="228">
        <v>17.73</v>
      </c>
      <c r="CZ17" s="228">
        <v>18.739999999999998</v>
      </c>
      <c r="DA17" s="228">
        <v>-1.01</v>
      </c>
      <c r="DB17" s="228">
        <v>-1.01</v>
      </c>
      <c r="DC17" s="228">
        <v>25.61</v>
      </c>
      <c r="DD17" s="228">
        <v>25.67</v>
      </c>
      <c r="DE17" s="228">
        <v>-7.88</v>
      </c>
      <c r="DF17" s="228">
        <v>-0.06</v>
      </c>
      <c r="DG17" s="228">
        <v>17.64</v>
      </c>
      <c r="DH17" s="228">
        <v>18.78</v>
      </c>
      <c r="DI17" s="228">
        <v>-1.1399999999999999</v>
      </c>
      <c r="DJ17" s="228">
        <v>-1.1399999999999999</v>
      </c>
      <c r="DK17" s="228">
        <v>17.989999999999998</v>
      </c>
      <c r="DL17" s="228">
        <v>18.63</v>
      </c>
      <c r="DM17" s="228">
        <v>-0.64</v>
      </c>
      <c r="DN17" s="228">
        <v>-0.64</v>
      </c>
      <c r="DO17" s="228">
        <v>0.6</v>
      </c>
      <c r="DP17" s="228">
        <v>0.59</v>
      </c>
      <c r="DQ17" s="228">
        <v>0.01</v>
      </c>
      <c r="DR17" s="229">
        <v>1.6899999999999998E-2</v>
      </c>
      <c r="DS17" s="231">
        <v>2900</v>
      </c>
      <c r="DT17" s="231">
        <v>2700</v>
      </c>
      <c r="DU17" s="228">
        <v>0.37</v>
      </c>
      <c r="DV17" s="228">
        <v>0.38</v>
      </c>
      <c r="DW17" s="228">
        <v>-0.01</v>
      </c>
      <c r="DX17" s="229">
        <v>-2.63E-2</v>
      </c>
      <c r="DY17" s="229">
        <v>5.7000000000000002E-3</v>
      </c>
      <c r="DZ17" s="230">
        <v>54500</v>
      </c>
      <c r="EA17" s="229">
        <v>5.7999999999999996E-3</v>
      </c>
      <c r="EB17" s="229">
        <v>5.7000000000000002E-3</v>
      </c>
      <c r="EC17" s="228">
        <v>18.579999999999998</v>
      </c>
      <c r="ED17" s="229">
        <v>6.6E-3</v>
      </c>
      <c r="EE17" s="230">
        <v>363615</v>
      </c>
      <c r="EF17" s="230">
        <v>245764</v>
      </c>
      <c r="EG17" s="229">
        <v>0.47949999999999998</v>
      </c>
      <c r="EH17" s="229">
        <v>0.61619999999999997</v>
      </c>
      <c r="EI17" s="231">
        <v>45455.62</v>
      </c>
      <c r="EJ17" s="231">
        <v>15965.78</v>
      </c>
      <c r="EK17" s="231">
        <v>20573.45</v>
      </c>
      <c r="EL17" s="231">
        <v>3106</v>
      </c>
      <c r="EM17" s="231">
        <v>81994.850000000006</v>
      </c>
      <c r="EN17" s="231">
        <v>85204.82</v>
      </c>
      <c r="EO17" s="231">
        <v>-3209.97</v>
      </c>
      <c r="EP17" s="229">
        <v>-3.7699999999999997E-2</v>
      </c>
      <c r="EQ17" s="231">
        <v>49755</v>
      </c>
      <c r="ER17" s="231">
        <v>27638</v>
      </c>
      <c r="ES17" s="231">
        <v>408565</v>
      </c>
      <c r="ET17" s="231">
        <v>38514157</v>
      </c>
      <c r="EU17" s="231">
        <v>485958</v>
      </c>
      <c r="EV17" s="231">
        <v>482302</v>
      </c>
      <c r="EW17" s="231">
        <v>3656</v>
      </c>
      <c r="EX17" s="229">
        <v>7.6E-3</v>
      </c>
      <c r="EY17" s="229">
        <v>0.44569999999999999</v>
      </c>
    </row>
    <row r="18" spans="1:155" ht="17.25" thickBot="1" x14ac:dyDescent="0.3">
      <c r="A18" s="226">
        <v>45940</v>
      </c>
      <c r="B18" s="227" t="s">
        <v>221</v>
      </c>
      <c r="C18" s="227" t="s">
        <v>222</v>
      </c>
      <c r="D18" s="231">
        <v>1487.8</v>
      </c>
      <c r="E18" s="231">
        <v>1479.2</v>
      </c>
      <c r="F18" s="228">
        <v>8.6</v>
      </c>
      <c r="G18" s="229">
        <v>5.7999999999999996E-3</v>
      </c>
      <c r="H18" s="231">
        <v>1495.5</v>
      </c>
      <c r="I18" s="231">
        <v>1486.5</v>
      </c>
      <c r="J18" s="228">
        <v>9</v>
      </c>
      <c r="K18" s="229">
        <v>6.1000000000000004E-3</v>
      </c>
      <c r="L18" s="231">
        <v>1487.8</v>
      </c>
      <c r="M18" s="231">
        <v>1479.2</v>
      </c>
      <c r="N18" s="228">
        <v>8.6</v>
      </c>
      <c r="O18" s="229">
        <v>5.7999999999999996E-3</v>
      </c>
      <c r="P18" s="231">
        <v>1495.8</v>
      </c>
      <c r="Q18" s="231">
        <v>1487.2</v>
      </c>
      <c r="R18" s="228">
        <v>8.6</v>
      </c>
      <c r="S18" s="229">
        <v>5.7999999999999996E-3</v>
      </c>
      <c r="T18" s="231">
        <v>1504.5</v>
      </c>
      <c r="U18" s="231">
        <v>1492.3</v>
      </c>
      <c r="V18" s="228">
        <v>12.2</v>
      </c>
      <c r="W18" s="229">
        <v>8.2000000000000007E-3</v>
      </c>
      <c r="X18" s="228">
        <v>-7.7</v>
      </c>
      <c r="Y18" s="228">
        <v>-7.3</v>
      </c>
      <c r="Z18" s="228">
        <v>-0.4</v>
      </c>
      <c r="AA18" s="229">
        <v>-5.1000000000000004E-3</v>
      </c>
      <c r="AB18" s="228">
        <v>-7.7</v>
      </c>
      <c r="AC18" s="228">
        <v>-7.3</v>
      </c>
      <c r="AD18" s="228">
        <v>-0.4</v>
      </c>
      <c r="AE18" s="229">
        <v>-5.1000000000000004E-3</v>
      </c>
      <c r="AF18" s="228">
        <v>0.3</v>
      </c>
      <c r="AG18" s="228">
        <v>0.7</v>
      </c>
      <c r="AH18" s="228">
        <v>-0.4</v>
      </c>
      <c r="AI18" s="229">
        <v>2.0000000000000001E-4</v>
      </c>
      <c r="AJ18" s="228">
        <v>9</v>
      </c>
      <c r="AK18" s="228">
        <v>5.8</v>
      </c>
      <c r="AL18" s="228">
        <v>3.2</v>
      </c>
      <c r="AM18" s="229">
        <v>6.0000000000000001E-3</v>
      </c>
      <c r="AN18" s="231">
        <v>1483.71</v>
      </c>
      <c r="AO18" s="231">
        <v>1491.4</v>
      </c>
      <c r="AP18" s="228">
        <v>0</v>
      </c>
      <c r="AQ18" s="230">
        <v>15374</v>
      </c>
      <c r="AR18" s="230">
        <v>19272</v>
      </c>
      <c r="AS18" s="230">
        <v>-3898</v>
      </c>
      <c r="AT18" s="229">
        <v>-0.20230000000000001</v>
      </c>
      <c r="AU18" s="230">
        <v>14578</v>
      </c>
      <c r="AV18" s="230">
        <v>18383</v>
      </c>
      <c r="AW18" s="230">
        <v>-3805</v>
      </c>
      <c r="AX18" s="229">
        <v>-0.20699999999999999</v>
      </c>
      <c r="AY18" s="228">
        <v>652</v>
      </c>
      <c r="AZ18" s="228">
        <v>779</v>
      </c>
      <c r="BA18" s="228">
        <v>-127</v>
      </c>
      <c r="BB18" s="229">
        <v>-0.16300000000000001</v>
      </c>
      <c r="BC18" s="228">
        <v>144</v>
      </c>
      <c r="BD18" s="228">
        <v>110</v>
      </c>
      <c r="BE18" s="228">
        <v>34</v>
      </c>
      <c r="BF18" s="229">
        <v>0.30909999999999999</v>
      </c>
      <c r="BG18" s="230">
        <v>39740</v>
      </c>
      <c r="BH18" s="230">
        <v>57848</v>
      </c>
      <c r="BI18" s="230">
        <v>-18108</v>
      </c>
      <c r="BJ18" s="229">
        <v>-0.313</v>
      </c>
      <c r="BK18" s="230">
        <v>24534</v>
      </c>
      <c r="BL18" s="230">
        <v>33826</v>
      </c>
      <c r="BM18" s="230">
        <v>-9292</v>
      </c>
      <c r="BN18" s="229">
        <v>-0.2747</v>
      </c>
      <c r="BO18" s="230">
        <v>79648</v>
      </c>
      <c r="BP18" s="230">
        <v>110946</v>
      </c>
      <c r="BQ18" s="230">
        <v>-31298</v>
      </c>
      <c r="BR18" s="229">
        <v>-0.28210000000000002</v>
      </c>
      <c r="BS18" s="230">
        <v>2168155</v>
      </c>
      <c r="BT18" s="230">
        <v>2773864</v>
      </c>
      <c r="BU18" s="230">
        <v>-605709</v>
      </c>
      <c r="BV18" s="229">
        <v>-0.21840000000000001</v>
      </c>
      <c r="BW18" s="230">
        <v>20146000</v>
      </c>
      <c r="BX18" s="230">
        <v>21023800</v>
      </c>
      <c r="BY18" s="230">
        <v>-877800</v>
      </c>
      <c r="BZ18" s="229">
        <v>-4.1799999999999997E-2</v>
      </c>
      <c r="CA18" s="230">
        <v>19590550</v>
      </c>
      <c r="CB18" s="230">
        <v>20526800</v>
      </c>
      <c r="CC18" s="230">
        <v>-936250</v>
      </c>
      <c r="CD18" s="229">
        <v>-4.5600000000000002E-2</v>
      </c>
      <c r="CE18" s="230">
        <v>489650</v>
      </c>
      <c r="CF18" s="230">
        <v>463400</v>
      </c>
      <c r="CG18" s="230">
        <v>26250</v>
      </c>
      <c r="CH18" s="229">
        <v>5.6599999999999998E-2</v>
      </c>
      <c r="CI18" s="230">
        <v>65800</v>
      </c>
      <c r="CJ18" s="230">
        <v>33600</v>
      </c>
      <c r="CK18" s="230">
        <v>32200</v>
      </c>
      <c r="CL18" s="229">
        <v>0.95830000000000004</v>
      </c>
      <c r="CM18" s="230">
        <v>6230350</v>
      </c>
      <c r="CN18" s="230">
        <v>5587750</v>
      </c>
      <c r="CO18" s="230">
        <v>642600</v>
      </c>
      <c r="CP18" s="229">
        <v>0.115</v>
      </c>
      <c r="CQ18" s="230">
        <v>5113500</v>
      </c>
      <c r="CR18" s="230">
        <v>4632950</v>
      </c>
      <c r="CS18" s="230">
        <v>480550</v>
      </c>
      <c r="CT18" s="229">
        <v>0.1037</v>
      </c>
      <c r="CU18" s="230">
        <v>31489850</v>
      </c>
      <c r="CV18" s="230">
        <v>31244500</v>
      </c>
      <c r="CW18" s="230">
        <v>245350</v>
      </c>
      <c r="CX18" s="229">
        <v>7.9000000000000008E-3</v>
      </c>
      <c r="CY18" s="228">
        <v>26.25</v>
      </c>
      <c r="CZ18" s="228">
        <v>27.05</v>
      </c>
      <c r="DA18" s="228">
        <v>-0.8</v>
      </c>
      <c r="DB18" s="228">
        <v>-0.8</v>
      </c>
      <c r="DC18" s="228">
        <v>29.17</v>
      </c>
      <c r="DD18" s="228">
        <v>29.23</v>
      </c>
      <c r="DE18" s="228">
        <v>-2.92</v>
      </c>
      <c r="DF18" s="228">
        <v>-0.06</v>
      </c>
      <c r="DG18" s="228">
        <v>25.81</v>
      </c>
      <c r="DH18" s="228">
        <v>26.65</v>
      </c>
      <c r="DI18" s="228">
        <v>-0.84</v>
      </c>
      <c r="DJ18" s="228">
        <v>-0.84</v>
      </c>
      <c r="DK18" s="228">
        <v>26.98</v>
      </c>
      <c r="DL18" s="228">
        <v>27.75</v>
      </c>
      <c r="DM18" s="228">
        <v>-0.77</v>
      </c>
      <c r="DN18" s="228">
        <v>-0.77</v>
      </c>
      <c r="DO18" s="228">
        <v>0.82</v>
      </c>
      <c r="DP18" s="228">
        <v>0.83</v>
      </c>
      <c r="DQ18" s="228">
        <v>-0.01</v>
      </c>
      <c r="DR18" s="229">
        <v>-1.2E-2</v>
      </c>
      <c r="DS18" s="231">
        <v>1500</v>
      </c>
      <c r="DT18" s="231">
        <v>1400</v>
      </c>
      <c r="DU18" s="228">
        <v>0.62</v>
      </c>
      <c r="DV18" s="228">
        <v>0.57999999999999996</v>
      </c>
      <c r="DW18" s="228">
        <v>0.04</v>
      </c>
      <c r="DX18" s="229">
        <v>6.9000000000000006E-2</v>
      </c>
      <c r="DY18" s="229">
        <v>2.76E-2</v>
      </c>
      <c r="DZ18" s="230">
        <v>497000</v>
      </c>
      <c r="EA18" s="229">
        <v>5.4000000000000003E-3</v>
      </c>
      <c r="EB18" s="229">
        <v>2.76E-2</v>
      </c>
      <c r="EC18" s="228">
        <v>7.69</v>
      </c>
      <c r="ED18" s="229">
        <v>5.1999999999999998E-3</v>
      </c>
      <c r="EE18" s="230">
        <v>976076</v>
      </c>
      <c r="EF18" s="230">
        <v>1255842</v>
      </c>
      <c r="EG18" s="229">
        <v>-0.2228</v>
      </c>
      <c r="EH18" s="229">
        <v>0.45019999999999999</v>
      </c>
      <c r="EI18" s="231">
        <v>214691.93</v>
      </c>
      <c r="EJ18" s="231">
        <v>126027.85</v>
      </c>
      <c r="EK18" s="231">
        <v>79863.17</v>
      </c>
      <c r="EL18" s="231">
        <v>10326</v>
      </c>
      <c r="EM18" s="231">
        <v>420582.95</v>
      </c>
      <c r="EN18" s="231">
        <v>582056.16</v>
      </c>
      <c r="EO18" s="231">
        <v>-161473.21</v>
      </c>
      <c r="EP18" s="229">
        <v>-0.27739999999999998</v>
      </c>
      <c r="EQ18" s="231">
        <v>94791</v>
      </c>
      <c r="ER18" s="231">
        <v>71041</v>
      </c>
      <c r="ES18" s="231">
        <v>299782</v>
      </c>
      <c r="ET18" s="231">
        <v>145993539</v>
      </c>
      <c r="EU18" s="231">
        <v>465614</v>
      </c>
      <c r="EV18" s="231">
        <v>459694</v>
      </c>
      <c r="EW18" s="231">
        <v>5920</v>
      </c>
      <c r="EX18" s="229">
        <v>1.29E-2</v>
      </c>
      <c r="EY18" s="229">
        <v>0.2157</v>
      </c>
    </row>
    <row r="19" spans="1:155" ht="17.25" thickBot="1" x14ac:dyDescent="0.3">
      <c r="A19" s="226">
        <v>45940</v>
      </c>
      <c r="B19" s="227" t="s">
        <v>172</v>
      </c>
      <c r="C19" s="227" t="s">
        <v>224</v>
      </c>
      <c r="D19" s="228">
        <v>985.9</v>
      </c>
      <c r="E19" s="228">
        <v>979.6</v>
      </c>
      <c r="F19" s="228">
        <v>6.3</v>
      </c>
      <c r="G19" s="229">
        <v>6.4000000000000003E-3</v>
      </c>
      <c r="H19" s="228">
        <v>980.9</v>
      </c>
      <c r="I19" s="228">
        <v>977.1</v>
      </c>
      <c r="J19" s="228">
        <v>3.8</v>
      </c>
      <c r="K19" s="229">
        <v>3.8999999999999998E-3</v>
      </c>
      <c r="L19" s="228">
        <v>985.9</v>
      </c>
      <c r="M19" s="228">
        <v>979.6</v>
      </c>
      <c r="N19" s="228">
        <v>6.3</v>
      </c>
      <c r="O19" s="229">
        <v>6.4000000000000003E-3</v>
      </c>
      <c r="P19" s="228">
        <v>991.25</v>
      </c>
      <c r="Q19" s="228">
        <v>984.9</v>
      </c>
      <c r="R19" s="228">
        <v>6.35</v>
      </c>
      <c r="S19" s="229">
        <v>6.4000000000000003E-3</v>
      </c>
      <c r="T19" s="228">
        <v>997.25</v>
      </c>
      <c r="U19" s="228">
        <v>990.55</v>
      </c>
      <c r="V19" s="228">
        <v>6.7</v>
      </c>
      <c r="W19" s="229">
        <v>6.7999999999999996E-3</v>
      </c>
      <c r="X19" s="228">
        <v>5</v>
      </c>
      <c r="Y19" s="228">
        <v>2.5</v>
      </c>
      <c r="Z19" s="228">
        <v>2.5</v>
      </c>
      <c r="AA19" s="229">
        <v>5.1000000000000004E-3</v>
      </c>
      <c r="AB19" s="228">
        <v>5</v>
      </c>
      <c r="AC19" s="228">
        <v>2.5</v>
      </c>
      <c r="AD19" s="228">
        <v>2.5</v>
      </c>
      <c r="AE19" s="229">
        <v>5.1000000000000004E-3</v>
      </c>
      <c r="AF19" s="228">
        <v>10.35</v>
      </c>
      <c r="AG19" s="228">
        <v>7.8</v>
      </c>
      <c r="AH19" s="228">
        <v>2.5499999999999998</v>
      </c>
      <c r="AI19" s="229">
        <v>1.06E-2</v>
      </c>
      <c r="AJ19" s="228">
        <v>16.350000000000001</v>
      </c>
      <c r="AK19" s="228">
        <v>13.45</v>
      </c>
      <c r="AL19" s="228">
        <v>2.9</v>
      </c>
      <c r="AM19" s="229">
        <v>1.67E-2</v>
      </c>
      <c r="AN19" s="228">
        <v>986.92</v>
      </c>
      <c r="AO19" s="228">
        <v>992.07</v>
      </c>
      <c r="AP19" s="228">
        <v>0</v>
      </c>
      <c r="AQ19" s="230">
        <v>16824</v>
      </c>
      <c r="AR19" s="230">
        <v>16666</v>
      </c>
      <c r="AS19" s="228">
        <v>158</v>
      </c>
      <c r="AT19" s="229">
        <v>9.4999999999999998E-3</v>
      </c>
      <c r="AU19" s="230">
        <v>14782</v>
      </c>
      <c r="AV19" s="230">
        <v>15712</v>
      </c>
      <c r="AW19" s="228">
        <v>-930</v>
      </c>
      <c r="AX19" s="229">
        <v>-5.9200000000000003E-2</v>
      </c>
      <c r="AY19" s="230">
        <v>1555</v>
      </c>
      <c r="AZ19" s="228">
        <v>886</v>
      </c>
      <c r="BA19" s="228">
        <v>669</v>
      </c>
      <c r="BB19" s="229">
        <v>0.75509999999999999</v>
      </c>
      <c r="BC19" s="228">
        <v>487</v>
      </c>
      <c r="BD19" s="228">
        <v>68</v>
      </c>
      <c r="BE19" s="228">
        <v>419</v>
      </c>
      <c r="BF19" s="229">
        <v>6.1618000000000004</v>
      </c>
      <c r="BG19" s="230">
        <v>40584</v>
      </c>
      <c r="BH19" s="230">
        <v>30534</v>
      </c>
      <c r="BI19" s="230">
        <v>10050</v>
      </c>
      <c r="BJ19" s="229">
        <v>0.3291</v>
      </c>
      <c r="BK19" s="230">
        <v>21108</v>
      </c>
      <c r="BL19" s="230">
        <v>20590</v>
      </c>
      <c r="BM19" s="228">
        <v>518</v>
      </c>
      <c r="BN19" s="229">
        <v>2.52E-2</v>
      </c>
      <c r="BO19" s="230">
        <v>78516</v>
      </c>
      <c r="BP19" s="230">
        <v>67790</v>
      </c>
      <c r="BQ19" s="230">
        <v>10726</v>
      </c>
      <c r="BR19" s="229">
        <v>0.15820000000000001</v>
      </c>
      <c r="BS19" s="230">
        <v>14536232</v>
      </c>
      <c r="BT19" s="230">
        <v>17879081</v>
      </c>
      <c r="BU19" s="230">
        <v>-3342849</v>
      </c>
      <c r="BV19" s="229">
        <v>-0.187</v>
      </c>
      <c r="BW19" s="230">
        <v>200343000</v>
      </c>
      <c r="BX19" s="230">
        <v>200213200</v>
      </c>
      <c r="BY19" s="230">
        <v>129800</v>
      </c>
      <c r="BZ19" s="229">
        <v>5.9999999999999995E-4</v>
      </c>
      <c r="CA19" s="230">
        <v>194359000</v>
      </c>
      <c r="CB19" s="230">
        <v>194870500</v>
      </c>
      <c r="CC19" s="230">
        <v>-511500</v>
      </c>
      <c r="CD19" s="229">
        <v>-2.5999999999999999E-3</v>
      </c>
      <c r="CE19" s="230">
        <v>3687200</v>
      </c>
      <c r="CF19" s="230">
        <v>3449600</v>
      </c>
      <c r="CG19" s="230">
        <v>237600</v>
      </c>
      <c r="CH19" s="229">
        <v>6.8900000000000003E-2</v>
      </c>
      <c r="CI19" s="230">
        <v>2296800</v>
      </c>
      <c r="CJ19" s="230">
        <v>1893100</v>
      </c>
      <c r="CK19" s="230">
        <v>403700</v>
      </c>
      <c r="CL19" s="229">
        <v>0.2132</v>
      </c>
      <c r="CM19" s="230">
        <v>31808700</v>
      </c>
      <c r="CN19" s="230">
        <v>32011100</v>
      </c>
      <c r="CO19" s="230">
        <v>-202400</v>
      </c>
      <c r="CP19" s="229">
        <v>-6.3E-3</v>
      </c>
      <c r="CQ19" s="230">
        <v>24380400</v>
      </c>
      <c r="CR19" s="230">
        <v>24604800</v>
      </c>
      <c r="CS19" s="230">
        <v>-224400</v>
      </c>
      <c r="CT19" s="229">
        <v>-9.1000000000000004E-3</v>
      </c>
      <c r="CU19" s="230">
        <v>256532100</v>
      </c>
      <c r="CV19" s="230">
        <v>256829100</v>
      </c>
      <c r="CW19" s="230">
        <v>-297000</v>
      </c>
      <c r="CX19" s="229">
        <v>-1.1999999999999999E-3</v>
      </c>
      <c r="CY19" s="228">
        <v>17.760000000000002</v>
      </c>
      <c r="CZ19" s="228">
        <v>18.059999999999999</v>
      </c>
      <c r="DA19" s="228">
        <v>-0.3</v>
      </c>
      <c r="DB19" s="228">
        <v>-0.3</v>
      </c>
      <c r="DC19" s="228">
        <v>21.29</v>
      </c>
      <c r="DD19" s="228">
        <v>21.34</v>
      </c>
      <c r="DE19" s="228">
        <v>-3.53</v>
      </c>
      <c r="DF19" s="228">
        <v>-0.05</v>
      </c>
      <c r="DG19" s="228">
        <v>17.62</v>
      </c>
      <c r="DH19" s="228">
        <v>17.86</v>
      </c>
      <c r="DI19" s="228">
        <v>-0.24</v>
      </c>
      <c r="DJ19" s="228">
        <v>-0.24</v>
      </c>
      <c r="DK19" s="228">
        <v>18.04</v>
      </c>
      <c r="DL19" s="228">
        <v>18.34</v>
      </c>
      <c r="DM19" s="228">
        <v>-0.3</v>
      </c>
      <c r="DN19" s="228">
        <v>-0.3</v>
      </c>
      <c r="DO19" s="228">
        <v>0.77</v>
      </c>
      <c r="DP19" s="228">
        <v>0.77</v>
      </c>
      <c r="DQ19" s="228">
        <v>0</v>
      </c>
      <c r="DR19" s="229">
        <v>0</v>
      </c>
      <c r="DS19" s="231">
        <v>1000</v>
      </c>
      <c r="DT19" s="228">
        <v>950</v>
      </c>
      <c r="DU19" s="228">
        <v>0.52</v>
      </c>
      <c r="DV19" s="228">
        <v>0.67</v>
      </c>
      <c r="DW19" s="228">
        <v>-0.15</v>
      </c>
      <c r="DX19" s="229">
        <v>-0.22389999999999999</v>
      </c>
      <c r="DY19" s="229">
        <v>2.9899999999999999E-2</v>
      </c>
      <c r="DZ19" s="230">
        <v>5342700</v>
      </c>
      <c r="EA19" s="229">
        <v>5.4000000000000003E-3</v>
      </c>
      <c r="EB19" s="229">
        <v>2.9899999999999999E-2</v>
      </c>
      <c r="EC19" s="228">
        <v>5.15</v>
      </c>
      <c r="ED19" s="229">
        <v>5.1999999999999998E-3</v>
      </c>
      <c r="EE19" s="230">
        <v>9018735</v>
      </c>
      <c r="EF19" s="230">
        <v>9950933</v>
      </c>
      <c r="EG19" s="229">
        <v>-9.3700000000000006E-2</v>
      </c>
      <c r="EH19" s="229">
        <v>0.62039999999999995</v>
      </c>
      <c r="EI19" s="231">
        <v>450105.35</v>
      </c>
      <c r="EJ19" s="231">
        <v>226866.89</v>
      </c>
      <c r="EK19" s="231">
        <v>182795.51</v>
      </c>
      <c r="EL19" s="231">
        <v>23178</v>
      </c>
      <c r="EM19" s="231">
        <v>859767.75</v>
      </c>
      <c r="EN19" s="231">
        <v>737267.07</v>
      </c>
      <c r="EO19" s="231">
        <v>122500.68</v>
      </c>
      <c r="EP19" s="229">
        <v>0.16619999999999999</v>
      </c>
      <c r="EQ19" s="231">
        <v>318779</v>
      </c>
      <c r="ER19" s="231">
        <v>231518</v>
      </c>
      <c r="ES19" s="231">
        <v>1975640</v>
      </c>
      <c r="ET19" s="231">
        <v>1329733550</v>
      </c>
      <c r="EU19" s="231">
        <v>2525936</v>
      </c>
      <c r="EV19" s="231">
        <v>2515336</v>
      </c>
      <c r="EW19" s="231">
        <v>10600</v>
      </c>
      <c r="EX19" s="229">
        <v>4.1999999999999997E-3</v>
      </c>
      <c r="EY19" s="229">
        <v>0.19289999999999999</v>
      </c>
    </row>
    <row r="20" spans="1:155" ht="17.25" thickBot="1" x14ac:dyDescent="0.3">
      <c r="A20" s="226">
        <v>45940</v>
      </c>
      <c r="B20" s="227" t="s">
        <v>175</v>
      </c>
      <c r="C20" s="227" t="s">
        <v>225</v>
      </c>
      <c r="D20" s="228">
        <v>750.2</v>
      </c>
      <c r="E20" s="228">
        <v>758.25</v>
      </c>
      <c r="F20" s="228">
        <v>-8.0500000000000007</v>
      </c>
      <c r="G20" s="229">
        <v>-1.06E-2</v>
      </c>
      <c r="H20" s="228">
        <v>747.3</v>
      </c>
      <c r="I20" s="228">
        <v>754.35</v>
      </c>
      <c r="J20" s="228">
        <v>-7.05</v>
      </c>
      <c r="K20" s="229">
        <v>-9.2999999999999992E-3</v>
      </c>
      <c r="L20" s="228">
        <v>750.2</v>
      </c>
      <c r="M20" s="228">
        <v>758.25</v>
      </c>
      <c r="N20" s="228">
        <v>-8.0500000000000007</v>
      </c>
      <c r="O20" s="229">
        <v>-1.06E-2</v>
      </c>
      <c r="P20" s="228">
        <v>754.25</v>
      </c>
      <c r="Q20" s="228">
        <v>762.5</v>
      </c>
      <c r="R20" s="228">
        <v>-8.25</v>
      </c>
      <c r="S20" s="229">
        <v>-1.0800000000000001E-2</v>
      </c>
      <c r="T20" s="228">
        <v>758.35</v>
      </c>
      <c r="U20" s="228">
        <v>765</v>
      </c>
      <c r="V20" s="228">
        <v>-6.65</v>
      </c>
      <c r="W20" s="229">
        <v>-8.6999999999999994E-3</v>
      </c>
      <c r="X20" s="228">
        <v>2.9</v>
      </c>
      <c r="Y20" s="228">
        <v>3.9</v>
      </c>
      <c r="Z20" s="228">
        <v>-1</v>
      </c>
      <c r="AA20" s="229">
        <v>3.8999999999999998E-3</v>
      </c>
      <c r="AB20" s="228">
        <v>2.9</v>
      </c>
      <c r="AC20" s="228">
        <v>3.9</v>
      </c>
      <c r="AD20" s="228">
        <v>-1</v>
      </c>
      <c r="AE20" s="229">
        <v>3.8999999999999998E-3</v>
      </c>
      <c r="AF20" s="228">
        <v>6.95</v>
      </c>
      <c r="AG20" s="228">
        <v>8.15</v>
      </c>
      <c r="AH20" s="228">
        <v>-1.2</v>
      </c>
      <c r="AI20" s="229">
        <v>9.2999999999999992E-3</v>
      </c>
      <c r="AJ20" s="228">
        <v>11.05</v>
      </c>
      <c r="AK20" s="228">
        <v>10.65</v>
      </c>
      <c r="AL20" s="228">
        <v>0.4</v>
      </c>
      <c r="AM20" s="229">
        <v>1.4800000000000001E-2</v>
      </c>
      <c r="AN20" s="228">
        <v>754.6</v>
      </c>
      <c r="AO20" s="228">
        <v>759.56</v>
      </c>
      <c r="AP20" s="228">
        <v>0</v>
      </c>
      <c r="AQ20" s="230">
        <v>3415</v>
      </c>
      <c r="AR20" s="230">
        <v>4799</v>
      </c>
      <c r="AS20" s="230">
        <v>-1384</v>
      </c>
      <c r="AT20" s="229">
        <v>-0.28839999999999999</v>
      </c>
      <c r="AU20" s="230">
        <v>3249</v>
      </c>
      <c r="AV20" s="230">
        <v>4608</v>
      </c>
      <c r="AW20" s="230">
        <v>-1359</v>
      </c>
      <c r="AX20" s="229">
        <v>-0.2949</v>
      </c>
      <c r="AY20" s="228">
        <v>121</v>
      </c>
      <c r="AZ20" s="228">
        <v>173</v>
      </c>
      <c r="BA20" s="228">
        <v>-52</v>
      </c>
      <c r="BB20" s="229">
        <v>-0.30059999999999998</v>
      </c>
      <c r="BC20" s="228">
        <v>45</v>
      </c>
      <c r="BD20" s="228">
        <v>18</v>
      </c>
      <c r="BE20" s="228">
        <v>27</v>
      </c>
      <c r="BF20" s="229">
        <v>1.5</v>
      </c>
      <c r="BG20" s="230">
        <v>6879</v>
      </c>
      <c r="BH20" s="230">
        <v>9256</v>
      </c>
      <c r="BI20" s="230">
        <v>-2377</v>
      </c>
      <c r="BJ20" s="229">
        <v>-0.25679999999999997</v>
      </c>
      <c r="BK20" s="230">
        <v>3266</v>
      </c>
      <c r="BL20" s="230">
        <v>4802</v>
      </c>
      <c r="BM20" s="230">
        <v>-1536</v>
      </c>
      <c r="BN20" s="229">
        <v>-0.31990000000000002</v>
      </c>
      <c r="BO20" s="230">
        <v>13560</v>
      </c>
      <c r="BP20" s="230">
        <v>18857</v>
      </c>
      <c r="BQ20" s="230">
        <v>-5297</v>
      </c>
      <c r="BR20" s="229">
        <v>-0.28089999999999998</v>
      </c>
      <c r="BS20" s="230">
        <v>2809876</v>
      </c>
      <c r="BT20" s="230">
        <v>4561204</v>
      </c>
      <c r="BU20" s="230">
        <v>-1751328</v>
      </c>
      <c r="BV20" s="229">
        <v>-0.38400000000000001</v>
      </c>
      <c r="BW20" s="230">
        <v>31191600</v>
      </c>
      <c r="BX20" s="230">
        <v>30454600</v>
      </c>
      <c r="BY20" s="230">
        <v>737000</v>
      </c>
      <c r="BZ20" s="229">
        <v>2.4199999999999999E-2</v>
      </c>
      <c r="CA20" s="230">
        <v>30728500</v>
      </c>
      <c r="CB20" s="230">
        <v>30088300</v>
      </c>
      <c r="CC20" s="230">
        <v>640200</v>
      </c>
      <c r="CD20" s="229">
        <v>2.1299999999999999E-2</v>
      </c>
      <c r="CE20" s="230">
        <v>400400</v>
      </c>
      <c r="CF20" s="230">
        <v>339900</v>
      </c>
      <c r="CG20" s="230">
        <v>60500</v>
      </c>
      <c r="CH20" s="229">
        <v>0.17799999999999999</v>
      </c>
      <c r="CI20" s="230">
        <v>62700</v>
      </c>
      <c r="CJ20" s="230">
        <v>26400</v>
      </c>
      <c r="CK20" s="230">
        <v>36300</v>
      </c>
      <c r="CL20" s="229">
        <v>1.375</v>
      </c>
      <c r="CM20" s="230">
        <v>9483100</v>
      </c>
      <c r="CN20" s="230">
        <v>8362200</v>
      </c>
      <c r="CO20" s="230">
        <v>1120900</v>
      </c>
      <c r="CP20" s="229">
        <v>0.13400000000000001</v>
      </c>
      <c r="CQ20" s="230">
        <v>5207400</v>
      </c>
      <c r="CR20" s="230">
        <v>5096300</v>
      </c>
      <c r="CS20" s="230">
        <v>111100</v>
      </c>
      <c r="CT20" s="229">
        <v>2.18E-2</v>
      </c>
      <c r="CU20" s="230">
        <v>45882100</v>
      </c>
      <c r="CV20" s="230">
        <v>43913100</v>
      </c>
      <c r="CW20" s="230">
        <v>1969000</v>
      </c>
      <c r="CX20" s="229">
        <v>4.48E-2</v>
      </c>
      <c r="CY20" s="228">
        <v>25.14</v>
      </c>
      <c r="CZ20" s="228">
        <v>24.52</v>
      </c>
      <c r="DA20" s="228">
        <v>0.62</v>
      </c>
      <c r="DB20" s="228">
        <v>0.62</v>
      </c>
      <c r="DC20" s="228">
        <v>25.97</v>
      </c>
      <c r="DD20" s="228">
        <v>26</v>
      </c>
      <c r="DE20" s="228">
        <v>-0.83</v>
      </c>
      <c r="DF20" s="228">
        <v>-0.03</v>
      </c>
      <c r="DG20" s="228">
        <v>25.39</v>
      </c>
      <c r="DH20" s="228">
        <v>24.62</v>
      </c>
      <c r="DI20" s="228">
        <v>0.77</v>
      </c>
      <c r="DJ20" s="228">
        <v>0.77</v>
      </c>
      <c r="DK20" s="228">
        <v>24.59</v>
      </c>
      <c r="DL20" s="228">
        <v>24.33</v>
      </c>
      <c r="DM20" s="228">
        <v>0.26</v>
      </c>
      <c r="DN20" s="228">
        <v>0.26</v>
      </c>
      <c r="DO20" s="228">
        <v>0.55000000000000004</v>
      </c>
      <c r="DP20" s="228">
        <v>0.61</v>
      </c>
      <c r="DQ20" s="228">
        <v>-0.06</v>
      </c>
      <c r="DR20" s="229">
        <v>-9.8400000000000001E-2</v>
      </c>
      <c r="DS20" s="228">
        <v>800</v>
      </c>
      <c r="DT20" s="228">
        <v>760</v>
      </c>
      <c r="DU20" s="228">
        <v>0.47</v>
      </c>
      <c r="DV20" s="228">
        <v>0.52</v>
      </c>
      <c r="DW20" s="228">
        <v>-0.05</v>
      </c>
      <c r="DX20" s="229">
        <v>-9.6199999999999994E-2</v>
      </c>
      <c r="DY20" s="229">
        <v>1.4800000000000001E-2</v>
      </c>
      <c r="DZ20" s="230">
        <v>366300</v>
      </c>
      <c r="EA20" s="229">
        <v>5.4000000000000003E-3</v>
      </c>
      <c r="EB20" s="229">
        <v>1.4800000000000001E-2</v>
      </c>
      <c r="EC20" s="228">
        <v>4.96</v>
      </c>
      <c r="ED20" s="229">
        <v>6.6E-3</v>
      </c>
      <c r="EE20" s="230">
        <v>1822459</v>
      </c>
      <c r="EF20" s="230">
        <v>3226706</v>
      </c>
      <c r="EG20" s="229">
        <v>-0.43519999999999998</v>
      </c>
      <c r="EH20" s="229">
        <v>0.64859999999999995</v>
      </c>
      <c r="EI20" s="231">
        <v>59508.86</v>
      </c>
      <c r="EJ20" s="231">
        <v>26867.16</v>
      </c>
      <c r="EK20" s="231">
        <v>28357.9</v>
      </c>
      <c r="EL20" s="231">
        <v>3207</v>
      </c>
      <c r="EM20" s="231">
        <v>114733.92</v>
      </c>
      <c r="EN20" s="231">
        <v>159235.44</v>
      </c>
      <c r="EO20" s="231">
        <v>-44501.52</v>
      </c>
      <c r="EP20" s="229">
        <v>-0.27950000000000003</v>
      </c>
      <c r="EQ20" s="231">
        <v>75709</v>
      </c>
      <c r="ER20" s="231">
        <v>38204</v>
      </c>
      <c r="ES20" s="231">
        <v>234021</v>
      </c>
      <c r="ET20" s="231">
        <v>119296253</v>
      </c>
      <c r="EU20" s="231">
        <v>347933</v>
      </c>
      <c r="EV20" s="231">
        <v>335397</v>
      </c>
      <c r="EW20" s="231">
        <v>12536</v>
      </c>
      <c r="EX20" s="229">
        <v>3.7400000000000003E-2</v>
      </c>
      <c r="EY20" s="229">
        <v>0.3846</v>
      </c>
    </row>
    <row r="21" spans="1:155" ht="17.25" thickBot="1" x14ac:dyDescent="0.3">
      <c r="A21" s="226">
        <v>45940</v>
      </c>
      <c r="B21" s="227" t="s">
        <v>227</v>
      </c>
      <c r="C21" s="227" t="s">
        <v>228</v>
      </c>
      <c r="D21" s="228">
        <v>777.1</v>
      </c>
      <c r="E21" s="228">
        <v>778.25</v>
      </c>
      <c r="F21" s="228">
        <v>-1.1499999999999999</v>
      </c>
      <c r="G21" s="229">
        <v>-1.5E-3</v>
      </c>
      <c r="H21" s="228">
        <v>773.95</v>
      </c>
      <c r="I21" s="228">
        <v>774.1</v>
      </c>
      <c r="J21" s="228">
        <v>-0.15</v>
      </c>
      <c r="K21" s="229">
        <v>-2.0000000000000001E-4</v>
      </c>
      <c r="L21" s="228">
        <v>777.1</v>
      </c>
      <c r="M21" s="228">
        <v>778.25</v>
      </c>
      <c r="N21" s="228">
        <v>-1.1499999999999999</v>
      </c>
      <c r="O21" s="229">
        <v>-1.5E-3</v>
      </c>
      <c r="P21" s="228">
        <v>781.65</v>
      </c>
      <c r="Q21" s="228">
        <v>782.6</v>
      </c>
      <c r="R21" s="228">
        <v>-0.95</v>
      </c>
      <c r="S21" s="229">
        <v>-1.1999999999999999E-3</v>
      </c>
      <c r="T21" s="228">
        <v>785.55</v>
      </c>
      <c r="U21" s="228">
        <v>786.65</v>
      </c>
      <c r="V21" s="228">
        <v>-1.1000000000000001</v>
      </c>
      <c r="W21" s="229">
        <v>-1.4E-3</v>
      </c>
      <c r="X21" s="228">
        <v>3.15</v>
      </c>
      <c r="Y21" s="228">
        <v>4.1500000000000004</v>
      </c>
      <c r="Z21" s="228">
        <v>-1</v>
      </c>
      <c r="AA21" s="229">
        <v>4.1000000000000003E-3</v>
      </c>
      <c r="AB21" s="228">
        <v>3.15</v>
      </c>
      <c r="AC21" s="228">
        <v>4.1500000000000004</v>
      </c>
      <c r="AD21" s="228">
        <v>-1</v>
      </c>
      <c r="AE21" s="229">
        <v>4.1000000000000003E-3</v>
      </c>
      <c r="AF21" s="228">
        <v>7.7</v>
      </c>
      <c r="AG21" s="228">
        <v>8.5</v>
      </c>
      <c r="AH21" s="228">
        <v>-0.8</v>
      </c>
      <c r="AI21" s="229">
        <v>9.9000000000000008E-3</v>
      </c>
      <c r="AJ21" s="228">
        <v>11.6</v>
      </c>
      <c r="AK21" s="228">
        <v>12.55</v>
      </c>
      <c r="AL21" s="228">
        <v>-0.95</v>
      </c>
      <c r="AM21" s="229">
        <v>1.4999999999999999E-2</v>
      </c>
      <c r="AN21" s="228">
        <v>772.88</v>
      </c>
      <c r="AO21" s="228">
        <v>776.68</v>
      </c>
      <c r="AP21" s="228">
        <v>0</v>
      </c>
      <c r="AQ21" s="230">
        <v>6795</v>
      </c>
      <c r="AR21" s="230">
        <v>6302</v>
      </c>
      <c r="AS21" s="228">
        <v>493</v>
      </c>
      <c r="AT21" s="229">
        <v>7.8200000000000006E-2</v>
      </c>
      <c r="AU21" s="230">
        <v>6418</v>
      </c>
      <c r="AV21" s="230">
        <v>5860</v>
      </c>
      <c r="AW21" s="228">
        <v>558</v>
      </c>
      <c r="AX21" s="229">
        <v>9.5200000000000007E-2</v>
      </c>
      <c r="AY21" s="228">
        <v>327</v>
      </c>
      <c r="AZ21" s="228">
        <v>413</v>
      </c>
      <c r="BA21" s="228">
        <v>-86</v>
      </c>
      <c r="BB21" s="229">
        <v>-0.2082</v>
      </c>
      <c r="BC21" s="228">
        <v>50</v>
      </c>
      <c r="BD21" s="228">
        <v>29</v>
      </c>
      <c r="BE21" s="228">
        <v>21</v>
      </c>
      <c r="BF21" s="229">
        <v>0.72409999999999997</v>
      </c>
      <c r="BG21" s="230">
        <v>17996</v>
      </c>
      <c r="BH21" s="230">
        <v>19494</v>
      </c>
      <c r="BI21" s="230">
        <v>-1498</v>
      </c>
      <c r="BJ21" s="229">
        <v>-7.6799999999999993E-2</v>
      </c>
      <c r="BK21" s="230">
        <v>9370</v>
      </c>
      <c r="BL21" s="230">
        <v>7700</v>
      </c>
      <c r="BM21" s="230">
        <v>1670</v>
      </c>
      <c r="BN21" s="229">
        <v>0.21690000000000001</v>
      </c>
      <c r="BO21" s="230">
        <v>34161</v>
      </c>
      <c r="BP21" s="230">
        <v>33496</v>
      </c>
      <c r="BQ21" s="228">
        <v>665</v>
      </c>
      <c r="BR21" s="229">
        <v>1.9900000000000001E-2</v>
      </c>
      <c r="BS21" s="230">
        <v>4430794</v>
      </c>
      <c r="BT21" s="230">
        <v>7012901</v>
      </c>
      <c r="BU21" s="230">
        <v>-2582107</v>
      </c>
      <c r="BV21" s="229">
        <v>-0.36820000000000003</v>
      </c>
      <c r="BW21" s="230">
        <v>65359000</v>
      </c>
      <c r="BX21" s="230">
        <v>65699200</v>
      </c>
      <c r="BY21" s="230">
        <v>-340200</v>
      </c>
      <c r="BZ21" s="229">
        <v>-5.1999999999999998E-3</v>
      </c>
      <c r="CA21" s="230">
        <v>64220800</v>
      </c>
      <c r="CB21" s="230">
        <v>64674400</v>
      </c>
      <c r="CC21" s="230">
        <v>-453600</v>
      </c>
      <c r="CD21" s="229">
        <v>-7.0000000000000001E-3</v>
      </c>
      <c r="CE21" s="230">
        <v>1001000</v>
      </c>
      <c r="CF21" s="230">
        <v>929600</v>
      </c>
      <c r="CG21" s="230">
        <v>71400</v>
      </c>
      <c r="CH21" s="229">
        <v>7.6799999999999993E-2</v>
      </c>
      <c r="CI21" s="230">
        <v>137200</v>
      </c>
      <c r="CJ21" s="230">
        <v>95200</v>
      </c>
      <c r="CK21" s="230">
        <v>42000</v>
      </c>
      <c r="CL21" s="229">
        <v>0.44119999999999998</v>
      </c>
      <c r="CM21" s="230">
        <v>18086600</v>
      </c>
      <c r="CN21" s="230">
        <v>17547600</v>
      </c>
      <c r="CO21" s="230">
        <v>539000</v>
      </c>
      <c r="CP21" s="229">
        <v>3.0700000000000002E-2</v>
      </c>
      <c r="CQ21" s="230">
        <v>12986400</v>
      </c>
      <c r="CR21" s="230">
        <v>12682600</v>
      </c>
      <c r="CS21" s="230">
        <v>303800</v>
      </c>
      <c r="CT21" s="229">
        <v>2.4E-2</v>
      </c>
      <c r="CU21" s="230">
        <v>96432000</v>
      </c>
      <c r="CV21" s="230">
        <v>95929400</v>
      </c>
      <c r="CW21" s="230">
        <v>502600</v>
      </c>
      <c r="CX21" s="229">
        <v>5.1999999999999998E-3</v>
      </c>
      <c r="CY21" s="228">
        <v>22.61</v>
      </c>
      <c r="CZ21" s="228">
        <v>23.4</v>
      </c>
      <c r="DA21" s="228">
        <v>-0.79</v>
      </c>
      <c r="DB21" s="228">
        <v>-0.79</v>
      </c>
      <c r="DC21" s="228">
        <v>33.26</v>
      </c>
      <c r="DD21" s="228">
        <v>33.340000000000003</v>
      </c>
      <c r="DE21" s="228">
        <v>-10.65</v>
      </c>
      <c r="DF21" s="228">
        <v>-0.08</v>
      </c>
      <c r="DG21" s="228">
        <v>22.35</v>
      </c>
      <c r="DH21" s="228">
        <v>23.34</v>
      </c>
      <c r="DI21" s="228">
        <v>-0.99</v>
      </c>
      <c r="DJ21" s="228">
        <v>-0.99</v>
      </c>
      <c r="DK21" s="228">
        <v>23.1</v>
      </c>
      <c r="DL21" s="228">
        <v>23.53</v>
      </c>
      <c r="DM21" s="228">
        <v>-0.43</v>
      </c>
      <c r="DN21" s="228">
        <v>-0.43</v>
      </c>
      <c r="DO21" s="228">
        <v>0.72</v>
      </c>
      <c r="DP21" s="228">
        <v>0.72</v>
      </c>
      <c r="DQ21" s="228">
        <v>0</v>
      </c>
      <c r="DR21" s="229">
        <v>0</v>
      </c>
      <c r="DS21" s="228">
        <v>800</v>
      </c>
      <c r="DT21" s="228">
        <v>750</v>
      </c>
      <c r="DU21" s="228">
        <v>0.52</v>
      </c>
      <c r="DV21" s="228">
        <v>0.39</v>
      </c>
      <c r="DW21" s="228">
        <v>0.13</v>
      </c>
      <c r="DX21" s="229">
        <v>0.33329999999999999</v>
      </c>
      <c r="DY21" s="229">
        <v>1.7399999999999999E-2</v>
      </c>
      <c r="DZ21" s="230">
        <v>1024800</v>
      </c>
      <c r="EA21" s="229">
        <v>5.8999999999999999E-3</v>
      </c>
      <c r="EB21" s="229">
        <v>1.7399999999999999E-2</v>
      </c>
      <c r="EC21" s="228">
        <v>3.8</v>
      </c>
      <c r="ED21" s="229">
        <v>4.8999999999999998E-3</v>
      </c>
      <c r="EE21" s="230">
        <v>1983642</v>
      </c>
      <c r="EF21" s="230">
        <v>4566767</v>
      </c>
      <c r="EG21" s="229">
        <v>-0.56559999999999999</v>
      </c>
      <c r="EH21" s="229">
        <v>0.44769999999999999</v>
      </c>
      <c r="EI21" s="231">
        <v>202160.83</v>
      </c>
      <c r="EJ21" s="231">
        <v>100606.47</v>
      </c>
      <c r="EK21" s="231">
        <v>73548.149999999994</v>
      </c>
      <c r="EL21" s="231">
        <v>7354</v>
      </c>
      <c r="EM21" s="231">
        <v>376315.45</v>
      </c>
      <c r="EN21" s="231">
        <v>372802.7</v>
      </c>
      <c r="EO21" s="231">
        <v>3512.75</v>
      </c>
      <c r="EP21" s="229">
        <v>9.4000000000000004E-3</v>
      </c>
      <c r="EQ21" s="231">
        <v>144465</v>
      </c>
      <c r="ER21" s="231">
        <v>96246</v>
      </c>
      <c r="ES21" s="231">
        <v>507962</v>
      </c>
      <c r="ET21" s="231">
        <v>176136372</v>
      </c>
      <c r="EU21" s="231">
        <v>748673</v>
      </c>
      <c r="EV21" s="231">
        <v>745839</v>
      </c>
      <c r="EW21" s="231">
        <v>2834</v>
      </c>
      <c r="EX21" s="229">
        <v>3.8E-3</v>
      </c>
      <c r="EY21" s="229">
        <v>0.54749999999999999</v>
      </c>
    </row>
    <row r="22" spans="1:155" ht="17.25" thickBot="1" x14ac:dyDescent="0.3">
      <c r="A22" s="226">
        <v>45940</v>
      </c>
      <c r="B22" s="227" t="s">
        <v>168</v>
      </c>
      <c r="C22" s="227" t="s">
        <v>230</v>
      </c>
      <c r="D22" s="231">
        <v>2534.6999999999998</v>
      </c>
      <c r="E22" s="231">
        <v>2524.3000000000002</v>
      </c>
      <c r="F22" s="228">
        <v>10.4</v>
      </c>
      <c r="G22" s="229">
        <v>4.1000000000000003E-3</v>
      </c>
      <c r="H22" s="231">
        <v>2528.9</v>
      </c>
      <c r="I22" s="231">
        <v>2517.6</v>
      </c>
      <c r="J22" s="228">
        <v>11.3</v>
      </c>
      <c r="K22" s="229">
        <v>4.4999999999999997E-3</v>
      </c>
      <c r="L22" s="231">
        <v>2534.6999999999998</v>
      </c>
      <c r="M22" s="231">
        <v>2524.3000000000002</v>
      </c>
      <c r="N22" s="228">
        <v>10.4</v>
      </c>
      <c r="O22" s="229">
        <v>4.1000000000000003E-3</v>
      </c>
      <c r="P22" s="231">
        <v>2529.6</v>
      </c>
      <c r="Q22" s="231">
        <v>2521.4</v>
      </c>
      <c r="R22" s="228">
        <v>8.1999999999999993</v>
      </c>
      <c r="S22" s="229">
        <v>3.3E-3</v>
      </c>
      <c r="T22" s="231">
        <v>2545</v>
      </c>
      <c r="U22" s="231">
        <v>2527</v>
      </c>
      <c r="V22" s="228">
        <v>18</v>
      </c>
      <c r="W22" s="229">
        <v>7.1000000000000004E-3</v>
      </c>
      <c r="X22" s="228">
        <v>5.8</v>
      </c>
      <c r="Y22" s="228">
        <v>6.7</v>
      </c>
      <c r="Z22" s="228">
        <v>-0.9</v>
      </c>
      <c r="AA22" s="229">
        <v>2.3E-3</v>
      </c>
      <c r="AB22" s="228">
        <v>5.8</v>
      </c>
      <c r="AC22" s="228">
        <v>6.7</v>
      </c>
      <c r="AD22" s="228">
        <v>-0.9</v>
      </c>
      <c r="AE22" s="229">
        <v>2.3E-3</v>
      </c>
      <c r="AF22" s="228">
        <v>0.7</v>
      </c>
      <c r="AG22" s="228">
        <v>3.8</v>
      </c>
      <c r="AH22" s="228">
        <v>-3.1</v>
      </c>
      <c r="AI22" s="229">
        <v>2.9999999999999997E-4</v>
      </c>
      <c r="AJ22" s="228">
        <v>16.100000000000001</v>
      </c>
      <c r="AK22" s="228">
        <v>9.4</v>
      </c>
      <c r="AL22" s="228">
        <v>6.7</v>
      </c>
      <c r="AM22" s="229">
        <v>6.4000000000000003E-3</v>
      </c>
      <c r="AN22" s="231">
        <v>2531.14</v>
      </c>
      <c r="AO22" s="231">
        <v>2526.4299999999998</v>
      </c>
      <c r="AP22" s="228">
        <v>0</v>
      </c>
      <c r="AQ22" s="230">
        <v>4730</v>
      </c>
      <c r="AR22" s="230">
        <v>3770</v>
      </c>
      <c r="AS22" s="228">
        <v>960</v>
      </c>
      <c r="AT22" s="229">
        <v>0.25459999999999999</v>
      </c>
      <c r="AU22" s="230">
        <v>4216</v>
      </c>
      <c r="AV22" s="230">
        <v>3547</v>
      </c>
      <c r="AW22" s="228">
        <v>669</v>
      </c>
      <c r="AX22" s="229">
        <v>0.18859999999999999</v>
      </c>
      <c r="AY22" s="228">
        <v>378</v>
      </c>
      <c r="AZ22" s="228">
        <v>219</v>
      </c>
      <c r="BA22" s="228">
        <v>159</v>
      </c>
      <c r="BB22" s="229">
        <v>0.72599999999999998</v>
      </c>
      <c r="BC22" s="228">
        <v>136</v>
      </c>
      <c r="BD22" s="228">
        <v>4</v>
      </c>
      <c r="BE22" s="228">
        <v>132</v>
      </c>
      <c r="BF22" s="229">
        <v>33</v>
      </c>
      <c r="BG22" s="230">
        <v>13629</v>
      </c>
      <c r="BH22" s="230">
        <v>10682</v>
      </c>
      <c r="BI22" s="230">
        <v>2947</v>
      </c>
      <c r="BJ22" s="229">
        <v>0.27589999999999998</v>
      </c>
      <c r="BK22" s="230">
        <v>7420</v>
      </c>
      <c r="BL22" s="230">
        <v>4910</v>
      </c>
      <c r="BM22" s="230">
        <v>2510</v>
      </c>
      <c r="BN22" s="229">
        <v>0.51119999999999999</v>
      </c>
      <c r="BO22" s="230">
        <v>25779</v>
      </c>
      <c r="BP22" s="230">
        <v>19362</v>
      </c>
      <c r="BQ22" s="230">
        <v>6417</v>
      </c>
      <c r="BR22" s="229">
        <v>0.33139999999999997</v>
      </c>
      <c r="BS22" s="230">
        <v>1039549</v>
      </c>
      <c r="BT22" s="230">
        <v>1617232</v>
      </c>
      <c r="BU22" s="230">
        <v>-577683</v>
      </c>
      <c r="BV22" s="229">
        <v>-0.35720000000000002</v>
      </c>
      <c r="BW22" s="230">
        <v>14083500</v>
      </c>
      <c r="BX22" s="230">
        <v>13989600</v>
      </c>
      <c r="BY22" s="230">
        <v>93900</v>
      </c>
      <c r="BZ22" s="229">
        <v>6.7000000000000002E-3</v>
      </c>
      <c r="CA22" s="230">
        <v>13543800</v>
      </c>
      <c r="CB22" s="230">
        <v>13535700</v>
      </c>
      <c r="CC22" s="230">
        <v>8100</v>
      </c>
      <c r="CD22" s="229">
        <v>5.9999999999999995E-4</v>
      </c>
      <c r="CE22" s="230">
        <v>494100</v>
      </c>
      <c r="CF22" s="230">
        <v>439800</v>
      </c>
      <c r="CG22" s="230">
        <v>54300</v>
      </c>
      <c r="CH22" s="229">
        <v>0.1235</v>
      </c>
      <c r="CI22" s="230">
        <v>45600</v>
      </c>
      <c r="CJ22" s="230">
        <v>14100</v>
      </c>
      <c r="CK22" s="230">
        <v>31500</v>
      </c>
      <c r="CL22" s="229">
        <v>2.234</v>
      </c>
      <c r="CM22" s="230">
        <v>4868400</v>
      </c>
      <c r="CN22" s="230">
        <v>4603200</v>
      </c>
      <c r="CO22" s="230">
        <v>265200</v>
      </c>
      <c r="CP22" s="229">
        <v>5.7599999999999998E-2</v>
      </c>
      <c r="CQ22" s="230">
        <v>2747100</v>
      </c>
      <c r="CR22" s="230">
        <v>2736300</v>
      </c>
      <c r="CS22" s="230">
        <v>10800</v>
      </c>
      <c r="CT22" s="229">
        <v>3.8999999999999998E-3</v>
      </c>
      <c r="CU22" s="230">
        <v>21699000</v>
      </c>
      <c r="CV22" s="230">
        <v>21329100</v>
      </c>
      <c r="CW22" s="230">
        <v>369900</v>
      </c>
      <c r="CX22" s="229">
        <v>1.7299999999999999E-2</v>
      </c>
      <c r="CY22" s="228">
        <v>18.78</v>
      </c>
      <c r="CZ22" s="228">
        <v>19.579999999999998</v>
      </c>
      <c r="DA22" s="228">
        <v>-0.8</v>
      </c>
      <c r="DB22" s="228">
        <v>-0.8</v>
      </c>
      <c r="DC22" s="228">
        <v>22.67</v>
      </c>
      <c r="DD22" s="228">
        <v>22.72</v>
      </c>
      <c r="DE22" s="228">
        <v>-3.89</v>
      </c>
      <c r="DF22" s="228">
        <v>-0.05</v>
      </c>
      <c r="DG22" s="228">
        <v>18.670000000000002</v>
      </c>
      <c r="DH22" s="228">
        <v>19.68</v>
      </c>
      <c r="DI22" s="228">
        <v>-1.01</v>
      </c>
      <c r="DJ22" s="228">
        <v>-1.01</v>
      </c>
      <c r="DK22" s="228">
        <v>18.97</v>
      </c>
      <c r="DL22" s="228">
        <v>19.37</v>
      </c>
      <c r="DM22" s="228">
        <v>-0.4</v>
      </c>
      <c r="DN22" s="228">
        <v>-0.4</v>
      </c>
      <c r="DO22" s="228">
        <v>0.56000000000000005</v>
      </c>
      <c r="DP22" s="228">
        <v>0.59</v>
      </c>
      <c r="DQ22" s="228">
        <v>-0.03</v>
      </c>
      <c r="DR22" s="229">
        <v>-5.0799999999999998E-2</v>
      </c>
      <c r="DS22" s="231">
        <v>2600</v>
      </c>
      <c r="DT22" s="231">
        <v>2500</v>
      </c>
      <c r="DU22" s="228">
        <v>0.54</v>
      </c>
      <c r="DV22" s="228">
        <v>0.46</v>
      </c>
      <c r="DW22" s="228">
        <v>0.08</v>
      </c>
      <c r="DX22" s="229">
        <v>0.1739</v>
      </c>
      <c r="DY22" s="229">
        <v>3.8300000000000001E-2</v>
      </c>
      <c r="DZ22" s="230">
        <v>453900</v>
      </c>
      <c r="EA22" s="229">
        <v>-2E-3</v>
      </c>
      <c r="EB22" s="229">
        <v>3.8300000000000001E-2</v>
      </c>
      <c r="EC22" s="228">
        <v>-4.71</v>
      </c>
      <c r="ED22" s="229">
        <v>-1.9E-3</v>
      </c>
      <c r="EE22" s="230">
        <v>701244</v>
      </c>
      <c r="EF22" s="230">
        <v>825378</v>
      </c>
      <c r="EG22" s="229">
        <v>-0.15040000000000001</v>
      </c>
      <c r="EH22" s="229">
        <v>0.67459999999999998</v>
      </c>
      <c r="EI22" s="231">
        <v>106792.68</v>
      </c>
      <c r="EJ22" s="231">
        <v>55945.43</v>
      </c>
      <c r="EK22" s="231">
        <v>35915.67</v>
      </c>
      <c r="EL22" s="231">
        <v>5078</v>
      </c>
      <c r="EM22" s="231">
        <v>198653.78</v>
      </c>
      <c r="EN22" s="231">
        <v>149712.1</v>
      </c>
      <c r="EO22" s="231">
        <v>48941.68</v>
      </c>
      <c r="EP22" s="229">
        <v>0.32690000000000002</v>
      </c>
      <c r="EQ22" s="231">
        <v>127825</v>
      </c>
      <c r="ER22" s="231">
        <v>67953</v>
      </c>
      <c r="ES22" s="231">
        <v>356954</v>
      </c>
      <c r="ET22" s="231">
        <v>89517840</v>
      </c>
      <c r="EU22" s="231">
        <v>552732</v>
      </c>
      <c r="EV22" s="231">
        <v>541863</v>
      </c>
      <c r="EW22" s="231">
        <v>10869</v>
      </c>
      <c r="EX22" s="229">
        <v>2.01E-2</v>
      </c>
      <c r="EY22" s="229">
        <v>0.2424</v>
      </c>
    </row>
    <row r="23" spans="1:155" ht="17.25" thickBot="1" x14ac:dyDescent="0.3">
      <c r="A23" s="226">
        <v>45940</v>
      </c>
      <c r="B23" s="227" t="s">
        <v>172</v>
      </c>
      <c r="C23" s="227" t="s">
        <v>232</v>
      </c>
      <c r="D23" s="231">
        <v>1387.9</v>
      </c>
      <c r="E23" s="231">
        <v>1380.2</v>
      </c>
      <c r="F23" s="228">
        <v>7.7</v>
      </c>
      <c r="G23" s="229">
        <v>5.5999999999999999E-3</v>
      </c>
      <c r="H23" s="231">
        <v>1380.3</v>
      </c>
      <c r="I23" s="231">
        <v>1376.2</v>
      </c>
      <c r="J23" s="228">
        <v>4.0999999999999996</v>
      </c>
      <c r="K23" s="229">
        <v>3.0000000000000001E-3</v>
      </c>
      <c r="L23" s="231">
        <v>1387.9</v>
      </c>
      <c r="M23" s="231">
        <v>1380.2</v>
      </c>
      <c r="N23" s="228">
        <v>7.7</v>
      </c>
      <c r="O23" s="229">
        <v>5.5999999999999999E-3</v>
      </c>
      <c r="P23" s="231">
        <v>1395.1</v>
      </c>
      <c r="Q23" s="231">
        <v>1387.5</v>
      </c>
      <c r="R23" s="228">
        <v>7.6</v>
      </c>
      <c r="S23" s="229">
        <v>5.4999999999999997E-3</v>
      </c>
      <c r="T23" s="231">
        <v>1404</v>
      </c>
      <c r="U23" s="231">
        <v>1396.2</v>
      </c>
      <c r="V23" s="228">
        <v>7.8</v>
      </c>
      <c r="W23" s="229">
        <v>5.5999999999999999E-3</v>
      </c>
      <c r="X23" s="228">
        <v>7.6</v>
      </c>
      <c r="Y23" s="228">
        <v>4</v>
      </c>
      <c r="Z23" s="228">
        <v>3.6</v>
      </c>
      <c r="AA23" s="229">
        <v>5.4999999999999997E-3</v>
      </c>
      <c r="AB23" s="228">
        <v>7.6</v>
      </c>
      <c r="AC23" s="228">
        <v>4</v>
      </c>
      <c r="AD23" s="228">
        <v>3.6</v>
      </c>
      <c r="AE23" s="229">
        <v>5.4999999999999997E-3</v>
      </c>
      <c r="AF23" s="228">
        <v>14.8</v>
      </c>
      <c r="AG23" s="228">
        <v>11.3</v>
      </c>
      <c r="AH23" s="228">
        <v>3.5</v>
      </c>
      <c r="AI23" s="229">
        <v>1.0699999999999999E-2</v>
      </c>
      <c r="AJ23" s="228">
        <v>23.7</v>
      </c>
      <c r="AK23" s="228">
        <v>20</v>
      </c>
      <c r="AL23" s="228">
        <v>3.7</v>
      </c>
      <c r="AM23" s="229">
        <v>1.72E-2</v>
      </c>
      <c r="AN23" s="231">
        <v>1387.92</v>
      </c>
      <c r="AO23" s="231">
        <v>1394.71</v>
      </c>
      <c r="AP23" s="228">
        <v>0</v>
      </c>
      <c r="AQ23" s="230">
        <v>17082</v>
      </c>
      <c r="AR23" s="230">
        <v>14573</v>
      </c>
      <c r="AS23" s="230">
        <v>2509</v>
      </c>
      <c r="AT23" s="229">
        <v>0.17219999999999999</v>
      </c>
      <c r="AU23" s="230">
        <v>15169</v>
      </c>
      <c r="AV23" s="230">
        <v>13931</v>
      </c>
      <c r="AW23" s="230">
        <v>1238</v>
      </c>
      <c r="AX23" s="229">
        <v>8.8900000000000007E-2</v>
      </c>
      <c r="AY23" s="230">
        <v>1558</v>
      </c>
      <c r="AZ23" s="228">
        <v>587</v>
      </c>
      <c r="BA23" s="228">
        <v>971</v>
      </c>
      <c r="BB23" s="229">
        <v>1.6541999999999999</v>
      </c>
      <c r="BC23" s="228">
        <v>355</v>
      </c>
      <c r="BD23" s="228">
        <v>55</v>
      </c>
      <c r="BE23" s="228">
        <v>300</v>
      </c>
      <c r="BF23" s="229">
        <v>5.4545000000000003</v>
      </c>
      <c r="BG23" s="230">
        <v>39565</v>
      </c>
      <c r="BH23" s="230">
        <v>31825</v>
      </c>
      <c r="BI23" s="230">
        <v>7740</v>
      </c>
      <c r="BJ23" s="229">
        <v>0.2432</v>
      </c>
      <c r="BK23" s="230">
        <v>19947</v>
      </c>
      <c r="BL23" s="230">
        <v>17846</v>
      </c>
      <c r="BM23" s="230">
        <v>2101</v>
      </c>
      <c r="BN23" s="229">
        <v>0.1177</v>
      </c>
      <c r="BO23" s="230">
        <v>76594</v>
      </c>
      <c r="BP23" s="230">
        <v>64244</v>
      </c>
      <c r="BQ23" s="230">
        <v>12350</v>
      </c>
      <c r="BR23" s="229">
        <v>0.19220000000000001</v>
      </c>
      <c r="BS23" s="230">
        <v>8146503</v>
      </c>
      <c r="BT23" s="230">
        <v>8857003</v>
      </c>
      <c r="BU23" s="230">
        <v>-710500</v>
      </c>
      <c r="BV23" s="229">
        <v>-8.0199999999999994E-2</v>
      </c>
      <c r="BW23" s="230">
        <v>112877800</v>
      </c>
      <c r="BX23" s="230">
        <v>111101900</v>
      </c>
      <c r="BY23" s="230">
        <v>1775900</v>
      </c>
      <c r="BZ23" s="229">
        <v>1.6E-2</v>
      </c>
      <c r="CA23" s="230">
        <v>108124800</v>
      </c>
      <c r="CB23" s="230">
        <v>106914500</v>
      </c>
      <c r="CC23" s="230">
        <v>1210300</v>
      </c>
      <c r="CD23" s="229">
        <v>1.1299999999999999E-2</v>
      </c>
      <c r="CE23" s="230">
        <v>3762500</v>
      </c>
      <c r="CF23" s="230">
        <v>3390100</v>
      </c>
      <c r="CG23" s="230">
        <v>372400</v>
      </c>
      <c r="CH23" s="229">
        <v>0.10979999999999999</v>
      </c>
      <c r="CI23" s="230">
        <v>990500</v>
      </c>
      <c r="CJ23" s="230">
        <v>797300</v>
      </c>
      <c r="CK23" s="230">
        <v>193200</v>
      </c>
      <c r="CL23" s="229">
        <v>0.24229999999999999</v>
      </c>
      <c r="CM23" s="230">
        <v>23599100</v>
      </c>
      <c r="CN23" s="230">
        <v>23194500</v>
      </c>
      <c r="CO23" s="230">
        <v>404600</v>
      </c>
      <c r="CP23" s="229">
        <v>1.7399999999999999E-2</v>
      </c>
      <c r="CQ23" s="230">
        <v>17271100</v>
      </c>
      <c r="CR23" s="230">
        <v>16883300</v>
      </c>
      <c r="CS23" s="230">
        <v>387800</v>
      </c>
      <c r="CT23" s="229">
        <v>2.3E-2</v>
      </c>
      <c r="CU23" s="230">
        <v>153748000</v>
      </c>
      <c r="CV23" s="230">
        <v>151179700</v>
      </c>
      <c r="CW23" s="230">
        <v>2568300</v>
      </c>
      <c r="CX23" s="229">
        <v>1.7000000000000001E-2</v>
      </c>
      <c r="CY23" s="228">
        <v>18.13</v>
      </c>
      <c r="CZ23" s="228">
        <v>18.05</v>
      </c>
      <c r="DA23" s="228">
        <v>0.08</v>
      </c>
      <c r="DB23" s="228">
        <v>0.08</v>
      </c>
      <c r="DC23" s="228">
        <v>20.97</v>
      </c>
      <c r="DD23" s="228">
        <v>21.02</v>
      </c>
      <c r="DE23" s="228">
        <v>-2.84</v>
      </c>
      <c r="DF23" s="228">
        <v>-0.05</v>
      </c>
      <c r="DG23" s="228">
        <v>17.93</v>
      </c>
      <c r="DH23" s="228">
        <v>18</v>
      </c>
      <c r="DI23" s="228">
        <v>-7.0000000000000007E-2</v>
      </c>
      <c r="DJ23" s="228">
        <v>-7.0000000000000007E-2</v>
      </c>
      <c r="DK23" s="228">
        <v>18.52</v>
      </c>
      <c r="DL23" s="228">
        <v>18.149999999999999</v>
      </c>
      <c r="DM23" s="228">
        <v>0.37</v>
      </c>
      <c r="DN23" s="228">
        <v>0.37</v>
      </c>
      <c r="DO23" s="228">
        <v>0.73</v>
      </c>
      <c r="DP23" s="228">
        <v>0.73</v>
      </c>
      <c r="DQ23" s="228">
        <v>0</v>
      </c>
      <c r="DR23" s="229">
        <v>0</v>
      </c>
      <c r="DS23" s="231">
        <v>1400</v>
      </c>
      <c r="DT23" s="231">
        <v>1400</v>
      </c>
      <c r="DU23" s="228">
        <v>0.5</v>
      </c>
      <c r="DV23" s="228">
        <v>0.56000000000000005</v>
      </c>
      <c r="DW23" s="228">
        <v>-0.06</v>
      </c>
      <c r="DX23" s="229">
        <v>-0.1071</v>
      </c>
      <c r="DY23" s="229">
        <v>4.2099999999999999E-2</v>
      </c>
      <c r="DZ23" s="230">
        <v>4187400</v>
      </c>
      <c r="EA23" s="229">
        <v>5.1999999999999998E-3</v>
      </c>
      <c r="EB23" s="229">
        <v>4.2099999999999999E-2</v>
      </c>
      <c r="EC23" s="228">
        <v>6.79</v>
      </c>
      <c r="ED23" s="229">
        <v>4.8999999999999998E-3</v>
      </c>
      <c r="EE23" s="230">
        <v>4723549</v>
      </c>
      <c r="EF23" s="230">
        <v>4392412</v>
      </c>
      <c r="EG23" s="229">
        <v>7.5399999999999995E-2</v>
      </c>
      <c r="EH23" s="229">
        <v>0.57979999999999998</v>
      </c>
      <c r="EI23" s="231">
        <v>393521.56</v>
      </c>
      <c r="EJ23" s="231">
        <v>192257.94</v>
      </c>
      <c r="EK23" s="231">
        <v>166075.57999999999</v>
      </c>
      <c r="EL23" s="231">
        <v>19362</v>
      </c>
      <c r="EM23" s="231">
        <v>751855.08</v>
      </c>
      <c r="EN23" s="231">
        <v>627600.97</v>
      </c>
      <c r="EO23" s="231">
        <v>124254.11</v>
      </c>
      <c r="EP23" s="229">
        <v>0.19800000000000001</v>
      </c>
      <c r="EQ23" s="231">
        <v>333425</v>
      </c>
      <c r="ER23" s="231">
        <v>234324</v>
      </c>
      <c r="ES23" s="231">
        <v>1567061</v>
      </c>
      <c r="ET23" s="231">
        <v>579785172</v>
      </c>
      <c r="EU23" s="231">
        <v>2134811</v>
      </c>
      <c r="EV23" s="231">
        <v>2089957</v>
      </c>
      <c r="EW23" s="231">
        <v>44854</v>
      </c>
      <c r="EX23" s="229">
        <v>2.1499999999999998E-2</v>
      </c>
      <c r="EY23" s="229">
        <v>0.26519999999999999</v>
      </c>
    </row>
    <row r="24" spans="1:155" ht="17.25" thickBot="1" x14ac:dyDescent="0.3">
      <c r="A24" s="226">
        <v>45940</v>
      </c>
      <c r="B24" s="227" t="s">
        <v>215</v>
      </c>
      <c r="C24" s="227" t="s">
        <v>238</v>
      </c>
      <c r="D24" s="231">
        <v>5764</v>
      </c>
      <c r="E24" s="231">
        <v>5752.5</v>
      </c>
      <c r="F24" s="228">
        <v>11.5</v>
      </c>
      <c r="G24" s="229">
        <v>2E-3</v>
      </c>
      <c r="H24" s="231">
        <v>5735</v>
      </c>
      <c r="I24" s="231">
        <v>5724.5</v>
      </c>
      <c r="J24" s="228">
        <v>10.5</v>
      </c>
      <c r="K24" s="229">
        <v>1.8E-3</v>
      </c>
      <c r="L24" s="231">
        <v>5764</v>
      </c>
      <c r="M24" s="231">
        <v>5752.5</v>
      </c>
      <c r="N24" s="228">
        <v>11.5</v>
      </c>
      <c r="O24" s="229">
        <v>2E-3</v>
      </c>
      <c r="P24" s="231">
        <v>5793.5</v>
      </c>
      <c r="Q24" s="231">
        <v>5779</v>
      </c>
      <c r="R24" s="228">
        <v>14.5</v>
      </c>
      <c r="S24" s="229">
        <v>2.5000000000000001E-3</v>
      </c>
      <c r="T24" s="231">
        <v>5825.5</v>
      </c>
      <c r="U24" s="231">
        <v>5808.5</v>
      </c>
      <c r="V24" s="228">
        <v>17</v>
      </c>
      <c r="W24" s="229">
        <v>2.8999999999999998E-3</v>
      </c>
      <c r="X24" s="228">
        <v>29</v>
      </c>
      <c r="Y24" s="228">
        <v>28</v>
      </c>
      <c r="Z24" s="228">
        <v>1</v>
      </c>
      <c r="AA24" s="229">
        <v>5.1000000000000004E-3</v>
      </c>
      <c r="AB24" s="228">
        <v>29</v>
      </c>
      <c r="AC24" s="228">
        <v>28</v>
      </c>
      <c r="AD24" s="228">
        <v>1</v>
      </c>
      <c r="AE24" s="229">
        <v>5.1000000000000004E-3</v>
      </c>
      <c r="AF24" s="228">
        <v>58.5</v>
      </c>
      <c r="AG24" s="228">
        <v>54.5</v>
      </c>
      <c r="AH24" s="228">
        <v>4</v>
      </c>
      <c r="AI24" s="229">
        <v>1.0200000000000001E-2</v>
      </c>
      <c r="AJ24" s="228">
        <v>90.5</v>
      </c>
      <c r="AK24" s="228">
        <v>84</v>
      </c>
      <c r="AL24" s="228">
        <v>6.5</v>
      </c>
      <c r="AM24" s="229">
        <v>1.5800000000000002E-2</v>
      </c>
      <c r="AN24" s="231">
        <v>5771.75</v>
      </c>
      <c r="AO24" s="231">
        <v>5798.03</v>
      </c>
      <c r="AP24" s="228">
        <v>0</v>
      </c>
      <c r="AQ24" s="230">
        <v>5067</v>
      </c>
      <c r="AR24" s="230">
        <v>7773</v>
      </c>
      <c r="AS24" s="230">
        <v>-2706</v>
      </c>
      <c r="AT24" s="229">
        <v>-0.34810000000000002</v>
      </c>
      <c r="AU24" s="230">
        <v>4736</v>
      </c>
      <c r="AV24" s="230">
        <v>7111</v>
      </c>
      <c r="AW24" s="230">
        <v>-2375</v>
      </c>
      <c r="AX24" s="229">
        <v>-0.33400000000000002</v>
      </c>
      <c r="AY24" s="228">
        <v>251</v>
      </c>
      <c r="AZ24" s="228">
        <v>599</v>
      </c>
      <c r="BA24" s="228">
        <v>-348</v>
      </c>
      <c r="BB24" s="229">
        <v>-0.58099999999999996</v>
      </c>
      <c r="BC24" s="228">
        <v>80</v>
      </c>
      <c r="BD24" s="228">
        <v>63</v>
      </c>
      <c r="BE24" s="228">
        <v>17</v>
      </c>
      <c r="BF24" s="229">
        <v>0.26979999999999998</v>
      </c>
      <c r="BG24" s="230">
        <v>17523</v>
      </c>
      <c r="BH24" s="230">
        <v>23069</v>
      </c>
      <c r="BI24" s="230">
        <v>-5546</v>
      </c>
      <c r="BJ24" s="229">
        <v>-0.2404</v>
      </c>
      <c r="BK24" s="230">
        <v>6765</v>
      </c>
      <c r="BL24" s="230">
        <v>10045</v>
      </c>
      <c r="BM24" s="230">
        <v>-3280</v>
      </c>
      <c r="BN24" s="229">
        <v>-0.32650000000000001</v>
      </c>
      <c r="BO24" s="230">
        <v>29355</v>
      </c>
      <c r="BP24" s="230">
        <v>40887</v>
      </c>
      <c r="BQ24" s="230">
        <v>-11532</v>
      </c>
      <c r="BR24" s="229">
        <v>-0.28199999999999997</v>
      </c>
      <c r="BS24" s="230">
        <v>430408</v>
      </c>
      <c r="BT24" s="230">
        <v>677302</v>
      </c>
      <c r="BU24" s="230">
        <v>-246894</v>
      </c>
      <c r="BV24" s="229">
        <v>-0.36449999999999999</v>
      </c>
      <c r="BW24" s="230">
        <v>8090250</v>
      </c>
      <c r="BX24" s="230">
        <v>8216550</v>
      </c>
      <c r="BY24" s="230">
        <v>-126300</v>
      </c>
      <c r="BZ24" s="229">
        <v>-1.54E-2</v>
      </c>
      <c r="CA24" s="230">
        <v>7844400</v>
      </c>
      <c r="CB24" s="230">
        <v>7984650</v>
      </c>
      <c r="CC24" s="230">
        <v>-140250</v>
      </c>
      <c r="CD24" s="229">
        <v>-1.7600000000000001E-2</v>
      </c>
      <c r="CE24" s="230">
        <v>217350</v>
      </c>
      <c r="CF24" s="230">
        <v>211800</v>
      </c>
      <c r="CG24" s="230">
        <v>5550</v>
      </c>
      <c r="CH24" s="229">
        <v>2.6200000000000001E-2</v>
      </c>
      <c r="CI24" s="230">
        <v>28500</v>
      </c>
      <c r="CJ24" s="230">
        <v>20100</v>
      </c>
      <c r="CK24" s="230">
        <v>8400</v>
      </c>
      <c r="CL24" s="229">
        <v>0.41789999999999999</v>
      </c>
      <c r="CM24" s="230">
        <v>1858050</v>
      </c>
      <c r="CN24" s="230">
        <v>1794450</v>
      </c>
      <c r="CO24" s="230">
        <v>63600</v>
      </c>
      <c r="CP24" s="229">
        <v>3.5400000000000001E-2</v>
      </c>
      <c r="CQ24" s="230">
        <v>1341000</v>
      </c>
      <c r="CR24" s="230">
        <v>1295100</v>
      </c>
      <c r="CS24" s="230">
        <v>45900</v>
      </c>
      <c r="CT24" s="229">
        <v>3.5400000000000001E-2</v>
      </c>
      <c r="CU24" s="230">
        <v>11289300</v>
      </c>
      <c r="CV24" s="230">
        <v>11306100</v>
      </c>
      <c r="CW24" s="230">
        <v>-16800</v>
      </c>
      <c r="CX24" s="229">
        <v>-1.5E-3</v>
      </c>
      <c r="CY24" s="228">
        <v>19.38</v>
      </c>
      <c r="CZ24" s="228">
        <v>20.190000000000001</v>
      </c>
      <c r="DA24" s="228">
        <v>-0.81</v>
      </c>
      <c r="DB24" s="228">
        <v>-0.81</v>
      </c>
      <c r="DC24" s="228">
        <v>32.909999999999997</v>
      </c>
      <c r="DD24" s="228">
        <v>32.99</v>
      </c>
      <c r="DE24" s="228">
        <v>-13.53</v>
      </c>
      <c r="DF24" s="228">
        <v>-0.08</v>
      </c>
      <c r="DG24" s="228">
        <v>18.98</v>
      </c>
      <c r="DH24" s="228">
        <v>19.850000000000001</v>
      </c>
      <c r="DI24" s="228">
        <v>-0.87</v>
      </c>
      <c r="DJ24" s="228">
        <v>-0.87</v>
      </c>
      <c r="DK24" s="228">
        <v>20.420000000000002</v>
      </c>
      <c r="DL24" s="228">
        <v>20.95</v>
      </c>
      <c r="DM24" s="228">
        <v>-0.53</v>
      </c>
      <c r="DN24" s="228">
        <v>-0.53</v>
      </c>
      <c r="DO24" s="228">
        <v>0.72</v>
      </c>
      <c r="DP24" s="228">
        <v>0.72</v>
      </c>
      <c r="DQ24" s="228">
        <v>0</v>
      </c>
      <c r="DR24" s="229">
        <v>0</v>
      </c>
      <c r="DS24" s="231">
        <v>6000</v>
      </c>
      <c r="DT24" s="231">
        <v>5500</v>
      </c>
      <c r="DU24" s="228">
        <v>0.39</v>
      </c>
      <c r="DV24" s="228">
        <v>0.44</v>
      </c>
      <c r="DW24" s="228">
        <v>-0.05</v>
      </c>
      <c r="DX24" s="229">
        <v>-0.11360000000000001</v>
      </c>
      <c r="DY24" s="229">
        <v>3.04E-2</v>
      </c>
      <c r="DZ24" s="230">
        <v>231900</v>
      </c>
      <c r="EA24" s="229">
        <v>5.1000000000000004E-3</v>
      </c>
      <c r="EB24" s="229">
        <v>3.04E-2</v>
      </c>
      <c r="EC24" s="228">
        <v>26.28</v>
      </c>
      <c r="ED24" s="229">
        <v>4.5999999999999999E-3</v>
      </c>
      <c r="EE24" s="230">
        <v>253817</v>
      </c>
      <c r="EF24" s="230">
        <v>438694</v>
      </c>
      <c r="EG24" s="229">
        <v>-0.4214</v>
      </c>
      <c r="EH24" s="229">
        <v>0.5897</v>
      </c>
      <c r="EI24" s="231">
        <v>155585.75</v>
      </c>
      <c r="EJ24" s="231">
        <v>57544.92</v>
      </c>
      <c r="EK24" s="231">
        <v>43885.14</v>
      </c>
      <c r="EL24" s="231">
        <v>5445</v>
      </c>
      <c r="EM24" s="231">
        <v>257015.81</v>
      </c>
      <c r="EN24" s="231">
        <v>355933.52</v>
      </c>
      <c r="EO24" s="231">
        <v>-98917.71</v>
      </c>
      <c r="EP24" s="229">
        <v>-0.27789999999999998</v>
      </c>
      <c r="EQ24" s="231">
        <v>109050</v>
      </c>
      <c r="ER24" s="231">
        <v>75324</v>
      </c>
      <c r="ES24" s="231">
        <v>466404</v>
      </c>
      <c r="ET24" s="231">
        <v>32732860</v>
      </c>
      <c r="EU24" s="231">
        <v>650778</v>
      </c>
      <c r="EV24" s="231">
        <v>650731</v>
      </c>
      <c r="EW24" s="228">
        <v>47</v>
      </c>
      <c r="EX24" s="229">
        <v>1E-4</v>
      </c>
      <c r="EY24" s="229">
        <v>0.34489999999999998</v>
      </c>
    </row>
    <row r="25" spans="1:155" ht="17.25" thickBot="1" x14ac:dyDescent="0.3">
      <c r="A25" s="226">
        <v>45940</v>
      </c>
      <c r="B25" s="227" t="s">
        <v>221</v>
      </c>
      <c r="C25" s="227" t="s">
        <v>240</v>
      </c>
      <c r="D25" s="231">
        <v>1508.2</v>
      </c>
      <c r="E25" s="231">
        <v>1506.6</v>
      </c>
      <c r="F25" s="228">
        <v>1.6</v>
      </c>
      <c r="G25" s="229">
        <v>1.1000000000000001E-3</v>
      </c>
      <c r="H25" s="231">
        <v>1514.9</v>
      </c>
      <c r="I25" s="231">
        <v>1509.3</v>
      </c>
      <c r="J25" s="228">
        <v>5.6</v>
      </c>
      <c r="K25" s="229">
        <v>3.7000000000000002E-3</v>
      </c>
      <c r="L25" s="231">
        <v>1508.2</v>
      </c>
      <c r="M25" s="231">
        <v>1506.6</v>
      </c>
      <c r="N25" s="228">
        <v>1.6</v>
      </c>
      <c r="O25" s="229">
        <v>1.1000000000000001E-3</v>
      </c>
      <c r="P25" s="231">
        <v>1500.5</v>
      </c>
      <c r="Q25" s="231">
        <v>1496.4</v>
      </c>
      <c r="R25" s="228">
        <v>4.0999999999999996</v>
      </c>
      <c r="S25" s="229">
        <v>2.7000000000000001E-3</v>
      </c>
      <c r="T25" s="231">
        <v>1505.9</v>
      </c>
      <c r="U25" s="231">
        <v>1501.9</v>
      </c>
      <c r="V25" s="228">
        <v>4</v>
      </c>
      <c r="W25" s="229">
        <v>2.7000000000000001E-3</v>
      </c>
      <c r="X25" s="228">
        <v>-6.7</v>
      </c>
      <c r="Y25" s="228">
        <v>-2.7</v>
      </c>
      <c r="Z25" s="228">
        <v>-4</v>
      </c>
      <c r="AA25" s="229">
        <v>-4.4000000000000003E-3</v>
      </c>
      <c r="AB25" s="228">
        <v>-6.7</v>
      </c>
      <c r="AC25" s="228">
        <v>-2.7</v>
      </c>
      <c r="AD25" s="228">
        <v>-4</v>
      </c>
      <c r="AE25" s="229">
        <v>-4.4000000000000003E-3</v>
      </c>
      <c r="AF25" s="228">
        <v>-14.4</v>
      </c>
      <c r="AG25" s="228">
        <v>-12.9</v>
      </c>
      <c r="AH25" s="228">
        <v>-1.5</v>
      </c>
      <c r="AI25" s="229">
        <v>-9.4999999999999998E-3</v>
      </c>
      <c r="AJ25" s="228">
        <v>-9</v>
      </c>
      <c r="AK25" s="228">
        <v>-7.4</v>
      </c>
      <c r="AL25" s="228">
        <v>-1.6</v>
      </c>
      <c r="AM25" s="229">
        <v>-5.8999999999999999E-3</v>
      </c>
      <c r="AN25" s="231">
        <v>1507.21</v>
      </c>
      <c r="AO25" s="231">
        <v>1499.43</v>
      </c>
      <c r="AP25" s="228">
        <v>0</v>
      </c>
      <c r="AQ25" s="230">
        <v>26758</v>
      </c>
      <c r="AR25" s="230">
        <v>32901</v>
      </c>
      <c r="AS25" s="230">
        <v>-6143</v>
      </c>
      <c r="AT25" s="229">
        <v>-0.1867</v>
      </c>
      <c r="AU25" s="230">
        <v>24336</v>
      </c>
      <c r="AV25" s="230">
        <v>30511</v>
      </c>
      <c r="AW25" s="230">
        <v>-6175</v>
      </c>
      <c r="AX25" s="229">
        <v>-0.2024</v>
      </c>
      <c r="AY25" s="230">
        <v>2020</v>
      </c>
      <c r="AZ25" s="230">
        <v>2210</v>
      </c>
      <c r="BA25" s="228">
        <v>-190</v>
      </c>
      <c r="BB25" s="229">
        <v>-8.5999999999999993E-2</v>
      </c>
      <c r="BC25" s="228">
        <v>402</v>
      </c>
      <c r="BD25" s="228">
        <v>180</v>
      </c>
      <c r="BE25" s="228">
        <v>222</v>
      </c>
      <c r="BF25" s="229">
        <v>1.2333000000000001</v>
      </c>
      <c r="BG25" s="230">
        <v>67506</v>
      </c>
      <c r="BH25" s="230">
        <v>101252</v>
      </c>
      <c r="BI25" s="230">
        <v>-33746</v>
      </c>
      <c r="BJ25" s="229">
        <v>-0.33329999999999999</v>
      </c>
      <c r="BK25" s="230">
        <v>44246</v>
      </c>
      <c r="BL25" s="230">
        <v>60785</v>
      </c>
      <c r="BM25" s="230">
        <v>-16539</v>
      </c>
      <c r="BN25" s="229">
        <v>-0.27210000000000001</v>
      </c>
      <c r="BO25" s="230">
        <v>138510</v>
      </c>
      <c r="BP25" s="230">
        <v>194938</v>
      </c>
      <c r="BQ25" s="230">
        <v>-56428</v>
      </c>
      <c r="BR25" s="229">
        <v>-0.28949999999999998</v>
      </c>
      <c r="BS25" s="230">
        <v>3941834</v>
      </c>
      <c r="BT25" s="230">
        <v>7610404</v>
      </c>
      <c r="BU25" s="230">
        <v>-3668570</v>
      </c>
      <c r="BV25" s="229">
        <v>-0.48199999999999998</v>
      </c>
      <c r="BW25" s="230">
        <v>59457200</v>
      </c>
      <c r="BX25" s="230">
        <v>61124800</v>
      </c>
      <c r="BY25" s="230">
        <v>-1667600</v>
      </c>
      <c r="BZ25" s="229">
        <v>-2.7300000000000001E-2</v>
      </c>
      <c r="CA25" s="230">
        <v>39406800</v>
      </c>
      <c r="CB25" s="230">
        <v>40988800</v>
      </c>
      <c r="CC25" s="230">
        <v>-1582000</v>
      </c>
      <c r="CD25" s="229">
        <v>-3.8600000000000002E-2</v>
      </c>
      <c r="CE25" s="230">
        <v>19810000</v>
      </c>
      <c r="CF25" s="230">
        <v>20000400</v>
      </c>
      <c r="CG25" s="230">
        <v>-190400</v>
      </c>
      <c r="CH25" s="229">
        <v>-9.4999999999999998E-3</v>
      </c>
      <c r="CI25" s="230">
        <v>240400</v>
      </c>
      <c r="CJ25" s="230">
        <v>135600</v>
      </c>
      <c r="CK25" s="230">
        <v>104800</v>
      </c>
      <c r="CL25" s="229">
        <v>0.77290000000000003</v>
      </c>
      <c r="CM25" s="230">
        <v>19015600</v>
      </c>
      <c r="CN25" s="230">
        <v>18856400</v>
      </c>
      <c r="CO25" s="230">
        <v>159200</v>
      </c>
      <c r="CP25" s="229">
        <v>8.3999999999999995E-3</v>
      </c>
      <c r="CQ25" s="230">
        <v>16080000</v>
      </c>
      <c r="CR25" s="230">
        <v>16436800</v>
      </c>
      <c r="CS25" s="230">
        <v>-356800</v>
      </c>
      <c r="CT25" s="229">
        <v>-2.1700000000000001E-2</v>
      </c>
      <c r="CU25" s="230">
        <v>94552800</v>
      </c>
      <c r="CV25" s="230">
        <v>96418000</v>
      </c>
      <c r="CW25" s="230">
        <v>-1865200</v>
      </c>
      <c r="CX25" s="229">
        <v>-1.9300000000000001E-2</v>
      </c>
      <c r="CY25" s="228">
        <v>27.15</v>
      </c>
      <c r="CZ25" s="228">
        <v>28.85</v>
      </c>
      <c r="DA25" s="228">
        <v>-1.7</v>
      </c>
      <c r="DB25" s="228">
        <v>-1.7</v>
      </c>
      <c r="DC25" s="228">
        <v>29.48</v>
      </c>
      <c r="DD25" s="228">
        <v>29.55</v>
      </c>
      <c r="DE25" s="228">
        <v>-2.33</v>
      </c>
      <c r="DF25" s="228">
        <v>-7.0000000000000007E-2</v>
      </c>
      <c r="DG25" s="228">
        <v>26.59</v>
      </c>
      <c r="DH25" s="228">
        <v>28.27</v>
      </c>
      <c r="DI25" s="228">
        <v>-1.68</v>
      </c>
      <c r="DJ25" s="228">
        <v>-1.68</v>
      </c>
      <c r="DK25" s="228">
        <v>28</v>
      </c>
      <c r="DL25" s="228">
        <v>29.81</v>
      </c>
      <c r="DM25" s="228">
        <v>-1.81</v>
      </c>
      <c r="DN25" s="228">
        <v>-1.81</v>
      </c>
      <c r="DO25" s="228">
        <v>0.85</v>
      </c>
      <c r="DP25" s="228">
        <v>0.87</v>
      </c>
      <c r="DQ25" s="228">
        <v>-0.02</v>
      </c>
      <c r="DR25" s="229">
        <v>-2.3E-2</v>
      </c>
      <c r="DS25" s="231">
        <v>1500</v>
      </c>
      <c r="DT25" s="231">
        <v>1500</v>
      </c>
      <c r="DU25" s="228">
        <v>0.66</v>
      </c>
      <c r="DV25" s="228">
        <v>0.6</v>
      </c>
      <c r="DW25" s="228">
        <v>0.06</v>
      </c>
      <c r="DX25" s="229">
        <v>0.1</v>
      </c>
      <c r="DY25" s="229">
        <v>0.3372</v>
      </c>
      <c r="DZ25" s="230">
        <v>20136000</v>
      </c>
      <c r="EA25" s="229">
        <v>-5.1000000000000004E-3</v>
      </c>
      <c r="EB25" s="229">
        <v>0.3372</v>
      </c>
      <c r="EC25" s="228">
        <v>-7.78</v>
      </c>
      <c r="ED25" s="229">
        <v>-5.1999999999999998E-3</v>
      </c>
      <c r="EE25" s="230">
        <v>1819651</v>
      </c>
      <c r="EF25" s="230">
        <v>3339752</v>
      </c>
      <c r="EG25" s="229">
        <v>-0.45519999999999999</v>
      </c>
      <c r="EH25" s="229">
        <v>0.46160000000000001</v>
      </c>
      <c r="EI25" s="231">
        <v>424622.72</v>
      </c>
      <c r="EJ25" s="231">
        <v>262755.02</v>
      </c>
      <c r="EK25" s="231">
        <v>161253.84</v>
      </c>
      <c r="EL25" s="231">
        <v>28987</v>
      </c>
      <c r="EM25" s="231">
        <v>848631.58</v>
      </c>
      <c r="EN25" s="231">
        <v>1189540.2</v>
      </c>
      <c r="EO25" s="231">
        <v>-340908.62</v>
      </c>
      <c r="EP25" s="229">
        <v>-0.28660000000000002</v>
      </c>
      <c r="EQ25" s="231">
        <v>293020</v>
      </c>
      <c r="ER25" s="231">
        <v>230972</v>
      </c>
      <c r="ES25" s="231">
        <v>895203</v>
      </c>
      <c r="ET25" s="231">
        <v>341789333</v>
      </c>
      <c r="EU25" s="231">
        <v>1419195</v>
      </c>
      <c r="EV25" s="231">
        <v>1444852</v>
      </c>
      <c r="EW25" s="231">
        <v>-25657</v>
      </c>
      <c r="EX25" s="229">
        <v>-1.78E-2</v>
      </c>
      <c r="EY25" s="229">
        <v>0.27660000000000001</v>
      </c>
    </row>
    <row r="26" spans="1:155" ht="17.25" thickBot="1" x14ac:dyDescent="0.3">
      <c r="A26" s="226">
        <v>45940</v>
      </c>
      <c r="B26" s="227" t="s">
        <v>168</v>
      </c>
      <c r="C26" s="227" t="s">
        <v>242</v>
      </c>
      <c r="D26" s="228">
        <v>405</v>
      </c>
      <c r="E26" s="228">
        <v>402.2</v>
      </c>
      <c r="F26" s="228">
        <v>2.8</v>
      </c>
      <c r="G26" s="229">
        <v>7.0000000000000001E-3</v>
      </c>
      <c r="H26" s="228">
        <v>402.8</v>
      </c>
      <c r="I26" s="228">
        <v>399.9</v>
      </c>
      <c r="J26" s="228">
        <v>2.9</v>
      </c>
      <c r="K26" s="229">
        <v>7.3000000000000001E-3</v>
      </c>
      <c r="L26" s="228">
        <v>405</v>
      </c>
      <c r="M26" s="228">
        <v>402.2</v>
      </c>
      <c r="N26" s="228">
        <v>2.8</v>
      </c>
      <c r="O26" s="229">
        <v>7.0000000000000001E-3</v>
      </c>
      <c r="P26" s="228">
        <v>407.15</v>
      </c>
      <c r="Q26" s="228">
        <v>404.25</v>
      </c>
      <c r="R26" s="228">
        <v>2.9</v>
      </c>
      <c r="S26" s="229">
        <v>7.1999999999999998E-3</v>
      </c>
      <c r="T26" s="228">
        <v>409.6</v>
      </c>
      <c r="U26" s="228">
        <v>406.55</v>
      </c>
      <c r="V26" s="228">
        <v>3.05</v>
      </c>
      <c r="W26" s="229">
        <v>7.4999999999999997E-3</v>
      </c>
      <c r="X26" s="228">
        <v>2.2000000000000002</v>
      </c>
      <c r="Y26" s="228">
        <v>2.2999999999999998</v>
      </c>
      <c r="Z26" s="228">
        <v>-0.1</v>
      </c>
      <c r="AA26" s="229">
        <v>5.4999999999999997E-3</v>
      </c>
      <c r="AB26" s="228">
        <v>2.2000000000000002</v>
      </c>
      <c r="AC26" s="228">
        <v>2.2999999999999998</v>
      </c>
      <c r="AD26" s="228">
        <v>-0.1</v>
      </c>
      <c r="AE26" s="229">
        <v>5.4999999999999997E-3</v>
      </c>
      <c r="AF26" s="228">
        <v>4.3499999999999996</v>
      </c>
      <c r="AG26" s="228">
        <v>4.3499999999999996</v>
      </c>
      <c r="AH26" s="228">
        <v>0</v>
      </c>
      <c r="AI26" s="229">
        <v>1.0800000000000001E-2</v>
      </c>
      <c r="AJ26" s="228">
        <v>6.8</v>
      </c>
      <c r="AK26" s="228">
        <v>6.65</v>
      </c>
      <c r="AL26" s="228">
        <v>0.15</v>
      </c>
      <c r="AM26" s="229">
        <v>1.6899999999999998E-2</v>
      </c>
      <c r="AN26" s="228">
        <v>404.59</v>
      </c>
      <c r="AO26" s="228">
        <v>406.78</v>
      </c>
      <c r="AP26" s="228">
        <v>0</v>
      </c>
      <c r="AQ26" s="230">
        <v>12862</v>
      </c>
      <c r="AR26" s="230">
        <v>8160</v>
      </c>
      <c r="AS26" s="230">
        <v>4702</v>
      </c>
      <c r="AT26" s="229">
        <v>0.57620000000000005</v>
      </c>
      <c r="AU26" s="230">
        <v>11751</v>
      </c>
      <c r="AV26" s="230">
        <v>7545</v>
      </c>
      <c r="AW26" s="230">
        <v>4206</v>
      </c>
      <c r="AX26" s="229">
        <v>0.5575</v>
      </c>
      <c r="AY26" s="228">
        <v>754</v>
      </c>
      <c r="AZ26" s="228">
        <v>487</v>
      </c>
      <c r="BA26" s="228">
        <v>267</v>
      </c>
      <c r="BB26" s="229">
        <v>0.54830000000000001</v>
      </c>
      <c r="BC26" s="228">
        <v>357</v>
      </c>
      <c r="BD26" s="228">
        <v>128</v>
      </c>
      <c r="BE26" s="228">
        <v>229</v>
      </c>
      <c r="BF26" s="229">
        <v>1.7890999999999999</v>
      </c>
      <c r="BG26" s="230">
        <v>32444</v>
      </c>
      <c r="BH26" s="230">
        <v>19239</v>
      </c>
      <c r="BI26" s="230">
        <v>13205</v>
      </c>
      <c r="BJ26" s="229">
        <v>0.68640000000000001</v>
      </c>
      <c r="BK26" s="230">
        <v>18732</v>
      </c>
      <c r="BL26" s="230">
        <v>11195</v>
      </c>
      <c r="BM26" s="230">
        <v>7537</v>
      </c>
      <c r="BN26" s="229">
        <v>0.67320000000000002</v>
      </c>
      <c r="BO26" s="230">
        <v>64038</v>
      </c>
      <c r="BP26" s="230">
        <v>38594</v>
      </c>
      <c r="BQ26" s="230">
        <v>25444</v>
      </c>
      <c r="BR26" s="229">
        <v>0.6593</v>
      </c>
      <c r="BS26" s="230">
        <v>19173015</v>
      </c>
      <c r="BT26" s="230">
        <v>16722114</v>
      </c>
      <c r="BU26" s="230">
        <v>2450901</v>
      </c>
      <c r="BV26" s="229">
        <v>0.14660000000000001</v>
      </c>
      <c r="BW26" s="230">
        <v>129392000</v>
      </c>
      <c r="BX26" s="230">
        <v>124659200</v>
      </c>
      <c r="BY26" s="230">
        <v>4732800</v>
      </c>
      <c r="BZ26" s="229">
        <v>3.7999999999999999E-2</v>
      </c>
      <c r="CA26" s="230">
        <v>123148800</v>
      </c>
      <c r="CB26" s="230">
        <v>118936000</v>
      </c>
      <c r="CC26" s="230">
        <v>4212800</v>
      </c>
      <c r="CD26" s="229">
        <v>3.5400000000000001E-2</v>
      </c>
      <c r="CE26" s="230">
        <v>5540800</v>
      </c>
      <c r="CF26" s="230">
        <v>5256000</v>
      </c>
      <c r="CG26" s="230">
        <v>284800</v>
      </c>
      <c r="CH26" s="229">
        <v>5.4199999999999998E-2</v>
      </c>
      <c r="CI26" s="230">
        <v>702400</v>
      </c>
      <c r="CJ26" s="230">
        <v>467200</v>
      </c>
      <c r="CK26" s="230">
        <v>235200</v>
      </c>
      <c r="CL26" s="229">
        <v>0.50339999999999996</v>
      </c>
      <c r="CM26" s="230">
        <v>45310400</v>
      </c>
      <c r="CN26" s="230">
        <v>47369600</v>
      </c>
      <c r="CO26" s="230">
        <v>-2059200</v>
      </c>
      <c r="CP26" s="229">
        <v>-4.3499999999999997E-2</v>
      </c>
      <c r="CQ26" s="230">
        <v>30572800</v>
      </c>
      <c r="CR26" s="230">
        <v>31220800</v>
      </c>
      <c r="CS26" s="230">
        <v>-648000</v>
      </c>
      <c r="CT26" s="229">
        <v>-2.0799999999999999E-2</v>
      </c>
      <c r="CU26" s="230">
        <v>205275200</v>
      </c>
      <c r="CV26" s="230">
        <v>203249600</v>
      </c>
      <c r="CW26" s="230">
        <v>2025600</v>
      </c>
      <c r="CX26" s="229">
        <v>0.01</v>
      </c>
      <c r="CY26" s="228">
        <v>14.16</v>
      </c>
      <c r="CZ26" s="228">
        <v>15.46</v>
      </c>
      <c r="DA26" s="228">
        <v>-1.3</v>
      </c>
      <c r="DB26" s="228">
        <v>-1.3</v>
      </c>
      <c r="DC26" s="228">
        <v>19.690000000000001</v>
      </c>
      <c r="DD26" s="228">
        <v>19.71</v>
      </c>
      <c r="DE26" s="228">
        <v>-5.53</v>
      </c>
      <c r="DF26" s="228">
        <v>-0.02</v>
      </c>
      <c r="DG26" s="228">
        <v>13.99</v>
      </c>
      <c r="DH26" s="228">
        <v>15.51</v>
      </c>
      <c r="DI26" s="228">
        <v>-1.52</v>
      </c>
      <c r="DJ26" s="228">
        <v>-1.52</v>
      </c>
      <c r="DK26" s="228">
        <v>14.44</v>
      </c>
      <c r="DL26" s="228">
        <v>15.38</v>
      </c>
      <c r="DM26" s="228">
        <v>-0.94</v>
      </c>
      <c r="DN26" s="228">
        <v>-0.94</v>
      </c>
      <c r="DO26" s="228">
        <v>0.67</v>
      </c>
      <c r="DP26" s="228">
        <v>0.66</v>
      </c>
      <c r="DQ26" s="228">
        <v>0.01</v>
      </c>
      <c r="DR26" s="229">
        <v>1.52E-2</v>
      </c>
      <c r="DS26" s="228">
        <v>410</v>
      </c>
      <c r="DT26" s="228">
        <v>400</v>
      </c>
      <c r="DU26" s="228">
        <v>0.57999999999999996</v>
      </c>
      <c r="DV26" s="228">
        <v>0.57999999999999996</v>
      </c>
      <c r="DW26" s="228">
        <v>0</v>
      </c>
      <c r="DX26" s="229">
        <v>0</v>
      </c>
      <c r="DY26" s="229">
        <v>4.8300000000000003E-2</v>
      </c>
      <c r="DZ26" s="230">
        <v>5723200</v>
      </c>
      <c r="EA26" s="229">
        <v>5.3E-3</v>
      </c>
      <c r="EB26" s="229">
        <v>4.8300000000000003E-2</v>
      </c>
      <c r="EC26" s="228">
        <v>2.19</v>
      </c>
      <c r="ED26" s="229">
        <v>5.4000000000000003E-3</v>
      </c>
      <c r="EE26" s="230">
        <v>14388000</v>
      </c>
      <c r="EF26" s="230">
        <v>11545565</v>
      </c>
      <c r="EG26" s="229">
        <v>0.2462</v>
      </c>
      <c r="EH26" s="229">
        <v>0.75039999999999996</v>
      </c>
      <c r="EI26" s="231">
        <v>214214.84</v>
      </c>
      <c r="EJ26" s="231">
        <v>120794.21</v>
      </c>
      <c r="EK26" s="231">
        <v>83315.179999999993</v>
      </c>
      <c r="EL26" s="231">
        <v>8116</v>
      </c>
      <c r="EM26" s="231">
        <v>418324.23</v>
      </c>
      <c r="EN26" s="231">
        <v>251219.83</v>
      </c>
      <c r="EO26" s="231">
        <v>167104.4</v>
      </c>
      <c r="EP26" s="229">
        <v>0.66520000000000001</v>
      </c>
      <c r="EQ26" s="231">
        <v>188232</v>
      </c>
      <c r="ER26" s="231">
        <v>122524</v>
      </c>
      <c r="ES26" s="231">
        <v>524189</v>
      </c>
      <c r="ET26" s="231">
        <v>1251412841</v>
      </c>
      <c r="EU26" s="231">
        <v>834946</v>
      </c>
      <c r="EV26" s="231">
        <v>823003</v>
      </c>
      <c r="EW26" s="231">
        <v>11943</v>
      </c>
      <c r="EX26" s="229">
        <v>1.4500000000000001E-2</v>
      </c>
      <c r="EY26" s="229">
        <v>0.16400000000000001</v>
      </c>
    </row>
    <row r="27" spans="1:155" ht="17.25" thickBot="1" x14ac:dyDescent="0.3">
      <c r="A27" s="226">
        <v>45940</v>
      </c>
      <c r="B27" s="227" t="s">
        <v>175</v>
      </c>
      <c r="C27" s="227" t="s">
        <v>571</v>
      </c>
      <c r="D27" s="228">
        <v>309.89999999999998</v>
      </c>
      <c r="E27" s="228">
        <v>308.95</v>
      </c>
      <c r="F27" s="228">
        <v>0.95</v>
      </c>
      <c r="G27" s="229">
        <v>3.0999999999999999E-3</v>
      </c>
      <c r="H27" s="228">
        <v>308.14999999999998</v>
      </c>
      <c r="I27" s="228">
        <v>307.35000000000002</v>
      </c>
      <c r="J27" s="228">
        <v>0.8</v>
      </c>
      <c r="K27" s="229">
        <v>2.5999999999999999E-3</v>
      </c>
      <c r="L27" s="228">
        <v>309.89999999999998</v>
      </c>
      <c r="M27" s="228">
        <v>308.95</v>
      </c>
      <c r="N27" s="228">
        <v>0.95</v>
      </c>
      <c r="O27" s="229">
        <v>3.0999999999999999E-3</v>
      </c>
      <c r="P27" s="228">
        <v>311.60000000000002</v>
      </c>
      <c r="Q27" s="228">
        <v>310.64999999999998</v>
      </c>
      <c r="R27" s="228">
        <v>0.95</v>
      </c>
      <c r="S27" s="229">
        <v>3.0999999999999999E-3</v>
      </c>
      <c r="T27" s="228">
        <v>313.60000000000002</v>
      </c>
      <c r="U27" s="228">
        <v>312.45</v>
      </c>
      <c r="V27" s="228">
        <v>1.1499999999999999</v>
      </c>
      <c r="W27" s="229">
        <v>3.7000000000000002E-3</v>
      </c>
      <c r="X27" s="228">
        <v>1.75</v>
      </c>
      <c r="Y27" s="228">
        <v>1.6</v>
      </c>
      <c r="Z27" s="228">
        <v>0.15</v>
      </c>
      <c r="AA27" s="229">
        <v>5.7000000000000002E-3</v>
      </c>
      <c r="AB27" s="228">
        <v>1.75</v>
      </c>
      <c r="AC27" s="228">
        <v>1.6</v>
      </c>
      <c r="AD27" s="228">
        <v>0.15</v>
      </c>
      <c r="AE27" s="229">
        <v>5.7000000000000002E-3</v>
      </c>
      <c r="AF27" s="228">
        <v>3.45</v>
      </c>
      <c r="AG27" s="228">
        <v>3.3</v>
      </c>
      <c r="AH27" s="228">
        <v>0.15</v>
      </c>
      <c r="AI27" s="229">
        <v>1.12E-2</v>
      </c>
      <c r="AJ27" s="228">
        <v>5.45</v>
      </c>
      <c r="AK27" s="228">
        <v>5.0999999999999996</v>
      </c>
      <c r="AL27" s="228">
        <v>0.35</v>
      </c>
      <c r="AM27" s="229">
        <v>1.77E-2</v>
      </c>
      <c r="AN27" s="228">
        <v>310.81</v>
      </c>
      <c r="AO27" s="228">
        <v>312.37</v>
      </c>
      <c r="AP27" s="228">
        <v>0</v>
      </c>
      <c r="AQ27" s="230">
        <v>5885</v>
      </c>
      <c r="AR27" s="230">
        <v>5003</v>
      </c>
      <c r="AS27" s="228">
        <v>882</v>
      </c>
      <c r="AT27" s="229">
        <v>0.17630000000000001</v>
      </c>
      <c r="AU27" s="230">
        <v>4874</v>
      </c>
      <c r="AV27" s="230">
        <v>4385</v>
      </c>
      <c r="AW27" s="228">
        <v>489</v>
      </c>
      <c r="AX27" s="229">
        <v>0.1115</v>
      </c>
      <c r="AY27" s="228">
        <v>719</v>
      </c>
      <c r="AZ27" s="228">
        <v>483</v>
      </c>
      <c r="BA27" s="228">
        <v>236</v>
      </c>
      <c r="BB27" s="229">
        <v>0.48859999999999998</v>
      </c>
      <c r="BC27" s="228">
        <v>292</v>
      </c>
      <c r="BD27" s="228">
        <v>135</v>
      </c>
      <c r="BE27" s="228">
        <v>157</v>
      </c>
      <c r="BF27" s="229">
        <v>1.163</v>
      </c>
      <c r="BG27" s="230">
        <v>14792</v>
      </c>
      <c r="BH27" s="230">
        <v>17199</v>
      </c>
      <c r="BI27" s="230">
        <v>-2407</v>
      </c>
      <c r="BJ27" s="229">
        <v>-0.1399</v>
      </c>
      <c r="BK27" s="230">
        <v>7579</v>
      </c>
      <c r="BL27" s="230">
        <v>8780</v>
      </c>
      <c r="BM27" s="230">
        <v>-1201</v>
      </c>
      <c r="BN27" s="229">
        <v>-0.1368</v>
      </c>
      <c r="BO27" s="230">
        <v>28256</v>
      </c>
      <c r="BP27" s="230">
        <v>30982</v>
      </c>
      <c r="BQ27" s="230">
        <v>-2726</v>
      </c>
      <c r="BR27" s="229">
        <v>-8.7999999999999995E-2</v>
      </c>
      <c r="BS27" s="230">
        <v>7900937</v>
      </c>
      <c r="BT27" s="230">
        <v>7298082</v>
      </c>
      <c r="BU27" s="230">
        <v>602855</v>
      </c>
      <c r="BV27" s="229">
        <v>8.2600000000000007E-2</v>
      </c>
      <c r="BW27" s="230">
        <v>135493950</v>
      </c>
      <c r="BX27" s="230">
        <v>134770150</v>
      </c>
      <c r="BY27" s="230">
        <v>723800</v>
      </c>
      <c r="BZ27" s="229">
        <v>5.4000000000000003E-3</v>
      </c>
      <c r="CA27" s="230">
        <v>126505200</v>
      </c>
      <c r="CB27" s="230">
        <v>126155050</v>
      </c>
      <c r="CC27" s="230">
        <v>350150</v>
      </c>
      <c r="CD27" s="229">
        <v>2.8E-3</v>
      </c>
      <c r="CE27" s="230">
        <v>7858400</v>
      </c>
      <c r="CF27" s="230">
        <v>7661000</v>
      </c>
      <c r="CG27" s="230">
        <v>197400</v>
      </c>
      <c r="CH27" s="229">
        <v>2.58E-2</v>
      </c>
      <c r="CI27" s="230">
        <v>1130350</v>
      </c>
      <c r="CJ27" s="230">
        <v>954100</v>
      </c>
      <c r="CK27" s="230">
        <v>176250</v>
      </c>
      <c r="CL27" s="229">
        <v>0.1847</v>
      </c>
      <c r="CM27" s="230">
        <v>54555250</v>
      </c>
      <c r="CN27" s="230">
        <v>53462500</v>
      </c>
      <c r="CO27" s="230">
        <v>1092750</v>
      </c>
      <c r="CP27" s="229">
        <v>2.0400000000000001E-2</v>
      </c>
      <c r="CQ27" s="230">
        <v>38753850</v>
      </c>
      <c r="CR27" s="230">
        <v>37564750</v>
      </c>
      <c r="CS27" s="230">
        <v>1189100</v>
      </c>
      <c r="CT27" s="229">
        <v>3.1699999999999999E-2</v>
      </c>
      <c r="CU27" s="230">
        <v>228803050</v>
      </c>
      <c r="CV27" s="230">
        <v>225797400</v>
      </c>
      <c r="CW27" s="230">
        <v>3005650</v>
      </c>
      <c r="CX27" s="229">
        <v>1.3299999999999999E-2</v>
      </c>
      <c r="CY27" s="228">
        <v>26.48</v>
      </c>
      <c r="CZ27" s="228">
        <v>27.31</v>
      </c>
      <c r="DA27" s="228">
        <v>-0.83</v>
      </c>
      <c r="DB27" s="228">
        <v>-0.83</v>
      </c>
      <c r="DC27" s="228">
        <v>36.380000000000003</v>
      </c>
      <c r="DD27" s="228">
        <v>36.47</v>
      </c>
      <c r="DE27" s="228">
        <v>-9.9</v>
      </c>
      <c r="DF27" s="228">
        <v>-0.09</v>
      </c>
      <c r="DG27" s="228">
        <v>26.58</v>
      </c>
      <c r="DH27" s="228">
        <v>27.33</v>
      </c>
      <c r="DI27" s="228">
        <v>-0.75</v>
      </c>
      <c r="DJ27" s="228">
        <v>-0.75</v>
      </c>
      <c r="DK27" s="228">
        <v>26.28</v>
      </c>
      <c r="DL27" s="228">
        <v>27.25</v>
      </c>
      <c r="DM27" s="228">
        <v>-0.97</v>
      </c>
      <c r="DN27" s="228">
        <v>-0.97</v>
      </c>
      <c r="DO27" s="228">
        <v>0.71</v>
      </c>
      <c r="DP27" s="228">
        <v>0.7</v>
      </c>
      <c r="DQ27" s="228">
        <v>0.01</v>
      </c>
      <c r="DR27" s="229">
        <v>1.43E-2</v>
      </c>
      <c r="DS27" s="228">
        <v>320</v>
      </c>
      <c r="DT27" s="228">
        <v>300</v>
      </c>
      <c r="DU27" s="228">
        <v>0.51</v>
      </c>
      <c r="DV27" s="228">
        <v>0.51</v>
      </c>
      <c r="DW27" s="228">
        <v>0</v>
      </c>
      <c r="DX27" s="229">
        <v>0</v>
      </c>
      <c r="DY27" s="229">
        <v>6.6299999999999998E-2</v>
      </c>
      <c r="DZ27" s="230">
        <v>8615100</v>
      </c>
      <c r="EA27" s="229">
        <v>5.4999999999999997E-3</v>
      </c>
      <c r="EB27" s="229">
        <v>6.6299999999999998E-2</v>
      </c>
      <c r="EC27" s="228">
        <v>1.56</v>
      </c>
      <c r="ED27" s="229">
        <v>5.0000000000000001E-3</v>
      </c>
      <c r="EE27" s="230">
        <v>3915163</v>
      </c>
      <c r="EF27" s="230">
        <v>3364671</v>
      </c>
      <c r="EG27" s="229">
        <v>0.1636</v>
      </c>
      <c r="EH27" s="229">
        <v>0.4955</v>
      </c>
      <c r="EI27" s="231">
        <v>112608.46</v>
      </c>
      <c r="EJ27" s="231">
        <v>54863.02</v>
      </c>
      <c r="EK27" s="231">
        <v>43035.8</v>
      </c>
      <c r="EL27" s="231">
        <v>7727</v>
      </c>
      <c r="EM27" s="231">
        <v>210507.28</v>
      </c>
      <c r="EN27" s="231">
        <v>230684.2</v>
      </c>
      <c r="EO27" s="231">
        <v>-20176.919999999998</v>
      </c>
      <c r="EP27" s="229">
        <v>-8.7499999999999994E-2</v>
      </c>
      <c r="EQ27" s="231">
        <v>176479</v>
      </c>
      <c r="ER27" s="231">
        <v>118792</v>
      </c>
      <c r="ES27" s="231">
        <v>420071</v>
      </c>
      <c r="ET27" s="231">
        <v>446457456</v>
      </c>
      <c r="EU27" s="231">
        <v>715343</v>
      </c>
      <c r="EV27" s="231">
        <v>704671</v>
      </c>
      <c r="EW27" s="231">
        <v>10672</v>
      </c>
      <c r="EX27" s="229">
        <v>1.5100000000000001E-2</v>
      </c>
      <c r="EY27" s="229">
        <v>0.51249999999999996</v>
      </c>
    </row>
    <row r="28" spans="1:155" ht="17.25" thickBot="1" x14ac:dyDescent="0.3">
      <c r="A28" s="226">
        <v>45940</v>
      </c>
      <c r="B28" s="227" t="s">
        <v>227</v>
      </c>
      <c r="C28" s="227" t="s">
        <v>244</v>
      </c>
      <c r="D28" s="231">
        <v>1171.4000000000001</v>
      </c>
      <c r="E28" s="231">
        <v>1179.5999999999999</v>
      </c>
      <c r="F28" s="228">
        <v>-8.1999999999999993</v>
      </c>
      <c r="G28" s="229">
        <v>-7.0000000000000001E-3</v>
      </c>
      <c r="H28" s="231">
        <v>1167.8</v>
      </c>
      <c r="I28" s="231">
        <v>1175.2</v>
      </c>
      <c r="J28" s="228">
        <v>-7.4</v>
      </c>
      <c r="K28" s="229">
        <v>-6.3E-3</v>
      </c>
      <c r="L28" s="231">
        <v>1171.4000000000001</v>
      </c>
      <c r="M28" s="231">
        <v>1179.5999999999999</v>
      </c>
      <c r="N28" s="228">
        <v>-8.1999999999999993</v>
      </c>
      <c r="O28" s="229">
        <v>-7.0000000000000001E-3</v>
      </c>
      <c r="P28" s="231">
        <v>1178.5999999999999</v>
      </c>
      <c r="Q28" s="231">
        <v>1185.3</v>
      </c>
      <c r="R28" s="228">
        <v>-6.7</v>
      </c>
      <c r="S28" s="229">
        <v>-5.7000000000000002E-3</v>
      </c>
      <c r="T28" s="231">
        <v>1183.9000000000001</v>
      </c>
      <c r="U28" s="231">
        <v>1192</v>
      </c>
      <c r="V28" s="228">
        <v>-8.1</v>
      </c>
      <c r="W28" s="229">
        <v>-6.7999999999999996E-3</v>
      </c>
      <c r="X28" s="228">
        <v>3.6</v>
      </c>
      <c r="Y28" s="228">
        <v>4.4000000000000004</v>
      </c>
      <c r="Z28" s="228">
        <v>-0.8</v>
      </c>
      <c r="AA28" s="229">
        <v>3.0999999999999999E-3</v>
      </c>
      <c r="AB28" s="228">
        <v>3.6</v>
      </c>
      <c r="AC28" s="228">
        <v>4.4000000000000004</v>
      </c>
      <c r="AD28" s="228">
        <v>-0.8</v>
      </c>
      <c r="AE28" s="229">
        <v>3.0999999999999999E-3</v>
      </c>
      <c r="AF28" s="228">
        <v>10.8</v>
      </c>
      <c r="AG28" s="228">
        <v>10.1</v>
      </c>
      <c r="AH28" s="228">
        <v>0.7</v>
      </c>
      <c r="AI28" s="229">
        <v>9.1999999999999998E-3</v>
      </c>
      <c r="AJ28" s="228">
        <v>16.100000000000001</v>
      </c>
      <c r="AK28" s="228">
        <v>16.8</v>
      </c>
      <c r="AL28" s="228">
        <v>-0.7</v>
      </c>
      <c r="AM28" s="229">
        <v>1.38E-2</v>
      </c>
      <c r="AN28" s="231">
        <v>1167.1199999999999</v>
      </c>
      <c r="AO28" s="231">
        <v>1173.3800000000001</v>
      </c>
      <c r="AP28" s="228">
        <v>0</v>
      </c>
      <c r="AQ28" s="230">
        <v>4703</v>
      </c>
      <c r="AR28" s="230">
        <v>5903</v>
      </c>
      <c r="AS28" s="230">
        <v>-1200</v>
      </c>
      <c r="AT28" s="229">
        <v>-0.20330000000000001</v>
      </c>
      <c r="AU28" s="230">
        <v>4315</v>
      </c>
      <c r="AV28" s="230">
        <v>5606</v>
      </c>
      <c r="AW28" s="230">
        <v>-1291</v>
      </c>
      <c r="AX28" s="229">
        <v>-0.2303</v>
      </c>
      <c r="AY28" s="228">
        <v>332</v>
      </c>
      <c r="AZ28" s="228">
        <v>267</v>
      </c>
      <c r="BA28" s="228">
        <v>65</v>
      </c>
      <c r="BB28" s="229">
        <v>0.24340000000000001</v>
      </c>
      <c r="BC28" s="228">
        <v>56</v>
      </c>
      <c r="BD28" s="228">
        <v>30</v>
      </c>
      <c r="BE28" s="228">
        <v>26</v>
      </c>
      <c r="BF28" s="229">
        <v>0.86670000000000003</v>
      </c>
      <c r="BG28" s="230">
        <v>10538</v>
      </c>
      <c r="BH28" s="230">
        <v>22515</v>
      </c>
      <c r="BI28" s="230">
        <v>-11977</v>
      </c>
      <c r="BJ28" s="229">
        <v>-0.53200000000000003</v>
      </c>
      <c r="BK28" s="230">
        <v>6560</v>
      </c>
      <c r="BL28" s="230">
        <v>9610</v>
      </c>
      <c r="BM28" s="230">
        <v>-3050</v>
      </c>
      <c r="BN28" s="229">
        <v>-0.31740000000000002</v>
      </c>
      <c r="BO28" s="230">
        <v>21801</v>
      </c>
      <c r="BP28" s="230">
        <v>38028</v>
      </c>
      <c r="BQ28" s="230">
        <v>-16227</v>
      </c>
      <c r="BR28" s="229">
        <v>-0.42670000000000002</v>
      </c>
      <c r="BS28" s="230">
        <v>1528060</v>
      </c>
      <c r="BT28" s="230">
        <v>2087598</v>
      </c>
      <c r="BU28" s="230">
        <v>-559538</v>
      </c>
      <c r="BV28" s="229">
        <v>-0.26800000000000002</v>
      </c>
      <c r="BW28" s="230">
        <v>44973900</v>
      </c>
      <c r="BX28" s="230">
        <v>44972550</v>
      </c>
      <c r="BY28" s="230">
        <v>1350</v>
      </c>
      <c r="BZ28" s="229">
        <v>0</v>
      </c>
      <c r="CA28" s="230">
        <v>44608050</v>
      </c>
      <c r="CB28" s="230">
        <v>44678925</v>
      </c>
      <c r="CC28" s="230">
        <v>-70875</v>
      </c>
      <c r="CD28" s="229">
        <v>-1.6000000000000001E-3</v>
      </c>
      <c r="CE28" s="230">
        <v>312525</v>
      </c>
      <c r="CF28" s="230">
        <v>264600</v>
      </c>
      <c r="CG28" s="230">
        <v>47925</v>
      </c>
      <c r="CH28" s="229">
        <v>0.18110000000000001</v>
      </c>
      <c r="CI28" s="230">
        <v>53325</v>
      </c>
      <c r="CJ28" s="230">
        <v>29025</v>
      </c>
      <c r="CK28" s="230">
        <v>24300</v>
      </c>
      <c r="CL28" s="229">
        <v>0.83720000000000006</v>
      </c>
      <c r="CM28" s="230">
        <v>6008850</v>
      </c>
      <c r="CN28" s="230">
        <v>5942700</v>
      </c>
      <c r="CO28" s="230">
        <v>66150</v>
      </c>
      <c r="CP28" s="229">
        <v>1.11E-2</v>
      </c>
      <c r="CQ28" s="230">
        <v>3915675</v>
      </c>
      <c r="CR28" s="230">
        <v>4199850</v>
      </c>
      <c r="CS28" s="230">
        <v>-284175</v>
      </c>
      <c r="CT28" s="229">
        <v>-6.7699999999999996E-2</v>
      </c>
      <c r="CU28" s="230">
        <v>54898425</v>
      </c>
      <c r="CV28" s="230">
        <v>55115100</v>
      </c>
      <c r="CW28" s="230">
        <v>-216675</v>
      </c>
      <c r="CX28" s="229">
        <v>-3.8999999999999998E-3</v>
      </c>
      <c r="CY28" s="228">
        <v>24.05</v>
      </c>
      <c r="CZ28" s="228">
        <v>24.88</v>
      </c>
      <c r="DA28" s="228">
        <v>-0.83</v>
      </c>
      <c r="DB28" s="228">
        <v>-0.83</v>
      </c>
      <c r="DC28" s="228">
        <v>29.67</v>
      </c>
      <c r="DD28" s="228">
        <v>29.73</v>
      </c>
      <c r="DE28" s="228">
        <v>-5.62</v>
      </c>
      <c r="DF28" s="228">
        <v>-0.06</v>
      </c>
      <c r="DG28" s="228">
        <v>23.83</v>
      </c>
      <c r="DH28" s="228">
        <v>24.71</v>
      </c>
      <c r="DI28" s="228">
        <v>-0.88</v>
      </c>
      <c r="DJ28" s="228">
        <v>-0.88</v>
      </c>
      <c r="DK28" s="228">
        <v>24.41</v>
      </c>
      <c r="DL28" s="228">
        <v>25.3</v>
      </c>
      <c r="DM28" s="228">
        <v>-0.89</v>
      </c>
      <c r="DN28" s="228">
        <v>-0.89</v>
      </c>
      <c r="DO28" s="228">
        <v>0.65</v>
      </c>
      <c r="DP28" s="228">
        <v>0.71</v>
      </c>
      <c r="DQ28" s="228">
        <v>-0.06</v>
      </c>
      <c r="DR28" s="229">
        <v>-8.4500000000000006E-2</v>
      </c>
      <c r="DS28" s="231">
        <v>1300</v>
      </c>
      <c r="DT28" s="231">
        <v>1100</v>
      </c>
      <c r="DU28" s="228">
        <v>0.62</v>
      </c>
      <c r="DV28" s="228">
        <v>0.43</v>
      </c>
      <c r="DW28" s="228">
        <v>0.19</v>
      </c>
      <c r="DX28" s="229">
        <v>0.44190000000000002</v>
      </c>
      <c r="DY28" s="229">
        <v>8.0999999999999996E-3</v>
      </c>
      <c r="DZ28" s="230">
        <v>293625</v>
      </c>
      <c r="EA28" s="229">
        <v>6.1000000000000004E-3</v>
      </c>
      <c r="EB28" s="229">
        <v>8.0999999999999996E-3</v>
      </c>
      <c r="EC28" s="228">
        <v>6.26</v>
      </c>
      <c r="ED28" s="229">
        <v>5.4000000000000003E-3</v>
      </c>
      <c r="EE28" s="230">
        <v>845151</v>
      </c>
      <c r="EF28" s="230">
        <v>1028813</v>
      </c>
      <c r="EG28" s="229">
        <v>-0.17849999999999999</v>
      </c>
      <c r="EH28" s="229">
        <v>0.55310000000000004</v>
      </c>
      <c r="EI28" s="231">
        <v>86006.68</v>
      </c>
      <c r="EJ28" s="231">
        <v>51505.29</v>
      </c>
      <c r="EK28" s="231">
        <v>37070.120000000003</v>
      </c>
      <c r="EL28" s="231">
        <v>4525</v>
      </c>
      <c r="EM28" s="231">
        <v>174582.09</v>
      </c>
      <c r="EN28" s="231">
        <v>305991.55</v>
      </c>
      <c r="EO28" s="231">
        <v>-131409.46</v>
      </c>
      <c r="EP28" s="229">
        <v>-0.42949999999999999</v>
      </c>
      <c r="EQ28" s="231">
        <v>72687</v>
      </c>
      <c r="ER28" s="231">
        <v>42884</v>
      </c>
      <c r="ES28" s="231">
        <v>526853</v>
      </c>
      <c r="ET28" s="231">
        <v>133166619</v>
      </c>
      <c r="EU28" s="231">
        <v>642424</v>
      </c>
      <c r="EV28" s="231">
        <v>648619</v>
      </c>
      <c r="EW28" s="231">
        <v>-6195</v>
      </c>
      <c r="EX28" s="229">
        <v>-9.5999999999999992E-3</v>
      </c>
      <c r="EY28" s="229">
        <v>0.4123</v>
      </c>
    </row>
    <row r="29" spans="1:155" ht="17.25" thickBot="1" x14ac:dyDescent="0.3">
      <c r="A29" s="226">
        <v>45940</v>
      </c>
      <c r="B29" s="227" t="s">
        <v>172</v>
      </c>
      <c r="C29" s="227" t="s">
        <v>246</v>
      </c>
      <c r="D29" s="231">
        <v>2156</v>
      </c>
      <c r="E29" s="231">
        <v>2151.5</v>
      </c>
      <c r="F29" s="228">
        <v>4.5</v>
      </c>
      <c r="G29" s="229">
        <v>2.0999999999999999E-3</v>
      </c>
      <c r="H29" s="231">
        <v>2150.1</v>
      </c>
      <c r="I29" s="231">
        <v>2144.6</v>
      </c>
      <c r="J29" s="228">
        <v>5.5</v>
      </c>
      <c r="K29" s="229">
        <v>2.5999999999999999E-3</v>
      </c>
      <c r="L29" s="231">
        <v>2156</v>
      </c>
      <c r="M29" s="231">
        <v>2151.5</v>
      </c>
      <c r="N29" s="228">
        <v>4.5</v>
      </c>
      <c r="O29" s="229">
        <v>2.0999999999999999E-3</v>
      </c>
      <c r="P29" s="231">
        <v>2167.8000000000002</v>
      </c>
      <c r="Q29" s="231">
        <v>2162.4</v>
      </c>
      <c r="R29" s="228">
        <v>5.4</v>
      </c>
      <c r="S29" s="229">
        <v>2.5000000000000001E-3</v>
      </c>
      <c r="T29" s="231">
        <v>2180.9</v>
      </c>
      <c r="U29" s="231">
        <v>2176</v>
      </c>
      <c r="V29" s="228">
        <v>4.9000000000000004</v>
      </c>
      <c r="W29" s="229">
        <v>2.3E-3</v>
      </c>
      <c r="X29" s="228">
        <v>5.9</v>
      </c>
      <c r="Y29" s="228">
        <v>6.9</v>
      </c>
      <c r="Z29" s="228">
        <v>-1</v>
      </c>
      <c r="AA29" s="229">
        <v>2.7000000000000001E-3</v>
      </c>
      <c r="AB29" s="228">
        <v>5.9</v>
      </c>
      <c r="AC29" s="228">
        <v>6.9</v>
      </c>
      <c r="AD29" s="228">
        <v>-1</v>
      </c>
      <c r="AE29" s="229">
        <v>2.7000000000000001E-3</v>
      </c>
      <c r="AF29" s="228">
        <v>17.7</v>
      </c>
      <c r="AG29" s="228">
        <v>17.8</v>
      </c>
      <c r="AH29" s="228">
        <v>-0.1</v>
      </c>
      <c r="AI29" s="229">
        <v>8.2000000000000007E-3</v>
      </c>
      <c r="AJ29" s="228">
        <v>30.8</v>
      </c>
      <c r="AK29" s="228">
        <v>31.4</v>
      </c>
      <c r="AL29" s="228">
        <v>-0.6</v>
      </c>
      <c r="AM29" s="229">
        <v>1.43E-2</v>
      </c>
      <c r="AN29" s="231">
        <v>2154.61</v>
      </c>
      <c r="AO29" s="231">
        <v>2165.0700000000002</v>
      </c>
      <c r="AP29" s="228">
        <v>0</v>
      </c>
      <c r="AQ29" s="230">
        <v>7747</v>
      </c>
      <c r="AR29" s="230">
        <v>10737</v>
      </c>
      <c r="AS29" s="230">
        <v>-2990</v>
      </c>
      <c r="AT29" s="229">
        <v>-0.27850000000000003</v>
      </c>
      <c r="AU29" s="230">
        <v>7068</v>
      </c>
      <c r="AV29" s="230">
        <v>10186</v>
      </c>
      <c r="AW29" s="230">
        <v>-3118</v>
      </c>
      <c r="AX29" s="229">
        <v>-0.30609999999999998</v>
      </c>
      <c r="AY29" s="228">
        <v>551</v>
      </c>
      <c r="AZ29" s="228">
        <v>483</v>
      </c>
      <c r="BA29" s="228">
        <v>68</v>
      </c>
      <c r="BB29" s="229">
        <v>0.14080000000000001</v>
      </c>
      <c r="BC29" s="228">
        <v>128</v>
      </c>
      <c r="BD29" s="228">
        <v>68</v>
      </c>
      <c r="BE29" s="228">
        <v>60</v>
      </c>
      <c r="BF29" s="229">
        <v>0.88239999999999996</v>
      </c>
      <c r="BG29" s="230">
        <v>23066</v>
      </c>
      <c r="BH29" s="230">
        <v>35930</v>
      </c>
      <c r="BI29" s="230">
        <v>-12864</v>
      </c>
      <c r="BJ29" s="229">
        <v>-0.35799999999999998</v>
      </c>
      <c r="BK29" s="230">
        <v>14483</v>
      </c>
      <c r="BL29" s="230">
        <v>20306</v>
      </c>
      <c r="BM29" s="230">
        <v>-5823</v>
      </c>
      <c r="BN29" s="229">
        <v>-0.2868</v>
      </c>
      <c r="BO29" s="230">
        <v>45296</v>
      </c>
      <c r="BP29" s="230">
        <v>66973</v>
      </c>
      <c r="BQ29" s="230">
        <v>-21677</v>
      </c>
      <c r="BR29" s="229">
        <v>-0.32369999999999999</v>
      </c>
      <c r="BS29" s="230">
        <v>1984031</v>
      </c>
      <c r="BT29" s="230">
        <v>3402469</v>
      </c>
      <c r="BU29" s="230">
        <v>-1418438</v>
      </c>
      <c r="BV29" s="229">
        <v>-0.41689999999999999</v>
      </c>
      <c r="BW29" s="230">
        <v>33767200</v>
      </c>
      <c r="BX29" s="230">
        <v>34062400</v>
      </c>
      <c r="BY29" s="230">
        <v>-295200</v>
      </c>
      <c r="BZ29" s="229">
        <v>-8.6999999999999994E-3</v>
      </c>
      <c r="CA29" s="230">
        <v>32368800</v>
      </c>
      <c r="CB29" s="230">
        <v>32744800</v>
      </c>
      <c r="CC29" s="230">
        <v>-376000</v>
      </c>
      <c r="CD29" s="229">
        <v>-1.15E-2</v>
      </c>
      <c r="CE29" s="230">
        <v>662000</v>
      </c>
      <c r="CF29" s="230">
        <v>617200</v>
      </c>
      <c r="CG29" s="230">
        <v>44800</v>
      </c>
      <c r="CH29" s="229">
        <v>7.2599999999999998E-2</v>
      </c>
      <c r="CI29" s="230">
        <v>736400</v>
      </c>
      <c r="CJ29" s="230">
        <v>700400</v>
      </c>
      <c r="CK29" s="230">
        <v>36000</v>
      </c>
      <c r="CL29" s="229">
        <v>5.1400000000000001E-2</v>
      </c>
      <c r="CM29" s="230">
        <v>8418800</v>
      </c>
      <c r="CN29" s="230">
        <v>8336800</v>
      </c>
      <c r="CO29" s="230">
        <v>82000</v>
      </c>
      <c r="CP29" s="229">
        <v>9.7999999999999997E-3</v>
      </c>
      <c r="CQ29" s="230">
        <v>8953600</v>
      </c>
      <c r="CR29" s="230">
        <v>8792000</v>
      </c>
      <c r="CS29" s="230">
        <v>161600</v>
      </c>
      <c r="CT29" s="229">
        <v>1.84E-2</v>
      </c>
      <c r="CU29" s="230">
        <v>51139600</v>
      </c>
      <c r="CV29" s="230">
        <v>51191200</v>
      </c>
      <c r="CW29" s="230">
        <v>-51600</v>
      </c>
      <c r="CX29" s="229">
        <v>-1E-3</v>
      </c>
      <c r="CY29" s="228">
        <v>20.350000000000001</v>
      </c>
      <c r="CZ29" s="228">
        <v>20.46</v>
      </c>
      <c r="DA29" s="228">
        <v>-0.11</v>
      </c>
      <c r="DB29" s="228">
        <v>-0.11</v>
      </c>
      <c r="DC29" s="228">
        <v>27.67</v>
      </c>
      <c r="DD29" s="228">
        <v>27.74</v>
      </c>
      <c r="DE29" s="228">
        <v>-7.32</v>
      </c>
      <c r="DF29" s="228">
        <v>-7.0000000000000007E-2</v>
      </c>
      <c r="DG29" s="228">
        <v>19.760000000000002</v>
      </c>
      <c r="DH29" s="228">
        <v>19.97</v>
      </c>
      <c r="DI29" s="228">
        <v>-0.21</v>
      </c>
      <c r="DJ29" s="228">
        <v>-0.21</v>
      </c>
      <c r="DK29" s="228">
        <v>21.3</v>
      </c>
      <c r="DL29" s="228">
        <v>21.34</v>
      </c>
      <c r="DM29" s="228">
        <v>-0.04</v>
      </c>
      <c r="DN29" s="228">
        <v>-0.04</v>
      </c>
      <c r="DO29" s="228">
        <v>1.06</v>
      </c>
      <c r="DP29" s="228">
        <v>1.05</v>
      </c>
      <c r="DQ29" s="228">
        <v>0.01</v>
      </c>
      <c r="DR29" s="229">
        <v>9.4999999999999998E-3</v>
      </c>
      <c r="DS29" s="231">
        <v>2100</v>
      </c>
      <c r="DT29" s="231">
        <v>2100</v>
      </c>
      <c r="DU29" s="228">
        <v>0.63</v>
      </c>
      <c r="DV29" s="228">
        <v>0.56999999999999995</v>
      </c>
      <c r="DW29" s="228">
        <v>0.06</v>
      </c>
      <c r="DX29" s="229">
        <v>0.1053</v>
      </c>
      <c r="DY29" s="229">
        <v>4.1399999999999999E-2</v>
      </c>
      <c r="DZ29" s="230">
        <v>1317600</v>
      </c>
      <c r="EA29" s="229">
        <v>5.4999999999999997E-3</v>
      </c>
      <c r="EB29" s="229">
        <v>4.1399999999999999E-2</v>
      </c>
      <c r="EC29" s="228">
        <v>10.46</v>
      </c>
      <c r="ED29" s="229">
        <v>4.8999999999999998E-3</v>
      </c>
      <c r="EE29" s="230">
        <v>1377605</v>
      </c>
      <c r="EF29" s="230">
        <v>1925418</v>
      </c>
      <c r="EG29" s="229">
        <v>-0.28449999999999998</v>
      </c>
      <c r="EH29" s="229">
        <v>0.69430000000000003</v>
      </c>
      <c r="EI29" s="231">
        <v>204631.36</v>
      </c>
      <c r="EJ29" s="231">
        <v>122898</v>
      </c>
      <c r="EK29" s="231">
        <v>66802.06</v>
      </c>
      <c r="EL29" s="231">
        <v>15365</v>
      </c>
      <c r="EM29" s="231">
        <v>394331.42</v>
      </c>
      <c r="EN29" s="231">
        <v>581068.97</v>
      </c>
      <c r="EO29" s="231">
        <v>-186737.55</v>
      </c>
      <c r="EP29" s="229">
        <v>-0.32140000000000002</v>
      </c>
      <c r="EQ29" s="231">
        <v>181960</v>
      </c>
      <c r="ER29" s="231">
        <v>183465</v>
      </c>
      <c r="ES29" s="231">
        <v>728282</v>
      </c>
      <c r="ET29" s="231">
        <v>215751979</v>
      </c>
      <c r="EU29" s="231">
        <v>1093708</v>
      </c>
      <c r="EV29" s="231">
        <v>1093177</v>
      </c>
      <c r="EW29" s="228">
        <v>531</v>
      </c>
      <c r="EX29" s="229">
        <v>5.0000000000000001E-4</v>
      </c>
      <c r="EY29" s="229">
        <v>0.23699999999999999</v>
      </c>
    </row>
    <row r="30" spans="1:155" ht="17.25" thickBot="1" x14ac:dyDescent="0.3">
      <c r="A30" s="226">
        <v>45940</v>
      </c>
      <c r="B30" s="227" t="s">
        <v>184</v>
      </c>
      <c r="C30" s="227" t="s">
        <v>249</v>
      </c>
      <c r="D30" s="231">
        <v>3804.1</v>
      </c>
      <c r="E30" s="231">
        <v>3781.2</v>
      </c>
      <c r="F30" s="228">
        <v>22.9</v>
      </c>
      <c r="G30" s="229">
        <v>6.1000000000000004E-3</v>
      </c>
      <c r="H30" s="231">
        <v>3784</v>
      </c>
      <c r="I30" s="231">
        <v>3769.2</v>
      </c>
      <c r="J30" s="228">
        <v>14.8</v>
      </c>
      <c r="K30" s="229">
        <v>3.8999999999999998E-3</v>
      </c>
      <c r="L30" s="231">
        <v>3804.1</v>
      </c>
      <c r="M30" s="231">
        <v>3781.2</v>
      </c>
      <c r="N30" s="228">
        <v>22.9</v>
      </c>
      <c r="O30" s="229">
        <v>6.1000000000000004E-3</v>
      </c>
      <c r="P30" s="231">
        <v>3825.3</v>
      </c>
      <c r="Q30" s="231">
        <v>3801.1</v>
      </c>
      <c r="R30" s="228">
        <v>24.2</v>
      </c>
      <c r="S30" s="229">
        <v>6.4000000000000003E-3</v>
      </c>
      <c r="T30" s="231">
        <v>3848.8</v>
      </c>
      <c r="U30" s="231">
        <v>3823.2</v>
      </c>
      <c r="V30" s="228">
        <v>25.6</v>
      </c>
      <c r="W30" s="229">
        <v>6.7000000000000002E-3</v>
      </c>
      <c r="X30" s="228">
        <v>20.100000000000001</v>
      </c>
      <c r="Y30" s="228">
        <v>12</v>
      </c>
      <c r="Z30" s="228">
        <v>8.1</v>
      </c>
      <c r="AA30" s="229">
        <v>5.3E-3</v>
      </c>
      <c r="AB30" s="228">
        <v>20.100000000000001</v>
      </c>
      <c r="AC30" s="228">
        <v>12</v>
      </c>
      <c r="AD30" s="228">
        <v>8.1</v>
      </c>
      <c r="AE30" s="229">
        <v>5.3E-3</v>
      </c>
      <c r="AF30" s="228">
        <v>41.3</v>
      </c>
      <c r="AG30" s="228">
        <v>31.9</v>
      </c>
      <c r="AH30" s="228">
        <v>9.4</v>
      </c>
      <c r="AI30" s="229">
        <v>1.09E-2</v>
      </c>
      <c r="AJ30" s="228">
        <v>64.8</v>
      </c>
      <c r="AK30" s="228">
        <v>54</v>
      </c>
      <c r="AL30" s="228">
        <v>10.8</v>
      </c>
      <c r="AM30" s="229">
        <v>1.7100000000000001E-2</v>
      </c>
      <c r="AN30" s="231">
        <v>3804.1</v>
      </c>
      <c r="AO30" s="231">
        <v>3825.58</v>
      </c>
      <c r="AP30" s="228">
        <v>0</v>
      </c>
      <c r="AQ30" s="230">
        <v>11326</v>
      </c>
      <c r="AR30" s="230">
        <v>12555</v>
      </c>
      <c r="AS30" s="230">
        <v>-1229</v>
      </c>
      <c r="AT30" s="229">
        <v>-9.7900000000000001E-2</v>
      </c>
      <c r="AU30" s="230">
        <v>10306</v>
      </c>
      <c r="AV30" s="230">
        <v>11786</v>
      </c>
      <c r="AW30" s="230">
        <v>-1480</v>
      </c>
      <c r="AX30" s="229">
        <v>-0.12559999999999999</v>
      </c>
      <c r="AY30" s="228">
        <v>805</v>
      </c>
      <c r="AZ30" s="228">
        <v>698</v>
      </c>
      <c r="BA30" s="228">
        <v>107</v>
      </c>
      <c r="BB30" s="229">
        <v>0.15329999999999999</v>
      </c>
      <c r="BC30" s="228">
        <v>215</v>
      </c>
      <c r="BD30" s="228">
        <v>71</v>
      </c>
      <c r="BE30" s="228">
        <v>144</v>
      </c>
      <c r="BF30" s="229">
        <v>2.0282</v>
      </c>
      <c r="BG30" s="230">
        <v>48186</v>
      </c>
      <c r="BH30" s="230">
        <v>61661</v>
      </c>
      <c r="BI30" s="230">
        <v>-13475</v>
      </c>
      <c r="BJ30" s="229">
        <v>-0.2185</v>
      </c>
      <c r="BK30" s="230">
        <v>19195</v>
      </c>
      <c r="BL30" s="230">
        <v>25970</v>
      </c>
      <c r="BM30" s="230">
        <v>-6775</v>
      </c>
      <c r="BN30" s="229">
        <v>-0.26090000000000002</v>
      </c>
      <c r="BO30" s="230">
        <v>78707</v>
      </c>
      <c r="BP30" s="230">
        <v>100186</v>
      </c>
      <c r="BQ30" s="230">
        <v>-21479</v>
      </c>
      <c r="BR30" s="229">
        <v>-0.21440000000000001</v>
      </c>
      <c r="BS30" s="230">
        <v>1203124</v>
      </c>
      <c r="BT30" s="230">
        <v>2149786</v>
      </c>
      <c r="BU30" s="230">
        <v>-946662</v>
      </c>
      <c r="BV30" s="229">
        <v>-0.44040000000000001</v>
      </c>
      <c r="BW30" s="230">
        <v>16010050</v>
      </c>
      <c r="BX30" s="230">
        <v>16150400</v>
      </c>
      <c r="BY30" s="230">
        <v>-140350</v>
      </c>
      <c r="BZ30" s="229">
        <v>-8.6999999999999994E-3</v>
      </c>
      <c r="CA30" s="230">
        <v>15516550</v>
      </c>
      <c r="CB30" s="230">
        <v>15740725</v>
      </c>
      <c r="CC30" s="230">
        <v>-224175</v>
      </c>
      <c r="CD30" s="229">
        <v>-1.4200000000000001E-2</v>
      </c>
      <c r="CE30" s="230">
        <v>263900</v>
      </c>
      <c r="CF30" s="230">
        <v>211225</v>
      </c>
      <c r="CG30" s="230">
        <v>52675</v>
      </c>
      <c r="CH30" s="229">
        <v>0.24940000000000001</v>
      </c>
      <c r="CI30" s="230">
        <v>229600</v>
      </c>
      <c r="CJ30" s="230">
        <v>198450</v>
      </c>
      <c r="CK30" s="230">
        <v>31150</v>
      </c>
      <c r="CL30" s="229">
        <v>0.157</v>
      </c>
      <c r="CM30" s="230">
        <v>6306475</v>
      </c>
      <c r="CN30" s="230">
        <v>5805450</v>
      </c>
      <c r="CO30" s="230">
        <v>501025</v>
      </c>
      <c r="CP30" s="229">
        <v>8.6300000000000002E-2</v>
      </c>
      <c r="CQ30" s="230">
        <v>3140725</v>
      </c>
      <c r="CR30" s="230">
        <v>2913050</v>
      </c>
      <c r="CS30" s="230">
        <v>227675</v>
      </c>
      <c r="CT30" s="229">
        <v>7.8200000000000006E-2</v>
      </c>
      <c r="CU30" s="230">
        <v>25457250</v>
      </c>
      <c r="CV30" s="230">
        <v>24868900</v>
      </c>
      <c r="CW30" s="230">
        <v>588350</v>
      </c>
      <c r="CX30" s="229">
        <v>2.3699999999999999E-2</v>
      </c>
      <c r="CY30" s="228">
        <v>16.25</v>
      </c>
      <c r="CZ30" s="228">
        <v>17.54</v>
      </c>
      <c r="DA30" s="228">
        <v>-1.29</v>
      </c>
      <c r="DB30" s="228">
        <v>-1.29</v>
      </c>
      <c r="DC30" s="228">
        <v>28.09</v>
      </c>
      <c r="DD30" s="228">
        <v>28.15</v>
      </c>
      <c r="DE30" s="228">
        <v>-11.84</v>
      </c>
      <c r="DF30" s="228">
        <v>-0.06</v>
      </c>
      <c r="DG30" s="228">
        <v>16.09</v>
      </c>
      <c r="DH30" s="228">
        <v>17.420000000000002</v>
      </c>
      <c r="DI30" s="228">
        <v>-1.33</v>
      </c>
      <c r="DJ30" s="228">
        <v>-1.33</v>
      </c>
      <c r="DK30" s="228">
        <v>16.62</v>
      </c>
      <c r="DL30" s="228">
        <v>17.82</v>
      </c>
      <c r="DM30" s="228">
        <v>-1.2</v>
      </c>
      <c r="DN30" s="228">
        <v>-1.2</v>
      </c>
      <c r="DO30" s="228">
        <v>0.5</v>
      </c>
      <c r="DP30" s="228">
        <v>0.5</v>
      </c>
      <c r="DQ30" s="228">
        <v>0</v>
      </c>
      <c r="DR30" s="229">
        <v>0</v>
      </c>
      <c r="DS30" s="231">
        <v>3800</v>
      </c>
      <c r="DT30" s="231">
        <v>3700</v>
      </c>
      <c r="DU30" s="228">
        <v>0.4</v>
      </c>
      <c r="DV30" s="228">
        <v>0.42</v>
      </c>
      <c r="DW30" s="228">
        <v>-0.02</v>
      </c>
      <c r="DX30" s="229">
        <v>-4.7600000000000003E-2</v>
      </c>
      <c r="DY30" s="229">
        <v>3.0800000000000001E-2</v>
      </c>
      <c r="DZ30" s="230">
        <v>409675</v>
      </c>
      <c r="EA30" s="229">
        <v>5.5999999999999999E-3</v>
      </c>
      <c r="EB30" s="229">
        <v>3.0800000000000001E-2</v>
      </c>
      <c r="EC30" s="228">
        <v>21.48</v>
      </c>
      <c r="ED30" s="229">
        <v>5.5999999999999999E-3</v>
      </c>
      <c r="EE30" s="230">
        <v>663688</v>
      </c>
      <c r="EF30" s="230">
        <v>947917</v>
      </c>
      <c r="EG30" s="229">
        <v>-0.29980000000000001</v>
      </c>
      <c r="EH30" s="229">
        <v>0.55159999999999998</v>
      </c>
      <c r="EI30" s="231">
        <v>327996.46000000002</v>
      </c>
      <c r="EJ30" s="231">
        <v>126673.44</v>
      </c>
      <c r="EK30" s="231">
        <v>75447.33</v>
      </c>
      <c r="EL30" s="231">
        <v>11212</v>
      </c>
      <c r="EM30" s="231">
        <v>530117.23</v>
      </c>
      <c r="EN30" s="231">
        <v>671705.91</v>
      </c>
      <c r="EO30" s="231">
        <v>-141588.68</v>
      </c>
      <c r="EP30" s="229">
        <v>-0.21079999999999999</v>
      </c>
      <c r="EQ30" s="231">
        <v>243683</v>
      </c>
      <c r="ER30" s="231">
        <v>114640</v>
      </c>
      <c r="ES30" s="231">
        <v>609197</v>
      </c>
      <c r="ET30" s="231">
        <v>136007303</v>
      </c>
      <c r="EU30" s="231">
        <v>967520</v>
      </c>
      <c r="EV30" s="231">
        <v>940909</v>
      </c>
      <c r="EW30" s="231">
        <v>26611</v>
      </c>
      <c r="EX30" s="229">
        <v>2.8299999999999999E-2</v>
      </c>
      <c r="EY30" s="229">
        <v>0.18720000000000001</v>
      </c>
    </row>
    <row r="31" spans="1:155" ht="17.25" thickBot="1" x14ac:dyDescent="0.3">
      <c r="A31" s="226">
        <v>45940</v>
      </c>
      <c r="B31" s="227" t="s">
        <v>162</v>
      </c>
      <c r="C31" s="227" t="s">
        <v>251</v>
      </c>
      <c r="D31" s="231">
        <v>3473.1</v>
      </c>
      <c r="E31" s="231">
        <v>3453.2</v>
      </c>
      <c r="F31" s="228">
        <v>19.899999999999999</v>
      </c>
      <c r="G31" s="229">
        <v>5.7999999999999996E-3</v>
      </c>
      <c r="H31" s="231">
        <v>3454.9</v>
      </c>
      <c r="I31" s="231">
        <v>3442.9</v>
      </c>
      <c r="J31" s="228">
        <v>12</v>
      </c>
      <c r="K31" s="229">
        <v>3.5000000000000001E-3</v>
      </c>
      <c r="L31" s="231">
        <v>3473.1</v>
      </c>
      <c r="M31" s="231">
        <v>3453.2</v>
      </c>
      <c r="N31" s="228">
        <v>19.899999999999999</v>
      </c>
      <c r="O31" s="229">
        <v>5.7999999999999996E-3</v>
      </c>
      <c r="P31" s="231">
        <v>3492.9</v>
      </c>
      <c r="Q31" s="231">
        <v>3471.7</v>
      </c>
      <c r="R31" s="228">
        <v>21.2</v>
      </c>
      <c r="S31" s="229">
        <v>6.1000000000000004E-3</v>
      </c>
      <c r="T31" s="231">
        <v>3514.3</v>
      </c>
      <c r="U31" s="231">
        <v>3492.3</v>
      </c>
      <c r="V31" s="228">
        <v>22</v>
      </c>
      <c r="W31" s="229">
        <v>6.3E-3</v>
      </c>
      <c r="X31" s="228">
        <v>18.2</v>
      </c>
      <c r="Y31" s="228">
        <v>10.3</v>
      </c>
      <c r="Z31" s="228">
        <v>7.9</v>
      </c>
      <c r="AA31" s="229">
        <v>5.3E-3</v>
      </c>
      <c r="AB31" s="228">
        <v>18.2</v>
      </c>
      <c r="AC31" s="228">
        <v>10.3</v>
      </c>
      <c r="AD31" s="228">
        <v>7.9</v>
      </c>
      <c r="AE31" s="229">
        <v>5.3E-3</v>
      </c>
      <c r="AF31" s="228">
        <v>38</v>
      </c>
      <c r="AG31" s="228">
        <v>28.8</v>
      </c>
      <c r="AH31" s="228">
        <v>9.1999999999999993</v>
      </c>
      <c r="AI31" s="229">
        <v>1.0999999999999999E-2</v>
      </c>
      <c r="AJ31" s="228">
        <v>59.4</v>
      </c>
      <c r="AK31" s="228">
        <v>49.4</v>
      </c>
      <c r="AL31" s="228">
        <v>10</v>
      </c>
      <c r="AM31" s="229">
        <v>1.72E-2</v>
      </c>
      <c r="AN31" s="231">
        <v>3462.14</v>
      </c>
      <c r="AO31" s="231">
        <v>3479.33</v>
      </c>
      <c r="AP31" s="228">
        <v>0</v>
      </c>
      <c r="AQ31" s="230">
        <v>9480</v>
      </c>
      <c r="AR31" s="230">
        <v>11001</v>
      </c>
      <c r="AS31" s="230">
        <v>-1521</v>
      </c>
      <c r="AT31" s="229">
        <v>-0.13830000000000001</v>
      </c>
      <c r="AU31" s="230">
        <v>8450</v>
      </c>
      <c r="AV31" s="230">
        <v>10348</v>
      </c>
      <c r="AW31" s="230">
        <v>-1898</v>
      </c>
      <c r="AX31" s="229">
        <v>-0.18340000000000001</v>
      </c>
      <c r="AY31" s="228">
        <v>732</v>
      </c>
      <c r="AZ31" s="228">
        <v>549</v>
      </c>
      <c r="BA31" s="228">
        <v>183</v>
      </c>
      <c r="BB31" s="229">
        <v>0.33329999999999999</v>
      </c>
      <c r="BC31" s="228">
        <v>298</v>
      </c>
      <c r="BD31" s="228">
        <v>104</v>
      </c>
      <c r="BE31" s="228">
        <v>194</v>
      </c>
      <c r="BF31" s="229">
        <v>1.8653999999999999</v>
      </c>
      <c r="BG31" s="230">
        <v>35242</v>
      </c>
      <c r="BH31" s="230">
        <v>32929</v>
      </c>
      <c r="BI31" s="230">
        <v>2313</v>
      </c>
      <c r="BJ31" s="229">
        <v>7.0199999999999999E-2</v>
      </c>
      <c r="BK31" s="230">
        <v>12677</v>
      </c>
      <c r="BL31" s="230">
        <v>14868</v>
      </c>
      <c r="BM31" s="230">
        <v>-2191</v>
      </c>
      <c r="BN31" s="229">
        <v>-0.1474</v>
      </c>
      <c r="BO31" s="230">
        <v>57399</v>
      </c>
      <c r="BP31" s="230">
        <v>58798</v>
      </c>
      <c r="BQ31" s="230">
        <v>-1399</v>
      </c>
      <c r="BR31" s="229">
        <v>-2.3800000000000002E-2</v>
      </c>
      <c r="BS31" s="230">
        <v>1444424</v>
      </c>
      <c r="BT31" s="230">
        <v>2279668</v>
      </c>
      <c r="BU31" s="230">
        <v>-835244</v>
      </c>
      <c r="BV31" s="229">
        <v>-0.3664</v>
      </c>
      <c r="BW31" s="230">
        <v>20408600</v>
      </c>
      <c r="BX31" s="230">
        <v>20254000</v>
      </c>
      <c r="BY31" s="230">
        <v>154600</v>
      </c>
      <c r="BZ31" s="229">
        <v>7.6E-3</v>
      </c>
      <c r="CA31" s="230">
        <v>19932200</v>
      </c>
      <c r="CB31" s="230">
        <v>19835800</v>
      </c>
      <c r="CC31" s="230">
        <v>96400</v>
      </c>
      <c r="CD31" s="229">
        <v>4.8999999999999998E-3</v>
      </c>
      <c r="CE31" s="230">
        <v>331200</v>
      </c>
      <c r="CF31" s="230">
        <v>290600</v>
      </c>
      <c r="CG31" s="230">
        <v>40600</v>
      </c>
      <c r="CH31" s="229">
        <v>0.13969999999999999</v>
      </c>
      <c r="CI31" s="230">
        <v>145200</v>
      </c>
      <c r="CJ31" s="230">
        <v>127600</v>
      </c>
      <c r="CK31" s="230">
        <v>17600</v>
      </c>
      <c r="CL31" s="229">
        <v>0.13789999999999999</v>
      </c>
      <c r="CM31" s="230">
        <v>6057200</v>
      </c>
      <c r="CN31" s="230">
        <v>5999000</v>
      </c>
      <c r="CO31" s="230">
        <v>58200</v>
      </c>
      <c r="CP31" s="229">
        <v>9.7000000000000003E-3</v>
      </c>
      <c r="CQ31" s="230">
        <v>3073000</v>
      </c>
      <c r="CR31" s="230">
        <v>3001400</v>
      </c>
      <c r="CS31" s="230">
        <v>71600</v>
      </c>
      <c r="CT31" s="229">
        <v>2.3900000000000001E-2</v>
      </c>
      <c r="CU31" s="230">
        <v>29538800</v>
      </c>
      <c r="CV31" s="230">
        <v>29254400</v>
      </c>
      <c r="CW31" s="230">
        <v>284400</v>
      </c>
      <c r="CX31" s="229">
        <v>9.7000000000000003E-3</v>
      </c>
      <c r="CY31" s="228">
        <v>24.64</v>
      </c>
      <c r="CZ31" s="228">
        <v>24.82</v>
      </c>
      <c r="DA31" s="228">
        <v>-0.18</v>
      </c>
      <c r="DB31" s="228">
        <v>-0.18</v>
      </c>
      <c r="DC31" s="228">
        <v>34.46</v>
      </c>
      <c r="DD31" s="228">
        <v>34.54</v>
      </c>
      <c r="DE31" s="228">
        <v>-9.82</v>
      </c>
      <c r="DF31" s="228">
        <v>-0.08</v>
      </c>
      <c r="DG31" s="228">
        <v>24.75</v>
      </c>
      <c r="DH31" s="228">
        <v>25.01</v>
      </c>
      <c r="DI31" s="228">
        <v>-0.26</v>
      </c>
      <c r="DJ31" s="228">
        <v>-0.26</v>
      </c>
      <c r="DK31" s="228">
        <v>24.33</v>
      </c>
      <c r="DL31" s="228">
        <v>24.41</v>
      </c>
      <c r="DM31" s="228">
        <v>-0.08</v>
      </c>
      <c r="DN31" s="228">
        <v>-0.08</v>
      </c>
      <c r="DO31" s="228">
        <v>0.51</v>
      </c>
      <c r="DP31" s="228">
        <v>0.5</v>
      </c>
      <c r="DQ31" s="228">
        <v>0.01</v>
      </c>
      <c r="DR31" s="229">
        <v>0.02</v>
      </c>
      <c r="DS31" s="231">
        <v>3600</v>
      </c>
      <c r="DT31" s="231">
        <v>3400</v>
      </c>
      <c r="DU31" s="228">
        <v>0.36</v>
      </c>
      <c r="DV31" s="228">
        <v>0.45</v>
      </c>
      <c r="DW31" s="228">
        <v>-0.09</v>
      </c>
      <c r="DX31" s="229">
        <v>-0.2</v>
      </c>
      <c r="DY31" s="229">
        <v>2.3300000000000001E-2</v>
      </c>
      <c r="DZ31" s="230">
        <v>418200</v>
      </c>
      <c r="EA31" s="229">
        <v>5.7000000000000002E-3</v>
      </c>
      <c r="EB31" s="229">
        <v>2.3300000000000001E-2</v>
      </c>
      <c r="EC31" s="228">
        <v>17.190000000000001</v>
      </c>
      <c r="ED31" s="229">
        <v>5.0000000000000001E-3</v>
      </c>
      <c r="EE31" s="230">
        <v>741095</v>
      </c>
      <c r="EF31" s="230">
        <v>1081984</v>
      </c>
      <c r="EG31" s="229">
        <v>-0.31509999999999999</v>
      </c>
      <c r="EH31" s="229">
        <v>0.5131</v>
      </c>
      <c r="EI31" s="231">
        <v>254147.91</v>
      </c>
      <c r="EJ31" s="231">
        <v>86914.16</v>
      </c>
      <c r="EK31" s="231">
        <v>65694.16</v>
      </c>
      <c r="EL31" s="231">
        <v>10066</v>
      </c>
      <c r="EM31" s="231">
        <v>406756.23</v>
      </c>
      <c r="EN31" s="231">
        <v>416045.5</v>
      </c>
      <c r="EO31" s="231">
        <v>-9289.27</v>
      </c>
      <c r="EP31" s="229">
        <v>-2.23E-2</v>
      </c>
      <c r="EQ31" s="231">
        <v>220547</v>
      </c>
      <c r="ER31" s="231">
        <v>103550</v>
      </c>
      <c r="ES31" s="231">
        <v>708936</v>
      </c>
      <c r="ET31" s="231">
        <v>100261459</v>
      </c>
      <c r="EU31" s="231">
        <v>1033034</v>
      </c>
      <c r="EV31" s="231">
        <v>1019076</v>
      </c>
      <c r="EW31" s="231">
        <v>13958</v>
      </c>
      <c r="EX31" s="229">
        <v>1.37E-2</v>
      </c>
      <c r="EY31" s="229">
        <v>0.29459999999999997</v>
      </c>
    </row>
    <row r="32" spans="1:155" ht="17.25" thickBot="1" x14ac:dyDescent="0.3">
      <c r="A32" s="226">
        <v>45940</v>
      </c>
      <c r="B32" s="227" t="s">
        <v>162</v>
      </c>
      <c r="C32" s="227" t="s">
        <v>255</v>
      </c>
      <c r="D32" s="231">
        <v>16349</v>
      </c>
      <c r="E32" s="231">
        <v>16004</v>
      </c>
      <c r="F32" s="228">
        <v>345</v>
      </c>
      <c r="G32" s="229">
        <v>2.1600000000000001E-2</v>
      </c>
      <c r="H32" s="231">
        <v>16265</v>
      </c>
      <c r="I32" s="231">
        <v>15985</v>
      </c>
      <c r="J32" s="228">
        <v>280</v>
      </c>
      <c r="K32" s="229">
        <v>1.7500000000000002E-2</v>
      </c>
      <c r="L32" s="231">
        <v>16349</v>
      </c>
      <c r="M32" s="231">
        <v>16004</v>
      </c>
      <c r="N32" s="228">
        <v>345</v>
      </c>
      <c r="O32" s="229">
        <v>2.1600000000000001E-2</v>
      </c>
      <c r="P32" s="231">
        <v>16432</v>
      </c>
      <c r="Q32" s="231">
        <v>16086</v>
      </c>
      <c r="R32" s="228">
        <v>346</v>
      </c>
      <c r="S32" s="229">
        <v>2.1499999999999998E-2</v>
      </c>
      <c r="T32" s="231">
        <v>16526</v>
      </c>
      <c r="U32" s="231">
        <v>16155</v>
      </c>
      <c r="V32" s="228">
        <v>371</v>
      </c>
      <c r="W32" s="229">
        <v>2.3E-2</v>
      </c>
      <c r="X32" s="228">
        <v>84</v>
      </c>
      <c r="Y32" s="228">
        <v>19</v>
      </c>
      <c r="Z32" s="228">
        <v>65</v>
      </c>
      <c r="AA32" s="229">
        <v>5.1999999999999998E-3</v>
      </c>
      <c r="AB32" s="228">
        <v>84</v>
      </c>
      <c r="AC32" s="228">
        <v>19</v>
      </c>
      <c r="AD32" s="228">
        <v>65</v>
      </c>
      <c r="AE32" s="229">
        <v>5.1999999999999998E-3</v>
      </c>
      <c r="AF32" s="228">
        <v>167</v>
      </c>
      <c r="AG32" s="228">
        <v>101</v>
      </c>
      <c r="AH32" s="228">
        <v>66</v>
      </c>
      <c r="AI32" s="229">
        <v>1.03E-2</v>
      </c>
      <c r="AJ32" s="228">
        <v>261</v>
      </c>
      <c r="AK32" s="228">
        <v>170</v>
      </c>
      <c r="AL32" s="228">
        <v>91</v>
      </c>
      <c r="AM32" s="229">
        <v>1.6E-2</v>
      </c>
      <c r="AN32" s="231">
        <v>16246.96</v>
      </c>
      <c r="AO32" s="231">
        <v>16344.16</v>
      </c>
      <c r="AP32" s="228">
        <v>0</v>
      </c>
      <c r="AQ32" s="230">
        <v>19596</v>
      </c>
      <c r="AR32" s="230">
        <v>8693</v>
      </c>
      <c r="AS32" s="230">
        <v>10903</v>
      </c>
      <c r="AT32" s="229">
        <v>1.2542</v>
      </c>
      <c r="AU32" s="230">
        <v>18069</v>
      </c>
      <c r="AV32" s="230">
        <v>8224</v>
      </c>
      <c r="AW32" s="230">
        <v>9845</v>
      </c>
      <c r="AX32" s="229">
        <v>1.1971000000000001</v>
      </c>
      <c r="AY32" s="230">
        <v>1178</v>
      </c>
      <c r="AZ32" s="228">
        <v>422</v>
      </c>
      <c r="BA32" s="228">
        <v>756</v>
      </c>
      <c r="BB32" s="229">
        <v>1.7915000000000001</v>
      </c>
      <c r="BC32" s="228">
        <v>349</v>
      </c>
      <c r="BD32" s="228">
        <v>47</v>
      </c>
      <c r="BE32" s="228">
        <v>302</v>
      </c>
      <c r="BF32" s="229">
        <v>6.4255000000000004</v>
      </c>
      <c r="BG32" s="230">
        <v>159186</v>
      </c>
      <c r="BH32" s="230">
        <v>63332</v>
      </c>
      <c r="BI32" s="230">
        <v>95854</v>
      </c>
      <c r="BJ32" s="229">
        <v>1.5135000000000001</v>
      </c>
      <c r="BK32" s="230">
        <v>59258</v>
      </c>
      <c r="BL32" s="230">
        <v>36386</v>
      </c>
      <c r="BM32" s="230">
        <v>22872</v>
      </c>
      <c r="BN32" s="229">
        <v>0.62860000000000005</v>
      </c>
      <c r="BO32" s="230">
        <v>238040</v>
      </c>
      <c r="BP32" s="230">
        <v>108411</v>
      </c>
      <c r="BQ32" s="230">
        <v>129629</v>
      </c>
      <c r="BR32" s="229">
        <v>1.1957</v>
      </c>
      <c r="BS32" s="230">
        <v>429340</v>
      </c>
      <c r="BT32" s="230">
        <v>304681</v>
      </c>
      <c r="BU32" s="230">
        <v>124659</v>
      </c>
      <c r="BV32" s="229">
        <v>0.40910000000000002</v>
      </c>
      <c r="BW32" s="230">
        <v>2860050</v>
      </c>
      <c r="BX32" s="230">
        <v>2683500</v>
      </c>
      <c r="BY32" s="230">
        <v>176550</v>
      </c>
      <c r="BZ32" s="229">
        <v>6.5799999999999997E-2</v>
      </c>
      <c r="CA32" s="230">
        <v>2754900</v>
      </c>
      <c r="CB32" s="230">
        <v>2602950</v>
      </c>
      <c r="CC32" s="230">
        <v>151950</v>
      </c>
      <c r="CD32" s="229">
        <v>5.8400000000000001E-2</v>
      </c>
      <c r="CE32" s="230">
        <v>88950</v>
      </c>
      <c r="CF32" s="230">
        <v>75650</v>
      </c>
      <c r="CG32" s="230">
        <v>13300</v>
      </c>
      <c r="CH32" s="229">
        <v>0.17580000000000001</v>
      </c>
      <c r="CI32" s="230">
        <v>16200</v>
      </c>
      <c r="CJ32" s="230">
        <v>4900</v>
      </c>
      <c r="CK32" s="230">
        <v>11300</v>
      </c>
      <c r="CL32" s="229">
        <v>2.3060999999999998</v>
      </c>
      <c r="CM32" s="230">
        <v>2782900</v>
      </c>
      <c r="CN32" s="230">
        <v>2908200</v>
      </c>
      <c r="CO32" s="230">
        <v>-125300</v>
      </c>
      <c r="CP32" s="229">
        <v>-4.3099999999999999E-2</v>
      </c>
      <c r="CQ32" s="230">
        <v>1733350</v>
      </c>
      <c r="CR32" s="230">
        <v>1440300</v>
      </c>
      <c r="CS32" s="230">
        <v>293050</v>
      </c>
      <c r="CT32" s="229">
        <v>0.20349999999999999</v>
      </c>
      <c r="CU32" s="230">
        <v>7376300</v>
      </c>
      <c r="CV32" s="230">
        <v>7032000</v>
      </c>
      <c r="CW32" s="230">
        <v>344300</v>
      </c>
      <c r="CX32" s="229">
        <v>4.9000000000000002E-2</v>
      </c>
      <c r="CY32" s="228">
        <v>18.440000000000001</v>
      </c>
      <c r="CZ32" s="228">
        <v>18.37</v>
      </c>
      <c r="DA32" s="228">
        <v>7.0000000000000007E-2</v>
      </c>
      <c r="DB32" s="228">
        <v>7.0000000000000007E-2</v>
      </c>
      <c r="DC32" s="228">
        <v>25.96</v>
      </c>
      <c r="DD32" s="228">
        <v>25.92</v>
      </c>
      <c r="DE32" s="228">
        <v>-7.52</v>
      </c>
      <c r="DF32" s="228">
        <v>0.04</v>
      </c>
      <c r="DG32" s="228">
        <v>18.21</v>
      </c>
      <c r="DH32" s="228">
        <v>18.350000000000001</v>
      </c>
      <c r="DI32" s="228">
        <v>-0.14000000000000001</v>
      </c>
      <c r="DJ32" s="228">
        <v>-0.14000000000000001</v>
      </c>
      <c r="DK32" s="228">
        <v>19.059999999999999</v>
      </c>
      <c r="DL32" s="228">
        <v>18.399999999999999</v>
      </c>
      <c r="DM32" s="228">
        <v>0.66</v>
      </c>
      <c r="DN32" s="228">
        <v>0.66</v>
      </c>
      <c r="DO32" s="228">
        <v>0.62</v>
      </c>
      <c r="DP32" s="228">
        <v>0.5</v>
      </c>
      <c r="DQ32" s="228">
        <v>0.12</v>
      </c>
      <c r="DR32" s="229">
        <v>0.24</v>
      </c>
      <c r="DS32" s="231">
        <v>17000</v>
      </c>
      <c r="DT32" s="231">
        <v>16000</v>
      </c>
      <c r="DU32" s="228">
        <v>0.37</v>
      </c>
      <c r="DV32" s="228">
        <v>0.56999999999999995</v>
      </c>
      <c r="DW32" s="228">
        <v>-0.2</v>
      </c>
      <c r="DX32" s="229">
        <v>-0.35089999999999999</v>
      </c>
      <c r="DY32" s="229">
        <v>3.6799999999999999E-2</v>
      </c>
      <c r="DZ32" s="230">
        <v>80550</v>
      </c>
      <c r="EA32" s="229">
        <v>5.1000000000000004E-3</v>
      </c>
      <c r="EB32" s="229">
        <v>3.6799999999999999E-2</v>
      </c>
      <c r="EC32" s="228">
        <v>97.2</v>
      </c>
      <c r="ED32" s="229">
        <v>6.0000000000000001E-3</v>
      </c>
      <c r="EE32" s="230">
        <v>242751</v>
      </c>
      <c r="EF32" s="230">
        <v>184370</v>
      </c>
      <c r="EG32" s="229">
        <v>0.31669999999999998</v>
      </c>
      <c r="EH32" s="229">
        <v>0.56540000000000001</v>
      </c>
      <c r="EI32" s="231">
        <v>1337197.28</v>
      </c>
      <c r="EJ32" s="231">
        <v>470953.31</v>
      </c>
      <c r="EK32" s="231">
        <v>159280.16</v>
      </c>
      <c r="EL32" s="231">
        <v>10444</v>
      </c>
      <c r="EM32" s="231">
        <v>1967430.75</v>
      </c>
      <c r="EN32" s="231">
        <v>884017.32</v>
      </c>
      <c r="EO32" s="231">
        <v>1083413.43</v>
      </c>
      <c r="EP32" s="229">
        <v>1.2256</v>
      </c>
      <c r="EQ32" s="231">
        <v>465494</v>
      </c>
      <c r="ER32" s="231">
        <v>266965</v>
      </c>
      <c r="ES32" s="231">
        <v>467692</v>
      </c>
      <c r="ET32" s="231">
        <v>16752897</v>
      </c>
      <c r="EU32" s="231">
        <v>1200151</v>
      </c>
      <c r="EV32" s="231">
        <v>1135633</v>
      </c>
      <c r="EW32" s="231">
        <v>64518</v>
      </c>
      <c r="EX32" s="229">
        <v>5.6800000000000003E-2</v>
      </c>
      <c r="EY32" s="229">
        <v>0.44030000000000002</v>
      </c>
    </row>
    <row r="33" spans="1:155" ht="17.25" thickBot="1" x14ac:dyDescent="0.3">
      <c r="A33" s="226">
        <v>45940</v>
      </c>
      <c r="B33" s="227" t="s">
        <v>170</v>
      </c>
      <c r="C33" s="227" t="s">
        <v>604</v>
      </c>
      <c r="D33" s="231">
        <v>1159.4000000000001</v>
      </c>
      <c r="E33" s="231">
        <v>1159.2</v>
      </c>
      <c r="F33" s="228">
        <v>0.2</v>
      </c>
      <c r="G33" s="229">
        <v>2.0000000000000001E-4</v>
      </c>
      <c r="H33" s="231">
        <v>1156.4000000000001</v>
      </c>
      <c r="I33" s="231">
        <v>1155.8</v>
      </c>
      <c r="J33" s="228">
        <v>0.6</v>
      </c>
      <c r="K33" s="229">
        <v>5.0000000000000001E-4</v>
      </c>
      <c r="L33" s="231">
        <v>1159.4000000000001</v>
      </c>
      <c r="M33" s="231">
        <v>1159.2</v>
      </c>
      <c r="N33" s="228">
        <v>0.2</v>
      </c>
      <c r="O33" s="229">
        <v>2.0000000000000001E-4</v>
      </c>
      <c r="P33" s="231">
        <v>1165.5</v>
      </c>
      <c r="Q33" s="231">
        <v>1164.5999999999999</v>
      </c>
      <c r="R33" s="228">
        <v>0.9</v>
      </c>
      <c r="S33" s="229">
        <v>8.0000000000000004E-4</v>
      </c>
      <c r="T33" s="231">
        <v>1172.3</v>
      </c>
      <c r="U33" s="231">
        <v>1173.5999999999999</v>
      </c>
      <c r="V33" s="228">
        <v>-1.3</v>
      </c>
      <c r="W33" s="229">
        <v>-1.1000000000000001E-3</v>
      </c>
      <c r="X33" s="228">
        <v>3</v>
      </c>
      <c r="Y33" s="228">
        <v>3.4</v>
      </c>
      <c r="Z33" s="228">
        <v>-0.4</v>
      </c>
      <c r="AA33" s="229">
        <v>2.5999999999999999E-3</v>
      </c>
      <c r="AB33" s="228">
        <v>3</v>
      </c>
      <c r="AC33" s="228">
        <v>3.4</v>
      </c>
      <c r="AD33" s="228">
        <v>-0.4</v>
      </c>
      <c r="AE33" s="229">
        <v>2.5999999999999999E-3</v>
      </c>
      <c r="AF33" s="228">
        <v>9.1</v>
      </c>
      <c r="AG33" s="228">
        <v>8.8000000000000007</v>
      </c>
      <c r="AH33" s="228">
        <v>0.3</v>
      </c>
      <c r="AI33" s="229">
        <v>7.9000000000000008E-3</v>
      </c>
      <c r="AJ33" s="228">
        <v>15.9</v>
      </c>
      <c r="AK33" s="228">
        <v>17.8</v>
      </c>
      <c r="AL33" s="228">
        <v>-1.9</v>
      </c>
      <c r="AM33" s="229">
        <v>1.37E-2</v>
      </c>
      <c r="AN33" s="231">
        <v>1159.42</v>
      </c>
      <c r="AO33" s="231">
        <v>1164.8599999999999</v>
      </c>
      <c r="AP33" s="228">
        <v>0</v>
      </c>
      <c r="AQ33" s="230">
        <v>3587</v>
      </c>
      <c r="AR33" s="230">
        <v>3407</v>
      </c>
      <c r="AS33" s="228">
        <v>180</v>
      </c>
      <c r="AT33" s="229">
        <v>5.28E-2</v>
      </c>
      <c r="AU33" s="230">
        <v>3334</v>
      </c>
      <c r="AV33" s="230">
        <v>3173</v>
      </c>
      <c r="AW33" s="228">
        <v>161</v>
      </c>
      <c r="AX33" s="229">
        <v>5.0700000000000002E-2</v>
      </c>
      <c r="AY33" s="228">
        <v>199</v>
      </c>
      <c r="AZ33" s="228">
        <v>221</v>
      </c>
      <c r="BA33" s="228">
        <v>-22</v>
      </c>
      <c r="BB33" s="229">
        <v>-9.9500000000000005E-2</v>
      </c>
      <c r="BC33" s="228">
        <v>54</v>
      </c>
      <c r="BD33" s="228">
        <v>13</v>
      </c>
      <c r="BE33" s="228">
        <v>41</v>
      </c>
      <c r="BF33" s="229">
        <v>3.1537999999999999</v>
      </c>
      <c r="BG33" s="230">
        <v>5273</v>
      </c>
      <c r="BH33" s="230">
        <v>11008</v>
      </c>
      <c r="BI33" s="230">
        <v>-5735</v>
      </c>
      <c r="BJ33" s="229">
        <v>-0.52100000000000002</v>
      </c>
      <c r="BK33" s="230">
        <v>3826</v>
      </c>
      <c r="BL33" s="230">
        <v>5714</v>
      </c>
      <c r="BM33" s="230">
        <v>-1888</v>
      </c>
      <c r="BN33" s="229">
        <v>-0.33040000000000003</v>
      </c>
      <c r="BO33" s="230">
        <v>12686</v>
      </c>
      <c r="BP33" s="230">
        <v>20129</v>
      </c>
      <c r="BQ33" s="230">
        <v>-7443</v>
      </c>
      <c r="BR33" s="229">
        <v>-0.36980000000000002</v>
      </c>
      <c r="BS33" s="230">
        <v>2745508</v>
      </c>
      <c r="BT33" s="230">
        <v>3070993</v>
      </c>
      <c r="BU33" s="230">
        <v>-325485</v>
      </c>
      <c r="BV33" s="229">
        <v>-0.106</v>
      </c>
      <c r="BW33" s="230">
        <v>16662975</v>
      </c>
      <c r="BX33" s="230">
        <v>16826775</v>
      </c>
      <c r="BY33" s="230">
        <v>-163800</v>
      </c>
      <c r="BZ33" s="229">
        <v>-9.7000000000000003E-3</v>
      </c>
      <c r="CA33" s="230">
        <v>16364775</v>
      </c>
      <c r="CB33" s="230">
        <v>16560600</v>
      </c>
      <c r="CC33" s="230">
        <v>-195825</v>
      </c>
      <c r="CD33" s="229">
        <v>-1.18E-2</v>
      </c>
      <c r="CE33" s="230">
        <v>258825</v>
      </c>
      <c r="CF33" s="230">
        <v>247275</v>
      </c>
      <c r="CG33" s="230">
        <v>11550</v>
      </c>
      <c r="CH33" s="229">
        <v>4.6699999999999998E-2</v>
      </c>
      <c r="CI33" s="230">
        <v>39375</v>
      </c>
      <c r="CJ33" s="230">
        <v>18900</v>
      </c>
      <c r="CK33" s="230">
        <v>20475</v>
      </c>
      <c r="CL33" s="229">
        <v>1.0832999999999999</v>
      </c>
      <c r="CM33" s="230">
        <v>3163125</v>
      </c>
      <c r="CN33" s="230">
        <v>3125325</v>
      </c>
      <c r="CO33" s="230">
        <v>37800</v>
      </c>
      <c r="CP33" s="229">
        <v>1.21E-2</v>
      </c>
      <c r="CQ33" s="230">
        <v>2814525</v>
      </c>
      <c r="CR33" s="230">
        <v>2809275</v>
      </c>
      <c r="CS33" s="230">
        <v>5250</v>
      </c>
      <c r="CT33" s="229">
        <v>1.9E-3</v>
      </c>
      <c r="CU33" s="230">
        <v>22640625</v>
      </c>
      <c r="CV33" s="230">
        <v>22761375</v>
      </c>
      <c r="CW33" s="230">
        <v>-120750</v>
      </c>
      <c r="CX33" s="229">
        <v>-5.3E-3</v>
      </c>
      <c r="CY33" s="228">
        <v>25.37</v>
      </c>
      <c r="CZ33" s="228">
        <v>26.13</v>
      </c>
      <c r="DA33" s="228">
        <v>-0.76</v>
      </c>
      <c r="DB33" s="228">
        <v>-0.76</v>
      </c>
      <c r="DC33" s="228">
        <v>41.42</v>
      </c>
      <c r="DD33" s="228">
        <v>41.52</v>
      </c>
      <c r="DE33" s="228">
        <v>-16.05</v>
      </c>
      <c r="DF33" s="228">
        <v>-0.1</v>
      </c>
      <c r="DG33" s="228">
        <v>24.54</v>
      </c>
      <c r="DH33" s="228">
        <v>25.46</v>
      </c>
      <c r="DI33" s="228">
        <v>-0.92</v>
      </c>
      <c r="DJ33" s="228">
        <v>-0.92</v>
      </c>
      <c r="DK33" s="228">
        <v>26.53</v>
      </c>
      <c r="DL33" s="228">
        <v>27.42</v>
      </c>
      <c r="DM33" s="228">
        <v>-0.89</v>
      </c>
      <c r="DN33" s="228">
        <v>-0.89</v>
      </c>
      <c r="DO33" s="228">
        <v>0.89</v>
      </c>
      <c r="DP33" s="228">
        <v>0.9</v>
      </c>
      <c r="DQ33" s="228">
        <v>-0.01</v>
      </c>
      <c r="DR33" s="229">
        <v>-1.11E-2</v>
      </c>
      <c r="DS33" s="231">
        <v>1200</v>
      </c>
      <c r="DT33" s="231">
        <v>1060</v>
      </c>
      <c r="DU33" s="228">
        <v>0.73</v>
      </c>
      <c r="DV33" s="228">
        <v>0.52</v>
      </c>
      <c r="DW33" s="228">
        <v>0.21</v>
      </c>
      <c r="DX33" s="229">
        <v>0.40379999999999999</v>
      </c>
      <c r="DY33" s="229">
        <v>1.7899999999999999E-2</v>
      </c>
      <c r="DZ33" s="230">
        <v>266175</v>
      </c>
      <c r="EA33" s="229">
        <v>5.3E-3</v>
      </c>
      <c r="EB33" s="229">
        <v>1.7899999999999999E-2</v>
      </c>
      <c r="EC33" s="228">
        <v>5.44</v>
      </c>
      <c r="ED33" s="229">
        <v>4.7000000000000002E-3</v>
      </c>
      <c r="EE33" s="230">
        <v>1773699</v>
      </c>
      <c r="EF33" s="230">
        <v>2079842</v>
      </c>
      <c r="EG33" s="229">
        <v>-0.1472</v>
      </c>
      <c r="EH33" s="229">
        <v>0.64600000000000002</v>
      </c>
      <c r="EI33" s="231">
        <v>33225.31</v>
      </c>
      <c r="EJ33" s="231">
        <v>22806.05</v>
      </c>
      <c r="EK33" s="231">
        <v>21843.69</v>
      </c>
      <c r="EL33" s="231">
        <v>7247</v>
      </c>
      <c r="EM33" s="231">
        <v>77875.05</v>
      </c>
      <c r="EN33" s="231">
        <v>123680.79</v>
      </c>
      <c r="EO33" s="231">
        <v>-45805.74</v>
      </c>
      <c r="EP33" s="229">
        <v>-0.37040000000000001</v>
      </c>
      <c r="EQ33" s="231">
        <v>37551</v>
      </c>
      <c r="ER33" s="231">
        <v>31132</v>
      </c>
      <c r="ES33" s="231">
        <v>193211</v>
      </c>
      <c r="ET33" s="231">
        <v>97211768</v>
      </c>
      <c r="EU33" s="231">
        <v>261895</v>
      </c>
      <c r="EV33" s="231">
        <v>263208</v>
      </c>
      <c r="EW33" s="231">
        <v>-1313</v>
      </c>
      <c r="EX33" s="229">
        <v>-5.0000000000000001E-3</v>
      </c>
      <c r="EY33" s="229">
        <v>0.2329</v>
      </c>
    </row>
    <row r="34" spans="1:155" ht="17.25" thickBot="1" x14ac:dyDescent="0.3">
      <c r="A34" s="226">
        <v>45940</v>
      </c>
      <c r="B34" s="227" t="s">
        <v>168</v>
      </c>
      <c r="C34" s="227" t="s">
        <v>265</v>
      </c>
      <c r="D34" s="231">
        <v>1202.5999999999999</v>
      </c>
      <c r="E34" s="231">
        <v>1191</v>
      </c>
      <c r="F34" s="228">
        <v>11.6</v>
      </c>
      <c r="G34" s="229">
        <v>9.7000000000000003E-3</v>
      </c>
      <c r="H34" s="231">
        <v>1199.5</v>
      </c>
      <c r="I34" s="231">
        <v>1187.8</v>
      </c>
      <c r="J34" s="228">
        <v>11.7</v>
      </c>
      <c r="K34" s="229">
        <v>9.9000000000000008E-3</v>
      </c>
      <c r="L34" s="231">
        <v>1202.5999999999999</v>
      </c>
      <c r="M34" s="231">
        <v>1191</v>
      </c>
      <c r="N34" s="228">
        <v>11.6</v>
      </c>
      <c r="O34" s="229">
        <v>9.7000000000000003E-3</v>
      </c>
      <c r="P34" s="231">
        <v>1208.9000000000001</v>
      </c>
      <c r="Q34" s="231">
        <v>1196.8</v>
      </c>
      <c r="R34" s="228">
        <v>12.1</v>
      </c>
      <c r="S34" s="229">
        <v>1.01E-2</v>
      </c>
      <c r="T34" s="231">
        <v>1216.5</v>
      </c>
      <c r="U34" s="231">
        <v>1202</v>
      </c>
      <c r="V34" s="228">
        <v>14.5</v>
      </c>
      <c r="W34" s="229">
        <v>1.21E-2</v>
      </c>
      <c r="X34" s="228">
        <v>3.1</v>
      </c>
      <c r="Y34" s="228">
        <v>3.2</v>
      </c>
      <c r="Z34" s="228">
        <v>-0.1</v>
      </c>
      <c r="AA34" s="229">
        <v>2.5999999999999999E-3</v>
      </c>
      <c r="AB34" s="228">
        <v>3.1</v>
      </c>
      <c r="AC34" s="228">
        <v>3.2</v>
      </c>
      <c r="AD34" s="228">
        <v>-0.1</v>
      </c>
      <c r="AE34" s="229">
        <v>2.5999999999999999E-3</v>
      </c>
      <c r="AF34" s="228">
        <v>9.4</v>
      </c>
      <c r="AG34" s="228">
        <v>9</v>
      </c>
      <c r="AH34" s="228">
        <v>0.4</v>
      </c>
      <c r="AI34" s="229">
        <v>7.7999999999999996E-3</v>
      </c>
      <c r="AJ34" s="228">
        <v>17</v>
      </c>
      <c r="AK34" s="228">
        <v>14.2</v>
      </c>
      <c r="AL34" s="228">
        <v>2.8</v>
      </c>
      <c r="AM34" s="229">
        <v>1.4200000000000001E-2</v>
      </c>
      <c r="AN34" s="231">
        <v>1199.31</v>
      </c>
      <c r="AO34" s="231">
        <v>1204.23</v>
      </c>
      <c r="AP34" s="228">
        <v>0</v>
      </c>
      <c r="AQ34" s="230">
        <v>4295</v>
      </c>
      <c r="AR34" s="230">
        <v>3148</v>
      </c>
      <c r="AS34" s="230">
        <v>1147</v>
      </c>
      <c r="AT34" s="229">
        <v>0.3644</v>
      </c>
      <c r="AU34" s="230">
        <v>4034</v>
      </c>
      <c r="AV34" s="230">
        <v>3016</v>
      </c>
      <c r="AW34" s="230">
        <v>1018</v>
      </c>
      <c r="AX34" s="229">
        <v>0.33750000000000002</v>
      </c>
      <c r="AY34" s="228">
        <v>205</v>
      </c>
      <c r="AZ34" s="228">
        <v>128</v>
      </c>
      <c r="BA34" s="228">
        <v>77</v>
      </c>
      <c r="BB34" s="229">
        <v>0.60160000000000002</v>
      </c>
      <c r="BC34" s="228">
        <v>56</v>
      </c>
      <c r="BD34" s="228">
        <v>4</v>
      </c>
      <c r="BE34" s="228">
        <v>52</v>
      </c>
      <c r="BF34" s="229">
        <v>13</v>
      </c>
      <c r="BG34" s="230">
        <v>8435</v>
      </c>
      <c r="BH34" s="230">
        <v>4744</v>
      </c>
      <c r="BI34" s="230">
        <v>3691</v>
      </c>
      <c r="BJ34" s="229">
        <v>0.77800000000000002</v>
      </c>
      <c r="BK34" s="230">
        <v>4471</v>
      </c>
      <c r="BL34" s="230">
        <v>2324</v>
      </c>
      <c r="BM34" s="230">
        <v>2147</v>
      </c>
      <c r="BN34" s="229">
        <v>0.92379999999999995</v>
      </c>
      <c r="BO34" s="230">
        <v>17201</v>
      </c>
      <c r="BP34" s="230">
        <v>10216</v>
      </c>
      <c r="BQ34" s="230">
        <v>6985</v>
      </c>
      <c r="BR34" s="229">
        <v>0.68369999999999997</v>
      </c>
      <c r="BS34" s="230">
        <v>1176068</v>
      </c>
      <c r="BT34" s="230">
        <v>1078290</v>
      </c>
      <c r="BU34" s="230">
        <v>97778</v>
      </c>
      <c r="BV34" s="229">
        <v>9.0700000000000003E-2</v>
      </c>
      <c r="BW34" s="230">
        <v>18628500</v>
      </c>
      <c r="BX34" s="230">
        <v>18011000</v>
      </c>
      <c r="BY34" s="230">
        <v>617500</v>
      </c>
      <c r="BZ34" s="229">
        <v>3.4299999999999997E-2</v>
      </c>
      <c r="CA34" s="230">
        <v>18243000</v>
      </c>
      <c r="CB34" s="230">
        <v>17667000</v>
      </c>
      <c r="CC34" s="230">
        <v>576000</v>
      </c>
      <c r="CD34" s="229">
        <v>3.2599999999999997E-2</v>
      </c>
      <c r="CE34" s="230">
        <v>359000</v>
      </c>
      <c r="CF34" s="230">
        <v>329000</v>
      </c>
      <c r="CG34" s="230">
        <v>30000</v>
      </c>
      <c r="CH34" s="229">
        <v>9.1200000000000003E-2</v>
      </c>
      <c r="CI34" s="230">
        <v>26500</v>
      </c>
      <c r="CJ34" s="230">
        <v>15000</v>
      </c>
      <c r="CK34" s="230">
        <v>11500</v>
      </c>
      <c r="CL34" s="229">
        <v>0.76670000000000005</v>
      </c>
      <c r="CM34" s="230">
        <v>3283000</v>
      </c>
      <c r="CN34" s="230">
        <v>3032500</v>
      </c>
      <c r="CO34" s="230">
        <v>250500</v>
      </c>
      <c r="CP34" s="229">
        <v>8.2600000000000007E-2</v>
      </c>
      <c r="CQ34" s="230">
        <v>2722500</v>
      </c>
      <c r="CR34" s="230">
        <v>2351000</v>
      </c>
      <c r="CS34" s="230">
        <v>371500</v>
      </c>
      <c r="CT34" s="229">
        <v>0.158</v>
      </c>
      <c r="CU34" s="230">
        <v>24634000</v>
      </c>
      <c r="CV34" s="230">
        <v>23394500</v>
      </c>
      <c r="CW34" s="230">
        <v>1239500</v>
      </c>
      <c r="CX34" s="229">
        <v>5.2999999999999999E-2</v>
      </c>
      <c r="CY34" s="228">
        <v>20.63</v>
      </c>
      <c r="CZ34" s="228">
        <v>20.260000000000002</v>
      </c>
      <c r="DA34" s="228">
        <v>0.37</v>
      </c>
      <c r="DB34" s="228">
        <v>0.37</v>
      </c>
      <c r="DC34" s="228">
        <v>23.41</v>
      </c>
      <c r="DD34" s="228">
        <v>23.43</v>
      </c>
      <c r="DE34" s="228">
        <v>-2.78</v>
      </c>
      <c r="DF34" s="228">
        <v>-0.02</v>
      </c>
      <c r="DG34" s="228">
        <v>20.21</v>
      </c>
      <c r="DH34" s="228">
        <v>19.82</v>
      </c>
      <c r="DI34" s="228">
        <v>0.39</v>
      </c>
      <c r="DJ34" s="228">
        <v>0.39</v>
      </c>
      <c r="DK34" s="228">
        <v>21.42</v>
      </c>
      <c r="DL34" s="228">
        <v>21.16</v>
      </c>
      <c r="DM34" s="228">
        <v>0.26</v>
      </c>
      <c r="DN34" s="228">
        <v>0.26</v>
      </c>
      <c r="DO34" s="228">
        <v>0.83</v>
      </c>
      <c r="DP34" s="228">
        <v>0.78</v>
      </c>
      <c r="DQ34" s="228">
        <v>0.05</v>
      </c>
      <c r="DR34" s="229">
        <v>6.4100000000000004E-2</v>
      </c>
      <c r="DS34" s="231">
        <v>1200</v>
      </c>
      <c r="DT34" s="231">
        <v>1180</v>
      </c>
      <c r="DU34" s="228">
        <v>0.53</v>
      </c>
      <c r="DV34" s="228">
        <v>0.49</v>
      </c>
      <c r="DW34" s="228">
        <v>0.04</v>
      </c>
      <c r="DX34" s="229">
        <v>8.1600000000000006E-2</v>
      </c>
      <c r="DY34" s="229">
        <v>2.07E-2</v>
      </c>
      <c r="DZ34" s="230">
        <v>344000</v>
      </c>
      <c r="EA34" s="229">
        <v>5.1999999999999998E-3</v>
      </c>
      <c r="EB34" s="229">
        <v>2.07E-2</v>
      </c>
      <c r="EC34" s="228">
        <v>4.92</v>
      </c>
      <c r="ED34" s="229">
        <v>4.1000000000000003E-3</v>
      </c>
      <c r="EE34" s="230">
        <v>663440</v>
      </c>
      <c r="EF34" s="230">
        <v>629206</v>
      </c>
      <c r="EG34" s="229">
        <v>5.4399999999999997E-2</v>
      </c>
      <c r="EH34" s="229">
        <v>0.56410000000000005</v>
      </c>
      <c r="EI34" s="231">
        <v>51856.9</v>
      </c>
      <c r="EJ34" s="231">
        <v>26750.48</v>
      </c>
      <c r="EK34" s="231">
        <v>25764.080000000002</v>
      </c>
      <c r="EL34" s="231">
        <v>2956</v>
      </c>
      <c r="EM34" s="231">
        <v>104371.46</v>
      </c>
      <c r="EN34" s="231">
        <v>61307.1</v>
      </c>
      <c r="EO34" s="231">
        <v>43064.36</v>
      </c>
      <c r="EP34" s="229">
        <v>0.70240000000000002</v>
      </c>
      <c r="EQ34" s="231">
        <v>39832</v>
      </c>
      <c r="ER34" s="231">
        <v>31410</v>
      </c>
      <c r="ES34" s="231">
        <v>224053</v>
      </c>
      <c r="ET34" s="231">
        <v>71801274</v>
      </c>
      <c r="EU34" s="231">
        <v>295294</v>
      </c>
      <c r="EV34" s="231">
        <v>278221</v>
      </c>
      <c r="EW34" s="231">
        <v>17073</v>
      </c>
      <c r="EX34" s="229">
        <v>6.1400000000000003E-2</v>
      </c>
      <c r="EY34" s="229">
        <v>0.34310000000000002</v>
      </c>
    </row>
    <row r="35" spans="1:155" ht="17.25" thickBot="1" x14ac:dyDescent="0.3">
      <c r="A35" s="226">
        <v>45940</v>
      </c>
      <c r="B35" s="227" t="s">
        <v>161</v>
      </c>
      <c r="C35" s="227" t="s">
        <v>268</v>
      </c>
      <c r="D35" s="228">
        <v>340.7</v>
      </c>
      <c r="E35" s="228">
        <v>336.6</v>
      </c>
      <c r="F35" s="228">
        <v>4.0999999999999996</v>
      </c>
      <c r="G35" s="229">
        <v>1.2200000000000001E-2</v>
      </c>
      <c r="H35" s="228">
        <v>339.7</v>
      </c>
      <c r="I35" s="228">
        <v>335.85</v>
      </c>
      <c r="J35" s="228">
        <v>3.85</v>
      </c>
      <c r="K35" s="229">
        <v>1.15E-2</v>
      </c>
      <c r="L35" s="228">
        <v>340.7</v>
      </c>
      <c r="M35" s="228">
        <v>336.6</v>
      </c>
      <c r="N35" s="228">
        <v>4.0999999999999996</v>
      </c>
      <c r="O35" s="229">
        <v>1.2200000000000001E-2</v>
      </c>
      <c r="P35" s="228">
        <v>340.3</v>
      </c>
      <c r="Q35" s="228">
        <v>336.15</v>
      </c>
      <c r="R35" s="228">
        <v>4.1500000000000004</v>
      </c>
      <c r="S35" s="229">
        <v>1.23E-2</v>
      </c>
      <c r="T35" s="228">
        <v>342.9</v>
      </c>
      <c r="U35" s="228">
        <v>338.45</v>
      </c>
      <c r="V35" s="228">
        <v>4.45</v>
      </c>
      <c r="W35" s="229">
        <v>1.3100000000000001E-2</v>
      </c>
      <c r="X35" s="228">
        <v>1</v>
      </c>
      <c r="Y35" s="228">
        <v>0.75</v>
      </c>
      <c r="Z35" s="228">
        <v>0.25</v>
      </c>
      <c r="AA35" s="229">
        <v>2.8999999999999998E-3</v>
      </c>
      <c r="AB35" s="228">
        <v>1</v>
      </c>
      <c r="AC35" s="228">
        <v>0.75</v>
      </c>
      <c r="AD35" s="228">
        <v>0.25</v>
      </c>
      <c r="AE35" s="229">
        <v>2.8999999999999998E-3</v>
      </c>
      <c r="AF35" s="228">
        <v>0.6</v>
      </c>
      <c r="AG35" s="228">
        <v>0.3</v>
      </c>
      <c r="AH35" s="228">
        <v>0.3</v>
      </c>
      <c r="AI35" s="229">
        <v>1.8E-3</v>
      </c>
      <c r="AJ35" s="228">
        <v>3.2</v>
      </c>
      <c r="AK35" s="228">
        <v>2.6</v>
      </c>
      <c r="AL35" s="228">
        <v>0.6</v>
      </c>
      <c r="AM35" s="229">
        <v>9.4000000000000004E-3</v>
      </c>
      <c r="AN35" s="228">
        <v>341.32</v>
      </c>
      <c r="AO35" s="228">
        <v>341.05</v>
      </c>
      <c r="AP35" s="228">
        <v>0</v>
      </c>
      <c r="AQ35" s="230">
        <v>8500</v>
      </c>
      <c r="AR35" s="230">
        <v>5450</v>
      </c>
      <c r="AS35" s="230">
        <v>3050</v>
      </c>
      <c r="AT35" s="229">
        <v>0.55959999999999999</v>
      </c>
      <c r="AU35" s="230">
        <v>7385</v>
      </c>
      <c r="AV35" s="230">
        <v>4940</v>
      </c>
      <c r="AW35" s="230">
        <v>2445</v>
      </c>
      <c r="AX35" s="229">
        <v>0.49490000000000001</v>
      </c>
      <c r="AY35" s="228">
        <v>947</v>
      </c>
      <c r="AZ35" s="228">
        <v>465</v>
      </c>
      <c r="BA35" s="228">
        <v>482</v>
      </c>
      <c r="BB35" s="229">
        <v>1.0366</v>
      </c>
      <c r="BC35" s="228">
        <v>168</v>
      </c>
      <c r="BD35" s="228">
        <v>45</v>
      </c>
      <c r="BE35" s="228">
        <v>123</v>
      </c>
      <c r="BF35" s="229">
        <v>2.7332999999999998</v>
      </c>
      <c r="BG35" s="230">
        <v>36907</v>
      </c>
      <c r="BH35" s="230">
        <v>24129</v>
      </c>
      <c r="BI35" s="230">
        <v>12778</v>
      </c>
      <c r="BJ35" s="229">
        <v>0.52959999999999996</v>
      </c>
      <c r="BK35" s="230">
        <v>18871</v>
      </c>
      <c r="BL35" s="230">
        <v>11027</v>
      </c>
      <c r="BM35" s="230">
        <v>7844</v>
      </c>
      <c r="BN35" s="229">
        <v>0.71130000000000004</v>
      </c>
      <c r="BO35" s="230">
        <v>64278</v>
      </c>
      <c r="BP35" s="230">
        <v>40606</v>
      </c>
      <c r="BQ35" s="230">
        <v>23672</v>
      </c>
      <c r="BR35" s="229">
        <v>0.58299999999999996</v>
      </c>
      <c r="BS35" s="230">
        <v>9439960</v>
      </c>
      <c r="BT35" s="230">
        <v>7158406</v>
      </c>
      <c r="BU35" s="230">
        <v>2281554</v>
      </c>
      <c r="BV35" s="229">
        <v>0.31869999999999998</v>
      </c>
      <c r="BW35" s="230">
        <v>99270000</v>
      </c>
      <c r="BX35" s="230">
        <v>99579000</v>
      </c>
      <c r="BY35" s="230">
        <v>-309000</v>
      </c>
      <c r="BZ35" s="229">
        <v>-3.0999999999999999E-3</v>
      </c>
      <c r="CA35" s="230">
        <v>94357500</v>
      </c>
      <c r="CB35" s="230">
        <v>94743000</v>
      </c>
      <c r="CC35" s="230">
        <v>-385500</v>
      </c>
      <c r="CD35" s="229">
        <v>-4.1000000000000003E-3</v>
      </c>
      <c r="CE35" s="230">
        <v>4504500</v>
      </c>
      <c r="CF35" s="230">
        <v>4554000</v>
      </c>
      <c r="CG35" s="230">
        <v>-49500</v>
      </c>
      <c r="CH35" s="229">
        <v>-1.09E-2</v>
      </c>
      <c r="CI35" s="230">
        <v>408000</v>
      </c>
      <c r="CJ35" s="230">
        <v>282000</v>
      </c>
      <c r="CK35" s="230">
        <v>126000</v>
      </c>
      <c r="CL35" s="229">
        <v>0.44679999999999997</v>
      </c>
      <c r="CM35" s="230">
        <v>37315500</v>
      </c>
      <c r="CN35" s="230">
        <v>35503500</v>
      </c>
      <c r="CO35" s="230">
        <v>1812000</v>
      </c>
      <c r="CP35" s="229">
        <v>5.0999999999999997E-2</v>
      </c>
      <c r="CQ35" s="230">
        <v>17278500</v>
      </c>
      <c r="CR35" s="230">
        <v>17590500</v>
      </c>
      <c r="CS35" s="230">
        <v>-312000</v>
      </c>
      <c r="CT35" s="229">
        <v>-1.77E-2</v>
      </c>
      <c r="CU35" s="230">
        <v>153864000</v>
      </c>
      <c r="CV35" s="230">
        <v>152673000</v>
      </c>
      <c r="CW35" s="230">
        <v>1191000</v>
      </c>
      <c r="CX35" s="229">
        <v>7.7999999999999996E-3</v>
      </c>
      <c r="CY35" s="228">
        <v>15.49</v>
      </c>
      <c r="CZ35" s="228">
        <v>16.899999999999999</v>
      </c>
      <c r="DA35" s="228">
        <v>-1.41</v>
      </c>
      <c r="DB35" s="228">
        <v>-1.41</v>
      </c>
      <c r="DC35" s="228">
        <v>28.89</v>
      </c>
      <c r="DD35" s="228">
        <v>28.92</v>
      </c>
      <c r="DE35" s="228">
        <v>-13.4</v>
      </c>
      <c r="DF35" s="228">
        <v>-0.03</v>
      </c>
      <c r="DG35" s="228">
        <v>15.31</v>
      </c>
      <c r="DH35" s="228">
        <v>16.739999999999998</v>
      </c>
      <c r="DI35" s="228">
        <v>-1.43</v>
      </c>
      <c r="DJ35" s="228">
        <v>-1.43</v>
      </c>
      <c r="DK35" s="228">
        <v>15.85</v>
      </c>
      <c r="DL35" s="228">
        <v>17.260000000000002</v>
      </c>
      <c r="DM35" s="228">
        <v>-1.41</v>
      </c>
      <c r="DN35" s="228">
        <v>-1.41</v>
      </c>
      <c r="DO35" s="228">
        <v>0.46</v>
      </c>
      <c r="DP35" s="228">
        <v>0.5</v>
      </c>
      <c r="DQ35" s="228">
        <v>-0.04</v>
      </c>
      <c r="DR35" s="229">
        <v>-0.08</v>
      </c>
      <c r="DS35" s="228">
        <v>345</v>
      </c>
      <c r="DT35" s="228">
        <v>380</v>
      </c>
      <c r="DU35" s="228">
        <v>0.51</v>
      </c>
      <c r="DV35" s="228">
        <v>0.46</v>
      </c>
      <c r="DW35" s="228">
        <v>0.05</v>
      </c>
      <c r="DX35" s="229">
        <v>0.1087</v>
      </c>
      <c r="DY35" s="229">
        <v>4.9500000000000002E-2</v>
      </c>
      <c r="DZ35" s="230">
        <v>4836000</v>
      </c>
      <c r="EA35" s="229">
        <v>-1.1999999999999999E-3</v>
      </c>
      <c r="EB35" s="229">
        <v>4.9500000000000002E-2</v>
      </c>
      <c r="EC35" s="228">
        <v>-0.27</v>
      </c>
      <c r="ED35" s="229">
        <v>-8.0000000000000004E-4</v>
      </c>
      <c r="EE35" s="230">
        <v>6313886</v>
      </c>
      <c r="EF35" s="230">
        <v>3984998</v>
      </c>
      <c r="EG35" s="229">
        <v>0.58440000000000003</v>
      </c>
      <c r="EH35" s="229">
        <v>0.66879999999999995</v>
      </c>
      <c r="EI35" s="231">
        <v>193451.58</v>
      </c>
      <c r="EJ35" s="231">
        <v>96160.2</v>
      </c>
      <c r="EK35" s="231">
        <v>43518.53</v>
      </c>
      <c r="EL35" s="231">
        <v>6170</v>
      </c>
      <c r="EM35" s="231">
        <v>333130.31</v>
      </c>
      <c r="EN35" s="231">
        <v>207785.95</v>
      </c>
      <c r="EO35" s="231">
        <v>125344.36</v>
      </c>
      <c r="EP35" s="229">
        <v>0.60319999999999996</v>
      </c>
      <c r="EQ35" s="231">
        <v>131111</v>
      </c>
      <c r="ER35" s="231">
        <v>58384</v>
      </c>
      <c r="ES35" s="231">
        <v>338204</v>
      </c>
      <c r="ET35" s="231">
        <v>572782298</v>
      </c>
      <c r="EU35" s="231">
        <v>527699</v>
      </c>
      <c r="EV35" s="231">
        <v>519132</v>
      </c>
      <c r="EW35" s="231">
        <v>8567</v>
      </c>
      <c r="EX35" s="229">
        <v>1.6500000000000001E-2</v>
      </c>
      <c r="EY35" s="229">
        <v>0.26860000000000001</v>
      </c>
    </row>
    <row r="36" spans="1:155" ht="17.25" thickBot="1" x14ac:dyDescent="0.3">
      <c r="A36" s="226">
        <v>45940</v>
      </c>
      <c r="B36" s="227" t="s">
        <v>193</v>
      </c>
      <c r="C36" s="227" t="s">
        <v>269</v>
      </c>
      <c r="D36" s="228">
        <v>246.82</v>
      </c>
      <c r="E36" s="228">
        <v>244.72</v>
      </c>
      <c r="F36" s="228">
        <v>2.1</v>
      </c>
      <c r="G36" s="229">
        <v>8.6E-3</v>
      </c>
      <c r="H36" s="228">
        <v>246.34</v>
      </c>
      <c r="I36" s="228">
        <v>243.39</v>
      </c>
      <c r="J36" s="228">
        <v>2.95</v>
      </c>
      <c r="K36" s="229">
        <v>1.21E-2</v>
      </c>
      <c r="L36" s="228">
        <v>246.82</v>
      </c>
      <c r="M36" s="228">
        <v>244.72</v>
      </c>
      <c r="N36" s="228">
        <v>2.1</v>
      </c>
      <c r="O36" s="229">
        <v>8.6E-3</v>
      </c>
      <c r="P36" s="228">
        <v>247.93</v>
      </c>
      <c r="Q36" s="228">
        <v>245.88</v>
      </c>
      <c r="R36" s="228">
        <v>2.0499999999999998</v>
      </c>
      <c r="S36" s="229">
        <v>8.3000000000000001E-3</v>
      </c>
      <c r="T36" s="228">
        <v>249.66</v>
      </c>
      <c r="U36" s="228">
        <v>246.99</v>
      </c>
      <c r="V36" s="228">
        <v>2.67</v>
      </c>
      <c r="W36" s="229">
        <v>1.0800000000000001E-2</v>
      </c>
      <c r="X36" s="228">
        <v>0.48</v>
      </c>
      <c r="Y36" s="228">
        <v>1.33</v>
      </c>
      <c r="Z36" s="228">
        <v>-0.85</v>
      </c>
      <c r="AA36" s="229">
        <v>1.9E-3</v>
      </c>
      <c r="AB36" s="228">
        <v>0.48</v>
      </c>
      <c r="AC36" s="228">
        <v>1.33</v>
      </c>
      <c r="AD36" s="228">
        <v>-0.85</v>
      </c>
      <c r="AE36" s="229">
        <v>1.9E-3</v>
      </c>
      <c r="AF36" s="228">
        <v>1.59</v>
      </c>
      <c r="AG36" s="228">
        <v>2.4900000000000002</v>
      </c>
      <c r="AH36" s="228">
        <v>-0.9</v>
      </c>
      <c r="AI36" s="229">
        <v>6.4999999999999997E-3</v>
      </c>
      <c r="AJ36" s="228">
        <v>3.32</v>
      </c>
      <c r="AK36" s="228">
        <v>3.6</v>
      </c>
      <c r="AL36" s="228">
        <v>-0.28000000000000003</v>
      </c>
      <c r="AM36" s="229">
        <v>1.35E-2</v>
      </c>
      <c r="AN36" s="228">
        <v>246.84</v>
      </c>
      <c r="AO36" s="228">
        <v>247.95</v>
      </c>
      <c r="AP36" s="228">
        <v>0</v>
      </c>
      <c r="AQ36" s="230">
        <v>4957</v>
      </c>
      <c r="AR36" s="230">
        <v>4838</v>
      </c>
      <c r="AS36" s="228">
        <v>119</v>
      </c>
      <c r="AT36" s="229">
        <v>2.46E-2</v>
      </c>
      <c r="AU36" s="230">
        <v>4475</v>
      </c>
      <c r="AV36" s="230">
        <v>4543</v>
      </c>
      <c r="AW36" s="228">
        <v>-68</v>
      </c>
      <c r="AX36" s="229">
        <v>-1.4999999999999999E-2</v>
      </c>
      <c r="AY36" s="228">
        <v>414</v>
      </c>
      <c r="AZ36" s="228">
        <v>274</v>
      </c>
      <c r="BA36" s="228">
        <v>140</v>
      </c>
      <c r="BB36" s="229">
        <v>0.51090000000000002</v>
      </c>
      <c r="BC36" s="228">
        <v>68</v>
      </c>
      <c r="BD36" s="228">
        <v>21</v>
      </c>
      <c r="BE36" s="228">
        <v>47</v>
      </c>
      <c r="BF36" s="229">
        <v>2.2381000000000002</v>
      </c>
      <c r="BG36" s="230">
        <v>21691</v>
      </c>
      <c r="BH36" s="230">
        <v>17888</v>
      </c>
      <c r="BI36" s="230">
        <v>3803</v>
      </c>
      <c r="BJ36" s="229">
        <v>0.21260000000000001</v>
      </c>
      <c r="BK36" s="230">
        <v>11191</v>
      </c>
      <c r="BL36" s="230">
        <v>8116</v>
      </c>
      <c r="BM36" s="230">
        <v>3075</v>
      </c>
      <c r="BN36" s="229">
        <v>0.37890000000000001</v>
      </c>
      <c r="BO36" s="230">
        <v>37839</v>
      </c>
      <c r="BP36" s="230">
        <v>30842</v>
      </c>
      <c r="BQ36" s="230">
        <v>6997</v>
      </c>
      <c r="BR36" s="229">
        <v>0.22689999999999999</v>
      </c>
      <c r="BS36" s="230">
        <v>9530812</v>
      </c>
      <c r="BT36" s="230">
        <v>9583712</v>
      </c>
      <c r="BU36" s="230">
        <v>-52900</v>
      </c>
      <c r="BV36" s="229">
        <v>-5.4999999999999997E-3</v>
      </c>
      <c r="BW36" s="230">
        <v>98878500</v>
      </c>
      <c r="BX36" s="230">
        <v>99544500</v>
      </c>
      <c r="BY36" s="230">
        <v>-666000</v>
      </c>
      <c r="BZ36" s="229">
        <v>-6.7000000000000002E-3</v>
      </c>
      <c r="CA36" s="230">
        <v>96718500</v>
      </c>
      <c r="CB36" s="230">
        <v>97528500</v>
      </c>
      <c r="CC36" s="230">
        <v>-810000</v>
      </c>
      <c r="CD36" s="229">
        <v>-8.3000000000000001E-3</v>
      </c>
      <c r="CE36" s="230">
        <v>1890000</v>
      </c>
      <c r="CF36" s="230">
        <v>1836000</v>
      </c>
      <c r="CG36" s="230">
        <v>54000</v>
      </c>
      <c r="CH36" s="229">
        <v>2.9399999999999999E-2</v>
      </c>
      <c r="CI36" s="230">
        <v>270000</v>
      </c>
      <c r="CJ36" s="230">
        <v>180000</v>
      </c>
      <c r="CK36" s="230">
        <v>90000</v>
      </c>
      <c r="CL36" s="229">
        <v>0.5</v>
      </c>
      <c r="CM36" s="230">
        <v>54200250</v>
      </c>
      <c r="CN36" s="230">
        <v>55278000</v>
      </c>
      <c r="CO36" s="230">
        <v>-1077750</v>
      </c>
      <c r="CP36" s="229">
        <v>-1.95E-2</v>
      </c>
      <c r="CQ36" s="230">
        <v>19073250</v>
      </c>
      <c r="CR36" s="230">
        <v>18429750</v>
      </c>
      <c r="CS36" s="230">
        <v>643500</v>
      </c>
      <c r="CT36" s="229">
        <v>3.49E-2</v>
      </c>
      <c r="CU36" s="230">
        <v>172152000</v>
      </c>
      <c r="CV36" s="230">
        <v>173252250</v>
      </c>
      <c r="CW36" s="230">
        <v>-1100250</v>
      </c>
      <c r="CX36" s="229">
        <v>-6.4000000000000003E-3</v>
      </c>
      <c r="CY36" s="228">
        <v>16.48</v>
      </c>
      <c r="CZ36" s="228">
        <v>17.649999999999999</v>
      </c>
      <c r="DA36" s="228">
        <v>-1.17</v>
      </c>
      <c r="DB36" s="228">
        <v>-1.17</v>
      </c>
      <c r="DC36" s="228">
        <v>32.5</v>
      </c>
      <c r="DD36" s="228">
        <v>32.54</v>
      </c>
      <c r="DE36" s="228">
        <v>-16.02</v>
      </c>
      <c r="DF36" s="228">
        <v>-0.04</v>
      </c>
      <c r="DG36" s="228">
        <v>16.05</v>
      </c>
      <c r="DH36" s="228">
        <v>17.55</v>
      </c>
      <c r="DI36" s="228">
        <v>-1.5</v>
      </c>
      <c r="DJ36" s="228">
        <v>-1.5</v>
      </c>
      <c r="DK36" s="228">
        <v>17.32</v>
      </c>
      <c r="DL36" s="228">
        <v>17.88</v>
      </c>
      <c r="DM36" s="228">
        <v>-0.56000000000000005</v>
      </c>
      <c r="DN36" s="228">
        <v>-0.56000000000000005</v>
      </c>
      <c r="DO36" s="228">
        <v>0.35</v>
      </c>
      <c r="DP36" s="228">
        <v>0.33</v>
      </c>
      <c r="DQ36" s="228">
        <v>0.02</v>
      </c>
      <c r="DR36" s="229">
        <v>6.0600000000000001E-2</v>
      </c>
      <c r="DS36" s="228">
        <v>250</v>
      </c>
      <c r="DT36" s="228">
        <v>240</v>
      </c>
      <c r="DU36" s="228">
        <v>0.52</v>
      </c>
      <c r="DV36" s="228">
        <v>0.45</v>
      </c>
      <c r="DW36" s="228">
        <v>7.0000000000000007E-2</v>
      </c>
      <c r="DX36" s="229">
        <v>0.15559999999999999</v>
      </c>
      <c r="DY36" s="229">
        <v>2.18E-2</v>
      </c>
      <c r="DZ36" s="230">
        <v>2016000</v>
      </c>
      <c r="EA36" s="229">
        <v>4.4999999999999997E-3</v>
      </c>
      <c r="EB36" s="229">
        <v>2.18E-2</v>
      </c>
      <c r="EC36" s="228">
        <v>1.1100000000000001</v>
      </c>
      <c r="ED36" s="229">
        <v>4.4999999999999997E-3</v>
      </c>
      <c r="EE36" s="230">
        <v>5812867</v>
      </c>
      <c r="EF36" s="230">
        <v>6200343</v>
      </c>
      <c r="EG36" s="229">
        <v>-6.25E-2</v>
      </c>
      <c r="EH36" s="229">
        <v>0.6099</v>
      </c>
      <c r="EI36" s="231">
        <v>123375.35</v>
      </c>
      <c r="EJ36" s="231">
        <v>61974.400000000001</v>
      </c>
      <c r="EK36" s="231">
        <v>27545.47</v>
      </c>
      <c r="EL36" s="231">
        <v>5820</v>
      </c>
      <c r="EM36" s="231">
        <v>212895.22</v>
      </c>
      <c r="EN36" s="231">
        <v>172904.77</v>
      </c>
      <c r="EO36" s="231">
        <v>39990.449999999997</v>
      </c>
      <c r="EP36" s="229">
        <v>0.23130000000000001</v>
      </c>
      <c r="EQ36" s="231">
        <v>136290</v>
      </c>
      <c r="ER36" s="231">
        <v>46037</v>
      </c>
      <c r="ES36" s="231">
        <v>244081</v>
      </c>
      <c r="ET36" s="231">
        <v>517141211</v>
      </c>
      <c r="EU36" s="231">
        <v>426408</v>
      </c>
      <c r="EV36" s="231">
        <v>426906</v>
      </c>
      <c r="EW36" s="228">
        <v>-498</v>
      </c>
      <c r="EX36" s="229">
        <v>-1.1999999999999999E-3</v>
      </c>
      <c r="EY36" s="229">
        <v>0.33289999999999997</v>
      </c>
    </row>
    <row r="37" spans="1:155" ht="17.25" thickBot="1" x14ac:dyDescent="0.3">
      <c r="A37" s="226">
        <v>45940</v>
      </c>
      <c r="B37" s="227" t="s">
        <v>161</v>
      </c>
      <c r="C37" s="227" t="s">
        <v>276</v>
      </c>
      <c r="D37" s="228">
        <v>289.60000000000002</v>
      </c>
      <c r="E37" s="228">
        <v>286.89999999999998</v>
      </c>
      <c r="F37" s="228">
        <v>2.7</v>
      </c>
      <c r="G37" s="229">
        <v>9.4000000000000004E-3</v>
      </c>
      <c r="H37" s="228">
        <v>289.14999999999998</v>
      </c>
      <c r="I37" s="228">
        <v>286.14999999999998</v>
      </c>
      <c r="J37" s="228">
        <v>3</v>
      </c>
      <c r="K37" s="229">
        <v>1.0500000000000001E-2</v>
      </c>
      <c r="L37" s="228">
        <v>289.60000000000002</v>
      </c>
      <c r="M37" s="228">
        <v>286.89999999999998</v>
      </c>
      <c r="N37" s="228">
        <v>2.7</v>
      </c>
      <c r="O37" s="229">
        <v>9.4000000000000004E-3</v>
      </c>
      <c r="P37" s="228">
        <v>287.85000000000002</v>
      </c>
      <c r="Q37" s="228">
        <v>285.05</v>
      </c>
      <c r="R37" s="228">
        <v>2.8</v>
      </c>
      <c r="S37" s="229">
        <v>9.7999999999999997E-3</v>
      </c>
      <c r="T37" s="228">
        <v>289.89999999999998</v>
      </c>
      <c r="U37" s="228">
        <v>286.5</v>
      </c>
      <c r="V37" s="228">
        <v>3.4</v>
      </c>
      <c r="W37" s="229">
        <v>1.1900000000000001E-2</v>
      </c>
      <c r="X37" s="228">
        <v>0.45</v>
      </c>
      <c r="Y37" s="228">
        <v>0.75</v>
      </c>
      <c r="Z37" s="228">
        <v>-0.3</v>
      </c>
      <c r="AA37" s="229">
        <v>1.6000000000000001E-3</v>
      </c>
      <c r="AB37" s="228">
        <v>0.45</v>
      </c>
      <c r="AC37" s="228">
        <v>0.75</v>
      </c>
      <c r="AD37" s="228">
        <v>-0.3</v>
      </c>
      <c r="AE37" s="229">
        <v>1.6000000000000001E-3</v>
      </c>
      <c r="AF37" s="228">
        <v>-1.3</v>
      </c>
      <c r="AG37" s="228">
        <v>-1.1000000000000001</v>
      </c>
      <c r="AH37" s="228">
        <v>-0.2</v>
      </c>
      <c r="AI37" s="229">
        <v>-4.4999999999999997E-3</v>
      </c>
      <c r="AJ37" s="228">
        <v>0.75</v>
      </c>
      <c r="AK37" s="228">
        <v>0.35</v>
      </c>
      <c r="AL37" s="228">
        <v>0.4</v>
      </c>
      <c r="AM37" s="229">
        <v>2.5999999999999999E-3</v>
      </c>
      <c r="AN37" s="228">
        <v>290.17</v>
      </c>
      <c r="AO37" s="228">
        <v>288.23</v>
      </c>
      <c r="AP37" s="228">
        <v>0</v>
      </c>
      <c r="AQ37" s="230">
        <v>5448</v>
      </c>
      <c r="AR37" s="230">
        <v>3973</v>
      </c>
      <c r="AS37" s="230">
        <v>1475</v>
      </c>
      <c r="AT37" s="229">
        <v>0.37130000000000002</v>
      </c>
      <c r="AU37" s="230">
        <v>4909</v>
      </c>
      <c r="AV37" s="230">
        <v>3552</v>
      </c>
      <c r="AW37" s="230">
        <v>1357</v>
      </c>
      <c r="AX37" s="229">
        <v>0.38200000000000001</v>
      </c>
      <c r="AY37" s="228">
        <v>427</v>
      </c>
      <c r="AZ37" s="228">
        <v>352</v>
      </c>
      <c r="BA37" s="228">
        <v>75</v>
      </c>
      <c r="BB37" s="229">
        <v>0.21310000000000001</v>
      </c>
      <c r="BC37" s="228">
        <v>112</v>
      </c>
      <c r="BD37" s="228">
        <v>69</v>
      </c>
      <c r="BE37" s="228">
        <v>43</v>
      </c>
      <c r="BF37" s="229">
        <v>0.62319999999999998</v>
      </c>
      <c r="BG37" s="230">
        <v>18244</v>
      </c>
      <c r="BH37" s="230">
        <v>10268</v>
      </c>
      <c r="BI37" s="230">
        <v>7976</v>
      </c>
      <c r="BJ37" s="229">
        <v>0.77680000000000005</v>
      </c>
      <c r="BK37" s="230">
        <v>7590</v>
      </c>
      <c r="BL37" s="230">
        <v>6021</v>
      </c>
      <c r="BM37" s="230">
        <v>1569</v>
      </c>
      <c r="BN37" s="229">
        <v>0.2606</v>
      </c>
      <c r="BO37" s="230">
        <v>31282</v>
      </c>
      <c r="BP37" s="230">
        <v>20262</v>
      </c>
      <c r="BQ37" s="230">
        <v>11020</v>
      </c>
      <c r="BR37" s="229">
        <v>0.54390000000000005</v>
      </c>
      <c r="BS37" s="230">
        <v>11024571</v>
      </c>
      <c r="BT37" s="230">
        <v>11091309</v>
      </c>
      <c r="BU37" s="230">
        <v>-66738</v>
      </c>
      <c r="BV37" s="229">
        <v>-6.0000000000000001E-3</v>
      </c>
      <c r="BW37" s="230">
        <v>73381800</v>
      </c>
      <c r="BX37" s="230">
        <v>73125300</v>
      </c>
      <c r="BY37" s="230">
        <v>256500</v>
      </c>
      <c r="BZ37" s="229">
        <v>3.5000000000000001E-3</v>
      </c>
      <c r="CA37" s="230">
        <v>70775000</v>
      </c>
      <c r="CB37" s="230">
        <v>70583100</v>
      </c>
      <c r="CC37" s="230">
        <v>191900</v>
      </c>
      <c r="CD37" s="229">
        <v>2.7000000000000001E-3</v>
      </c>
      <c r="CE37" s="230">
        <v>2394000</v>
      </c>
      <c r="CF37" s="230">
        <v>2414900</v>
      </c>
      <c r="CG37" s="230">
        <v>-20900</v>
      </c>
      <c r="CH37" s="229">
        <v>-8.6999999999999994E-3</v>
      </c>
      <c r="CI37" s="230">
        <v>212800</v>
      </c>
      <c r="CJ37" s="230">
        <v>127300</v>
      </c>
      <c r="CK37" s="230">
        <v>85500</v>
      </c>
      <c r="CL37" s="229">
        <v>0.67159999999999997</v>
      </c>
      <c r="CM37" s="230">
        <v>31044100</v>
      </c>
      <c r="CN37" s="230">
        <v>31201800</v>
      </c>
      <c r="CO37" s="230">
        <v>-157700</v>
      </c>
      <c r="CP37" s="229">
        <v>-5.1000000000000004E-3</v>
      </c>
      <c r="CQ37" s="230">
        <v>15808000</v>
      </c>
      <c r="CR37" s="230">
        <v>15927700</v>
      </c>
      <c r="CS37" s="230">
        <v>-119700</v>
      </c>
      <c r="CT37" s="229">
        <v>-7.4999999999999997E-3</v>
      </c>
      <c r="CU37" s="230">
        <v>120233900</v>
      </c>
      <c r="CV37" s="230">
        <v>120254800</v>
      </c>
      <c r="CW37" s="230">
        <v>-20900</v>
      </c>
      <c r="CX37" s="229">
        <v>-2.0000000000000001E-4</v>
      </c>
      <c r="CY37" s="228">
        <v>17.600000000000001</v>
      </c>
      <c r="CZ37" s="228">
        <v>19.5</v>
      </c>
      <c r="DA37" s="228">
        <v>-1.9</v>
      </c>
      <c r="DB37" s="228">
        <v>-1.9</v>
      </c>
      <c r="DC37" s="228">
        <v>29.6</v>
      </c>
      <c r="DD37" s="228">
        <v>29.64</v>
      </c>
      <c r="DE37" s="228">
        <v>-12</v>
      </c>
      <c r="DF37" s="228">
        <v>-0.04</v>
      </c>
      <c r="DG37" s="228">
        <v>17.61</v>
      </c>
      <c r="DH37" s="228">
        <v>19.809999999999999</v>
      </c>
      <c r="DI37" s="228">
        <v>-2.2000000000000002</v>
      </c>
      <c r="DJ37" s="228">
        <v>-2.2000000000000002</v>
      </c>
      <c r="DK37" s="228">
        <v>17.57</v>
      </c>
      <c r="DL37" s="228">
        <v>18.98</v>
      </c>
      <c r="DM37" s="228">
        <v>-1.41</v>
      </c>
      <c r="DN37" s="228">
        <v>-1.41</v>
      </c>
      <c r="DO37" s="228">
        <v>0.51</v>
      </c>
      <c r="DP37" s="228">
        <v>0.51</v>
      </c>
      <c r="DQ37" s="228">
        <v>0</v>
      </c>
      <c r="DR37" s="229">
        <v>0</v>
      </c>
      <c r="DS37" s="228">
        <v>300</v>
      </c>
      <c r="DT37" s="228">
        <v>290</v>
      </c>
      <c r="DU37" s="228">
        <v>0.42</v>
      </c>
      <c r="DV37" s="228">
        <v>0.59</v>
      </c>
      <c r="DW37" s="228">
        <v>-0.17</v>
      </c>
      <c r="DX37" s="229">
        <v>-0.28810000000000002</v>
      </c>
      <c r="DY37" s="229">
        <v>3.5499999999999997E-2</v>
      </c>
      <c r="DZ37" s="230">
        <v>2542200</v>
      </c>
      <c r="EA37" s="229">
        <v>-6.0000000000000001E-3</v>
      </c>
      <c r="EB37" s="229">
        <v>3.5499999999999997E-2</v>
      </c>
      <c r="EC37" s="228">
        <v>-1.94</v>
      </c>
      <c r="ED37" s="229">
        <v>-6.7000000000000002E-3</v>
      </c>
      <c r="EE37" s="230">
        <v>7283704</v>
      </c>
      <c r="EF37" s="230">
        <v>7136728</v>
      </c>
      <c r="EG37" s="229">
        <v>2.06E-2</v>
      </c>
      <c r="EH37" s="229">
        <v>0.66069999999999995</v>
      </c>
      <c r="EI37" s="231">
        <v>103156.78</v>
      </c>
      <c r="EJ37" s="231">
        <v>41839.46</v>
      </c>
      <c r="EK37" s="231">
        <v>30020.59</v>
      </c>
      <c r="EL37" s="231">
        <v>4838</v>
      </c>
      <c r="EM37" s="231">
        <v>175016.83</v>
      </c>
      <c r="EN37" s="231">
        <v>111956.64</v>
      </c>
      <c r="EO37" s="231">
        <v>63060.19</v>
      </c>
      <c r="EP37" s="229">
        <v>0.56330000000000002</v>
      </c>
      <c r="EQ37" s="231">
        <v>92896</v>
      </c>
      <c r="ER37" s="231">
        <v>45051</v>
      </c>
      <c r="ES37" s="231">
        <v>212472</v>
      </c>
      <c r="ET37" s="231">
        <v>488832949</v>
      </c>
      <c r="EU37" s="231">
        <v>350419</v>
      </c>
      <c r="EV37" s="231">
        <v>348315</v>
      </c>
      <c r="EW37" s="231">
        <v>2104</v>
      </c>
      <c r="EX37" s="229">
        <v>6.0000000000000001E-3</v>
      </c>
      <c r="EY37" s="229">
        <v>0.246</v>
      </c>
    </row>
    <row r="38" spans="1:155" ht="17.25" thickBot="1" x14ac:dyDescent="0.3">
      <c r="A38" s="226">
        <v>45940</v>
      </c>
      <c r="B38" s="227" t="s">
        <v>193</v>
      </c>
      <c r="C38" s="227" t="s">
        <v>281</v>
      </c>
      <c r="D38" s="231">
        <v>1387.8</v>
      </c>
      <c r="E38" s="231">
        <v>1381.9</v>
      </c>
      <c r="F38" s="228">
        <v>5.9</v>
      </c>
      <c r="G38" s="229">
        <v>4.3E-3</v>
      </c>
      <c r="H38" s="231">
        <v>1381.7</v>
      </c>
      <c r="I38" s="231">
        <v>1377.8</v>
      </c>
      <c r="J38" s="228">
        <v>3.9</v>
      </c>
      <c r="K38" s="229">
        <v>2.8E-3</v>
      </c>
      <c r="L38" s="231">
        <v>1387.8</v>
      </c>
      <c r="M38" s="231">
        <v>1381.9</v>
      </c>
      <c r="N38" s="228">
        <v>5.9</v>
      </c>
      <c r="O38" s="229">
        <v>4.3E-3</v>
      </c>
      <c r="P38" s="231">
        <v>1395.6</v>
      </c>
      <c r="Q38" s="231">
        <v>1389.3</v>
      </c>
      <c r="R38" s="228">
        <v>6.3</v>
      </c>
      <c r="S38" s="229">
        <v>4.4999999999999997E-3</v>
      </c>
      <c r="T38" s="231">
        <v>1403.7</v>
      </c>
      <c r="U38" s="231">
        <v>1398.1</v>
      </c>
      <c r="V38" s="228">
        <v>5.6</v>
      </c>
      <c r="W38" s="229">
        <v>4.0000000000000001E-3</v>
      </c>
      <c r="X38" s="228">
        <v>6.1</v>
      </c>
      <c r="Y38" s="228">
        <v>4.0999999999999996</v>
      </c>
      <c r="Z38" s="228">
        <v>2</v>
      </c>
      <c r="AA38" s="229">
        <v>4.4000000000000003E-3</v>
      </c>
      <c r="AB38" s="228">
        <v>6.1</v>
      </c>
      <c r="AC38" s="228">
        <v>4.0999999999999996</v>
      </c>
      <c r="AD38" s="228">
        <v>2</v>
      </c>
      <c r="AE38" s="229">
        <v>4.4000000000000003E-3</v>
      </c>
      <c r="AF38" s="228">
        <v>13.9</v>
      </c>
      <c r="AG38" s="228">
        <v>11.5</v>
      </c>
      <c r="AH38" s="228">
        <v>2.4</v>
      </c>
      <c r="AI38" s="229">
        <v>1.01E-2</v>
      </c>
      <c r="AJ38" s="228">
        <v>22</v>
      </c>
      <c r="AK38" s="228">
        <v>20.3</v>
      </c>
      <c r="AL38" s="228">
        <v>1.7</v>
      </c>
      <c r="AM38" s="229">
        <v>1.5900000000000001E-2</v>
      </c>
      <c r="AN38" s="231">
        <v>1388.88</v>
      </c>
      <c r="AO38" s="231">
        <v>1396.27</v>
      </c>
      <c r="AP38" s="228">
        <v>0</v>
      </c>
      <c r="AQ38" s="230">
        <v>21904</v>
      </c>
      <c r="AR38" s="230">
        <v>22563</v>
      </c>
      <c r="AS38" s="228">
        <v>-659</v>
      </c>
      <c r="AT38" s="229">
        <v>-2.92E-2</v>
      </c>
      <c r="AU38" s="230">
        <v>17776</v>
      </c>
      <c r="AV38" s="230">
        <v>19974</v>
      </c>
      <c r="AW38" s="230">
        <v>-2198</v>
      </c>
      <c r="AX38" s="229">
        <v>-0.11</v>
      </c>
      <c r="AY38" s="230">
        <v>3443</v>
      </c>
      <c r="AZ38" s="230">
        <v>2386</v>
      </c>
      <c r="BA38" s="230">
        <v>1057</v>
      </c>
      <c r="BB38" s="229">
        <v>0.443</v>
      </c>
      <c r="BC38" s="228">
        <v>685</v>
      </c>
      <c r="BD38" s="228">
        <v>203</v>
      </c>
      <c r="BE38" s="228">
        <v>482</v>
      </c>
      <c r="BF38" s="229">
        <v>2.3744000000000001</v>
      </c>
      <c r="BG38" s="230">
        <v>70499</v>
      </c>
      <c r="BH38" s="230">
        <v>82023</v>
      </c>
      <c r="BI38" s="230">
        <v>-11524</v>
      </c>
      <c r="BJ38" s="229">
        <v>-0.14050000000000001</v>
      </c>
      <c r="BK38" s="230">
        <v>37285</v>
      </c>
      <c r="BL38" s="230">
        <v>46329</v>
      </c>
      <c r="BM38" s="230">
        <v>-9044</v>
      </c>
      <c r="BN38" s="229">
        <v>-0.19520000000000001</v>
      </c>
      <c r="BO38" s="230">
        <v>129688</v>
      </c>
      <c r="BP38" s="230">
        <v>150915</v>
      </c>
      <c r="BQ38" s="230">
        <v>-21227</v>
      </c>
      <c r="BR38" s="229">
        <v>-0.14069999999999999</v>
      </c>
      <c r="BS38" s="230">
        <v>6871600</v>
      </c>
      <c r="BT38" s="230">
        <v>9797453</v>
      </c>
      <c r="BU38" s="230">
        <v>-2925853</v>
      </c>
      <c r="BV38" s="229">
        <v>-0.29859999999999998</v>
      </c>
      <c r="BW38" s="230">
        <v>136848000</v>
      </c>
      <c r="BX38" s="230">
        <v>136393000</v>
      </c>
      <c r="BY38" s="230">
        <v>455000</v>
      </c>
      <c r="BZ38" s="229">
        <v>3.3E-3</v>
      </c>
      <c r="CA38" s="230">
        <v>127481000</v>
      </c>
      <c r="CB38" s="230">
        <v>128296500</v>
      </c>
      <c r="CC38" s="230">
        <v>-815500</v>
      </c>
      <c r="CD38" s="229">
        <v>-6.4000000000000003E-3</v>
      </c>
      <c r="CE38" s="230">
        <v>7663500</v>
      </c>
      <c r="CF38" s="230">
        <v>6599500</v>
      </c>
      <c r="CG38" s="230">
        <v>1064000</v>
      </c>
      <c r="CH38" s="229">
        <v>0.16120000000000001</v>
      </c>
      <c r="CI38" s="230">
        <v>1703500</v>
      </c>
      <c r="CJ38" s="230">
        <v>1497000</v>
      </c>
      <c r="CK38" s="230">
        <v>206500</v>
      </c>
      <c r="CL38" s="229">
        <v>0.13789999999999999</v>
      </c>
      <c r="CM38" s="230">
        <v>50490000</v>
      </c>
      <c r="CN38" s="230">
        <v>50442000</v>
      </c>
      <c r="CO38" s="230">
        <v>48000</v>
      </c>
      <c r="CP38" s="229">
        <v>1E-3</v>
      </c>
      <c r="CQ38" s="230">
        <v>36843500</v>
      </c>
      <c r="CR38" s="230">
        <v>36622000</v>
      </c>
      <c r="CS38" s="230">
        <v>221500</v>
      </c>
      <c r="CT38" s="229">
        <v>6.0000000000000001E-3</v>
      </c>
      <c r="CU38" s="230">
        <v>224181500</v>
      </c>
      <c r="CV38" s="230">
        <v>223457000</v>
      </c>
      <c r="CW38" s="230">
        <v>724500</v>
      </c>
      <c r="CX38" s="229">
        <v>3.2000000000000002E-3</v>
      </c>
      <c r="CY38" s="228">
        <v>18.920000000000002</v>
      </c>
      <c r="CZ38" s="228">
        <v>18.8</v>
      </c>
      <c r="DA38" s="228">
        <v>0.12</v>
      </c>
      <c r="DB38" s="228">
        <v>0.12</v>
      </c>
      <c r="DC38" s="228">
        <v>24.39</v>
      </c>
      <c r="DD38" s="228">
        <v>24.45</v>
      </c>
      <c r="DE38" s="228">
        <v>-5.47</v>
      </c>
      <c r="DF38" s="228">
        <v>-0.06</v>
      </c>
      <c r="DG38" s="228">
        <v>18.829999999999998</v>
      </c>
      <c r="DH38" s="228">
        <v>18.79</v>
      </c>
      <c r="DI38" s="228">
        <v>0.04</v>
      </c>
      <c r="DJ38" s="228">
        <v>0.04</v>
      </c>
      <c r="DK38" s="228">
        <v>19.079999999999998</v>
      </c>
      <c r="DL38" s="228">
        <v>18.82</v>
      </c>
      <c r="DM38" s="228">
        <v>0.26</v>
      </c>
      <c r="DN38" s="228">
        <v>0.26</v>
      </c>
      <c r="DO38" s="228">
        <v>0.73</v>
      </c>
      <c r="DP38" s="228">
        <v>0.73</v>
      </c>
      <c r="DQ38" s="228">
        <v>0</v>
      </c>
      <c r="DR38" s="229">
        <v>0</v>
      </c>
      <c r="DS38" s="231">
        <v>1400</v>
      </c>
      <c r="DT38" s="231">
        <v>1400</v>
      </c>
      <c r="DU38" s="228">
        <v>0.53</v>
      </c>
      <c r="DV38" s="228">
        <v>0.56000000000000005</v>
      </c>
      <c r="DW38" s="228">
        <v>-0.03</v>
      </c>
      <c r="DX38" s="229">
        <v>-5.3600000000000002E-2</v>
      </c>
      <c r="DY38" s="229">
        <v>6.8400000000000002E-2</v>
      </c>
      <c r="DZ38" s="230">
        <v>8096500</v>
      </c>
      <c r="EA38" s="229">
        <v>5.5999999999999999E-3</v>
      </c>
      <c r="EB38" s="229">
        <v>6.8400000000000002E-2</v>
      </c>
      <c r="EC38" s="228">
        <v>7.39</v>
      </c>
      <c r="ED38" s="229">
        <v>5.3E-3</v>
      </c>
      <c r="EE38" s="230">
        <v>3649468</v>
      </c>
      <c r="EF38" s="230">
        <v>4303602</v>
      </c>
      <c r="EG38" s="229">
        <v>-0.152</v>
      </c>
      <c r="EH38" s="229">
        <v>0.53110000000000002</v>
      </c>
      <c r="EI38" s="231">
        <v>504228.79</v>
      </c>
      <c r="EJ38" s="231">
        <v>255588.66</v>
      </c>
      <c r="EK38" s="231">
        <v>152292.41</v>
      </c>
      <c r="EL38" s="231">
        <v>27913</v>
      </c>
      <c r="EM38" s="231">
        <v>912109.86</v>
      </c>
      <c r="EN38" s="231">
        <v>1055579.1499999999</v>
      </c>
      <c r="EO38" s="231">
        <v>-143469.29</v>
      </c>
      <c r="EP38" s="229">
        <v>-0.13589999999999999</v>
      </c>
      <c r="EQ38" s="231">
        <v>719516</v>
      </c>
      <c r="ER38" s="231">
        <v>506522</v>
      </c>
      <c r="ES38" s="231">
        <v>1900045</v>
      </c>
      <c r="ET38" s="231">
        <v>662701060</v>
      </c>
      <c r="EU38" s="231">
        <v>3126084</v>
      </c>
      <c r="EV38" s="231">
        <v>3106943</v>
      </c>
      <c r="EW38" s="231">
        <v>19141</v>
      </c>
      <c r="EX38" s="229">
        <v>6.1999999999999998E-3</v>
      </c>
      <c r="EY38" s="229">
        <v>0.33829999999999999</v>
      </c>
    </row>
    <row r="39" spans="1:155" ht="17.25" thickBot="1" x14ac:dyDescent="0.3">
      <c r="A39" s="226">
        <v>45940</v>
      </c>
      <c r="B39" s="227" t="s">
        <v>175</v>
      </c>
      <c r="C39" s="227" t="s">
        <v>462</v>
      </c>
      <c r="D39" s="231">
        <v>1820.4</v>
      </c>
      <c r="E39" s="231">
        <v>1817.1</v>
      </c>
      <c r="F39" s="228">
        <v>3.3</v>
      </c>
      <c r="G39" s="229">
        <v>1.8E-3</v>
      </c>
      <c r="H39" s="231">
        <v>1810.4</v>
      </c>
      <c r="I39" s="231">
        <v>1809.8</v>
      </c>
      <c r="J39" s="228">
        <v>0.6</v>
      </c>
      <c r="K39" s="229">
        <v>2.9999999999999997E-4</v>
      </c>
      <c r="L39" s="231">
        <v>1820.4</v>
      </c>
      <c r="M39" s="231">
        <v>1817.1</v>
      </c>
      <c r="N39" s="228">
        <v>3.3</v>
      </c>
      <c r="O39" s="229">
        <v>1.8E-3</v>
      </c>
      <c r="P39" s="231">
        <v>1831.1</v>
      </c>
      <c r="Q39" s="231">
        <v>1826.2</v>
      </c>
      <c r="R39" s="228">
        <v>4.9000000000000004</v>
      </c>
      <c r="S39" s="229">
        <v>2.7000000000000001E-3</v>
      </c>
      <c r="T39" s="231">
        <v>1841.7</v>
      </c>
      <c r="U39" s="231">
        <v>1831.2</v>
      </c>
      <c r="V39" s="228">
        <v>10.5</v>
      </c>
      <c r="W39" s="229">
        <v>5.7000000000000002E-3</v>
      </c>
      <c r="X39" s="228">
        <v>10</v>
      </c>
      <c r="Y39" s="228">
        <v>7.3</v>
      </c>
      <c r="Z39" s="228">
        <v>2.7</v>
      </c>
      <c r="AA39" s="229">
        <v>5.4999999999999997E-3</v>
      </c>
      <c r="AB39" s="228">
        <v>10</v>
      </c>
      <c r="AC39" s="228">
        <v>7.3</v>
      </c>
      <c r="AD39" s="228">
        <v>2.7</v>
      </c>
      <c r="AE39" s="229">
        <v>5.4999999999999997E-3</v>
      </c>
      <c r="AF39" s="228">
        <v>20.7</v>
      </c>
      <c r="AG39" s="228">
        <v>16.399999999999999</v>
      </c>
      <c r="AH39" s="228">
        <v>4.3</v>
      </c>
      <c r="AI39" s="229">
        <v>1.14E-2</v>
      </c>
      <c r="AJ39" s="228">
        <v>31.3</v>
      </c>
      <c r="AK39" s="228">
        <v>21.4</v>
      </c>
      <c r="AL39" s="228">
        <v>9.9</v>
      </c>
      <c r="AM39" s="229">
        <v>1.7299999999999999E-2</v>
      </c>
      <c r="AN39" s="231">
        <v>1835.04</v>
      </c>
      <c r="AO39" s="231">
        <v>1844.14</v>
      </c>
      <c r="AP39" s="228">
        <v>0</v>
      </c>
      <c r="AQ39" s="230">
        <v>5053</v>
      </c>
      <c r="AR39" s="230">
        <v>3082</v>
      </c>
      <c r="AS39" s="230">
        <v>1971</v>
      </c>
      <c r="AT39" s="229">
        <v>0.63949999999999996</v>
      </c>
      <c r="AU39" s="230">
        <v>4738</v>
      </c>
      <c r="AV39" s="230">
        <v>2890</v>
      </c>
      <c r="AW39" s="230">
        <v>1848</v>
      </c>
      <c r="AX39" s="229">
        <v>0.63939999999999997</v>
      </c>
      <c r="AY39" s="228">
        <v>260</v>
      </c>
      <c r="AZ39" s="228">
        <v>168</v>
      </c>
      <c r="BA39" s="228">
        <v>92</v>
      </c>
      <c r="BB39" s="229">
        <v>0.54759999999999998</v>
      </c>
      <c r="BC39" s="228">
        <v>55</v>
      </c>
      <c r="BD39" s="228">
        <v>24</v>
      </c>
      <c r="BE39" s="228">
        <v>31</v>
      </c>
      <c r="BF39" s="229">
        <v>1.2917000000000001</v>
      </c>
      <c r="BG39" s="230">
        <v>19177</v>
      </c>
      <c r="BH39" s="230">
        <v>9713</v>
      </c>
      <c r="BI39" s="230">
        <v>9464</v>
      </c>
      <c r="BJ39" s="229">
        <v>0.97440000000000004</v>
      </c>
      <c r="BK39" s="230">
        <v>6663</v>
      </c>
      <c r="BL39" s="230">
        <v>4030</v>
      </c>
      <c r="BM39" s="230">
        <v>2633</v>
      </c>
      <c r="BN39" s="229">
        <v>0.65329999999999999</v>
      </c>
      <c r="BO39" s="230">
        <v>30893</v>
      </c>
      <c r="BP39" s="230">
        <v>16825</v>
      </c>
      <c r="BQ39" s="230">
        <v>14068</v>
      </c>
      <c r="BR39" s="229">
        <v>0.83609999999999995</v>
      </c>
      <c r="BS39" s="230">
        <v>1114843</v>
      </c>
      <c r="BT39" s="230">
        <v>862022</v>
      </c>
      <c r="BU39" s="230">
        <v>252821</v>
      </c>
      <c r="BV39" s="229">
        <v>0.29330000000000001</v>
      </c>
      <c r="BW39" s="230">
        <v>6808875</v>
      </c>
      <c r="BX39" s="230">
        <v>6512250</v>
      </c>
      <c r="BY39" s="230">
        <v>296625</v>
      </c>
      <c r="BZ39" s="229">
        <v>4.5499999999999999E-2</v>
      </c>
      <c r="CA39" s="230">
        <v>6663375</v>
      </c>
      <c r="CB39" s="230">
        <v>6403875</v>
      </c>
      <c r="CC39" s="230">
        <v>259500</v>
      </c>
      <c r="CD39" s="229">
        <v>4.0500000000000001E-2</v>
      </c>
      <c r="CE39" s="230">
        <v>112125</v>
      </c>
      <c r="CF39" s="230">
        <v>85500</v>
      </c>
      <c r="CG39" s="230">
        <v>26625</v>
      </c>
      <c r="CH39" s="229">
        <v>0.31140000000000001</v>
      </c>
      <c r="CI39" s="230">
        <v>33375</v>
      </c>
      <c r="CJ39" s="230">
        <v>22875</v>
      </c>
      <c r="CK39" s="230">
        <v>10500</v>
      </c>
      <c r="CL39" s="229">
        <v>0.45900000000000002</v>
      </c>
      <c r="CM39" s="230">
        <v>2504625</v>
      </c>
      <c r="CN39" s="230">
        <v>1813125</v>
      </c>
      <c r="CO39" s="230">
        <v>691500</v>
      </c>
      <c r="CP39" s="229">
        <v>0.38140000000000002</v>
      </c>
      <c r="CQ39" s="230">
        <v>1221000</v>
      </c>
      <c r="CR39" s="230">
        <v>1041375</v>
      </c>
      <c r="CS39" s="230">
        <v>179625</v>
      </c>
      <c r="CT39" s="229">
        <v>0.17249999999999999</v>
      </c>
      <c r="CU39" s="230">
        <v>10534500</v>
      </c>
      <c r="CV39" s="230">
        <v>9366750</v>
      </c>
      <c r="CW39" s="230">
        <v>1167750</v>
      </c>
      <c r="CX39" s="229">
        <v>0.12470000000000001</v>
      </c>
      <c r="CY39" s="228">
        <v>19.53</v>
      </c>
      <c r="CZ39" s="228">
        <v>20.78</v>
      </c>
      <c r="DA39" s="228">
        <v>-1.25</v>
      </c>
      <c r="DB39" s="228">
        <v>-1.25</v>
      </c>
      <c r="DC39" s="228">
        <v>25.85</v>
      </c>
      <c r="DD39" s="228">
        <v>25.91</v>
      </c>
      <c r="DE39" s="228">
        <v>-6.32</v>
      </c>
      <c r="DF39" s="228">
        <v>-0.06</v>
      </c>
      <c r="DG39" s="228">
        <v>19.329999999999998</v>
      </c>
      <c r="DH39" s="228">
        <v>20.46</v>
      </c>
      <c r="DI39" s="228">
        <v>-1.1299999999999999</v>
      </c>
      <c r="DJ39" s="228">
        <v>-1.1299999999999999</v>
      </c>
      <c r="DK39" s="228">
        <v>20.12</v>
      </c>
      <c r="DL39" s="228">
        <v>21.53</v>
      </c>
      <c r="DM39" s="228">
        <v>-1.41</v>
      </c>
      <c r="DN39" s="228">
        <v>-1.41</v>
      </c>
      <c r="DO39" s="228">
        <v>0.49</v>
      </c>
      <c r="DP39" s="228">
        <v>0.56999999999999995</v>
      </c>
      <c r="DQ39" s="228">
        <v>-0.08</v>
      </c>
      <c r="DR39" s="229">
        <v>-0.1404</v>
      </c>
      <c r="DS39" s="231">
        <v>1800</v>
      </c>
      <c r="DT39" s="231">
        <v>1800</v>
      </c>
      <c r="DU39" s="228">
        <v>0.35</v>
      </c>
      <c r="DV39" s="228">
        <v>0.41</v>
      </c>
      <c r="DW39" s="228">
        <v>-0.06</v>
      </c>
      <c r="DX39" s="229">
        <v>-0.14630000000000001</v>
      </c>
      <c r="DY39" s="229">
        <v>2.1399999999999999E-2</v>
      </c>
      <c r="DZ39" s="230">
        <v>108375</v>
      </c>
      <c r="EA39" s="229">
        <v>5.8999999999999999E-3</v>
      </c>
      <c r="EB39" s="229">
        <v>2.1399999999999999E-2</v>
      </c>
      <c r="EC39" s="228">
        <v>9.1</v>
      </c>
      <c r="ED39" s="229">
        <v>5.0000000000000001E-3</v>
      </c>
      <c r="EE39" s="230">
        <v>608403</v>
      </c>
      <c r="EF39" s="230">
        <v>566550</v>
      </c>
      <c r="EG39" s="229">
        <v>7.3899999999999993E-2</v>
      </c>
      <c r="EH39" s="229">
        <v>0.54569999999999996</v>
      </c>
      <c r="EI39" s="231">
        <v>135942.10999999999</v>
      </c>
      <c r="EJ39" s="231">
        <v>45166.37</v>
      </c>
      <c r="EK39" s="231">
        <v>34785.32</v>
      </c>
      <c r="EL39" s="231">
        <v>3602</v>
      </c>
      <c r="EM39" s="231">
        <v>215893.8</v>
      </c>
      <c r="EN39" s="231">
        <v>115633.53</v>
      </c>
      <c r="EO39" s="231">
        <v>100260.27</v>
      </c>
      <c r="EP39" s="229">
        <v>0.86709999999999998</v>
      </c>
      <c r="EQ39" s="231">
        <v>46809</v>
      </c>
      <c r="ER39" s="231">
        <v>21490</v>
      </c>
      <c r="ES39" s="231">
        <v>123968</v>
      </c>
      <c r="ET39" s="231">
        <v>44735132</v>
      </c>
      <c r="EU39" s="231">
        <v>192267</v>
      </c>
      <c r="EV39" s="231">
        <v>170337</v>
      </c>
      <c r="EW39" s="231">
        <v>21930</v>
      </c>
      <c r="EX39" s="229">
        <v>0.12870000000000001</v>
      </c>
      <c r="EY39" s="229">
        <v>0.23549999999999999</v>
      </c>
    </row>
    <row r="40" spans="1:155" ht="17.25" thickBot="1" x14ac:dyDescent="0.3">
      <c r="A40" s="226">
        <v>45940</v>
      </c>
      <c r="B40" s="227" t="s">
        <v>172</v>
      </c>
      <c r="C40" s="227" t="s">
        <v>283</v>
      </c>
      <c r="D40" s="228">
        <v>883.35</v>
      </c>
      <c r="E40" s="228">
        <v>866.85</v>
      </c>
      <c r="F40" s="228">
        <v>16.5</v>
      </c>
      <c r="G40" s="229">
        <v>1.9E-2</v>
      </c>
      <c r="H40" s="228">
        <v>880.65</v>
      </c>
      <c r="I40" s="228">
        <v>862.1</v>
      </c>
      <c r="J40" s="228">
        <v>18.55</v>
      </c>
      <c r="K40" s="229">
        <v>2.1499999999999998E-2</v>
      </c>
      <c r="L40" s="228">
        <v>883.35</v>
      </c>
      <c r="M40" s="228">
        <v>866.85</v>
      </c>
      <c r="N40" s="228">
        <v>16.5</v>
      </c>
      <c r="O40" s="229">
        <v>1.9E-2</v>
      </c>
      <c r="P40" s="228">
        <v>888.1</v>
      </c>
      <c r="Q40" s="228">
        <v>871.15</v>
      </c>
      <c r="R40" s="228">
        <v>16.95</v>
      </c>
      <c r="S40" s="229">
        <v>1.95E-2</v>
      </c>
      <c r="T40" s="228">
        <v>893.45</v>
      </c>
      <c r="U40" s="228">
        <v>876.55</v>
      </c>
      <c r="V40" s="228">
        <v>16.899999999999999</v>
      </c>
      <c r="W40" s="229">
        <v>1.9300000000000001E-2</v>
      </c>
      <c r="X40" s="228">
        <v>2.7</v>
      </c>
      <c r="Y40" s="228">
        <v>4.75</v>
      </c>
      <c r="Z40" s="228">
        <v>-2.0499999999999998</v>
      </c>
      <c r="AA40" s="229">
        <v>3.0999999999999999E-3</v>
      </c>
      <c r="AB40" s="228">
        <v>2.7</v>
      </c>
      <c r="AC40" s="228">
        <v>4.75</v>
      </c>
      <c r="AD40" s="228">
        <v>-2.0499999999999998</v>
      </c>
      <c r="AE40" s="229">
        <v>3.0999999999999999E-3</v>
      </c>
      <c r="AF40" s="228">
        <v>7.45</v>
      </c>
      <c r="AG40" s="228">
        <v>9.0500000000000007</v>
      </c>
      <c r="AH40" s="228">
        <v>-1.6</v>
      </c>
      <c r="AI40" s="229">
        <v>8.5000000000000006E-3</v>
      </c>
      <c r="AJ40" s="228">
        <v>12.8</v>
      </c>
      <c r="AK40" s="228">
        <v>14.45</v>
      </c>
      <c r="AL40" s="228">
        <v>-1.65</v>
      </c>
      <c r="AM40" s="229">
        <v>1.4500000000000001E-2</v>
      </c>
      <c r="AN40" s="228">
        <v>881.84</v>
      </c>
      <c r="AO40" s="228">
        <v>885.79</v>
      </c>
      <c r="AP40" s="228">
        <v>0</v>
      </c>
      <c r="AQ40" s="230">
        <v>32830</v>
      </c>
      <c r="AR40" s="230">
        <v>14138</v>
      </c>
      <c r="AS40" s="230">
        <v>18692</v>
      </c>
      <c r="AT40" s="229">
        <v>1.3221000000000001</v>
      </c>
      <c r="AU40" s="230">
        <v>30044</v>
      </c>
      <c r="AV40" s="230">
        <v>12561</v>
      </c>
      <c r="AW40" s="230">
        <v>17483</v>
      </c>
      <c r="AX40" s="229">
        <v>1.3917999999999999</v>
      </c>
      <c r="AY40" s="230">
        <v>2325</v>
      </c>
      <c r="AZ40" s="230">
        <v>1455</v>
      </c>
      <c r="BA40" s="228">
        <v>870</v>
      </c>
      <c r="BB40" s="229">
        <v>0.59789999999999999</v>
      </c>
      <c r="BC40" s="228">
        <v>461</v>
      </c>
      <c r="BD40" s="228">
        <v>122</v>
      </c>
      <c r="BE40" s="228">
        <v>339</v>
      </c>
      <c r="BF40" s="229">
        <v>2.7787000000000002</v>
      </c>
      <c r="BG40" s="230">
        <v>212219</v>
      </c>
      <c r="BH40" s="230">
        <v>56065</v>
      </c>
      <c r="BI40" s="230">
        <v>156154</v>
      </c>
      <c r="BJ40" s="229">
        <v>2.7852000000000001</v>
      </c>
      <c r="BK40" s="230">
        <v>107136</v>
      </c>
      <c r="BL40" s="230">
        <v>32622</v>
      </c>
      <c r="BM40" s="230">
        <v>74514</v>
      </c>
      <c r="BN40" s="229">
        <v>2.2841999999999998</v>
      </c>
      <c r="BO40" s="230">
        <v>352185</v>
      </c>
      <c r="BP40" s="230">
        <v>102825</v>
      </c>
      <c r="BQ40" s="230">
        <v>249360</v>
      </c>
      <c r="BR40" s="229">
        <v>2.4251</v>
      </c>
      <c r="BS40" s="230">
        <v>15047478</v>
      </c>
      <c r="BT40" s="230">
        <v>8368435</v>
      </c>
      <c r="BU40" s="230">
        <v>6679043</v>
      </c>
      <c r="BV40" s="229">
        <v>0.79810000000000003</v>
      </c>
      <c r="BW40" s="230">
        <v>95029500</v>
      </c>
      <c r="BX40" s="230">
        <v>96759000</v>
      </c>
      <c r="BY40" s="230">
        <v>-1729500</v>
      </c>
      <c r="BZ40" s="229">
        <v>-1.7899999999999999E-2</v>
      </c>
      <c r="CA40" s="230">
        <v>91833750</v>
      </c>
      <c r="CB40" s="230">
        <v>93843000</v>
      </c>
      <c r="CC40" s="230">
        <v>-2009250</v>
      </c>
      <c r="CD40" s="229">
        <v>-2.1399999999999999E-2</v>
      </c>
      <c r="CE40" s="230">
        <v>2829750</v>
      </c>
      <c r="CF40" s="230">
        <v>2685750</v>
      </c>
      <c r="CG40" s="230">
        <v>144000</v>
      </c>
      <c r="CH40" s="229">
        <v>5.3600000000000002E-2</v>
      </c>
      <c r="CI40" s="230">
        <v>366000</v>
      </c>
      <c r="CJ40" s="230">
        <v>230250</v>
      </c>
      <c r="CK40" s="230">
        <v>135750</v>
      </c>
      <c r="CL40" s="229">
        <v>0.58960000000000001</v>
      </c>
      <c r="CM40" s="230">
        <v>46028250</v>
      </c>
      <c r="CN40" s="230">
        <v>48941250</v>
      </c>
      <c r="CO40" s="230">
        <v>-2913000</v>
      </c>
      <c r="CP40" s="229">
        <v>-5.9499999999999997E-2</v>
      </c>
      <c r="CQ40" s="230">
        <v>31173000</v>
      </c>
      <c r="CR40" s="230">
        <v>28041750</v>
      </c>
      <c r="CS40" s="230">
        <v>3131250</v>
      </c>
      <c r="CT40" s="229">
        <v>0.11169999999999999</v>
      </c>
      <c r="CU40" s="230">
        <v>172230750</v>
      </c>
      <c r="CV40" s="230">
        <v>173742000</v>
      </c>
      <c r="CW40" s="230">
        <v>-1511250</v>
      </c>
      <c r="CX40" s="229">
        <v>-8.6999999999999994E-3</v>
      </c>
      <c r="CY40" s="228">
        <v>17.46</v>
      </c>
      <c r="CZ40" s="228">
        <v>18.190000000000001</v>
      </c>
      <c r="DA40" s="228">
        <v>-0.73</v>
      </c>
      <c r="DB40" s="228">
        <v>-0.73</v>
      </c>
      <c r="DC40" s="228">
        <v>26.45</v>
      </c>
      <c r="DD40" s="228">
        <v>26.39</v>
      </c>
      <c r="DE40" s="228">
        <v>-8.99</v>
      </c>
      <c r="DF40" s="228">
        <v>0.06</v>
      </c>
      <c r="DG40" s="228">
        <v>17.149999999999999</v>
      </c>
      <c r="DH40" s="228">
        <v>18.3</v>
      </c>
      <c r="DI40" s="228">
        <v>-1.1499999999999999</v>
      </c>
      <c r="DJ40" s="228">
        <v>-1.1499999999999999</v>
      </c>
      <c r="DK40" s="228">
        <v>18.07</v>
      </c>
      <c r="DL40" s="228">
        <v>18.010000000000002</v>
      </c>
      <c r="DM40" s="228">
        <v>0.06</v>
      </c>
      <c r="DN40" s="228">
        <v>0.06</v>
      </c>
      <c r="DO40" s="228">
        <v>0.68</v>
      </c>
      <c r="DP40" s="228">
        <v>0.56999999999999995</v>
      </c>
      <c r="DQ40" s="228">
        <v>0.11</v>
      </c>
      <c r="DR40" s="229">
        <v>0.193</v>
      </c>
      <c r="DS40" s="228">
        <v>880</v>
      </c>
      <c r="DT40" s="228">
        <v>870</v>
      </c>
      <c r="DU40" s="228">
        <v>0.5</v>
      </c>
      <c r="DV40" s="228">
        <v>0.57999999999999996</v>
      </c>
      <c r="DW40" s="228">
        <v>-0.08</v>
      </c>
      <c r="DX40" s="229">
        <v>-0.13789999999999999</v>
      </c>
      <c r="DY40" s="229">
        <v>3.3599999999999998E-2</v>
      </c>
      <c r="DZ40" s="230">
        <v>2916000</v>
      </c>
      <c r="EA40" s="229">
        <v>5.4000000000000003E-3</v>
      </c>
      <c r="EB40" s="229">
        <v>3.3599999999999998E-2</v>
      </c>
      <c r="EC40" s="228">
        <v>3.95</v>
      </c>
      <c r="ED40" s="229">
        <v>4.4999999999999997E-3</v>
      </c>
      <c r="EE40" s="230">
        <v>8207382</v>
      </c>
      <c r="EF40" s="230">
        <v>3729926</v>
      </c>
      <c r="EG40" s="229">
        <v>1.2003999999999999</v>
      </c>
      <c r="EH40" s="229">
        <v>0.5454</v>
      </c>
      <c r="EI40" s="231">
        <v>1440578.59</v>
      </c>
      <c r="EJ40" s="231">
        <v>697979.94</v>
      </c>
      <c r="EK40" s="231">
        <v>217238.85</v>
      </c>
      <c r="EL40" s="231">
        <v>16561</v>
      </c>
      <c r="EM40" s="231">
        <v>2355797.38</v>
      </c>
      <c r="EN40" s="231">
        <v>678035.21</v>
      </c>
      <c r="EO40" s="231">
        <v>1677762.17</v>
      </c>
      <c r="EP40" s="229">
        <v>2.4744000000000002</v>
      </c>
      <c r="EQ40" s="231">
        <v>413330</v>
      </c>
      <c r="ER40" s="231">
        <v>264042</v>
      </c>
      <c r="ES40" s="231">
        <v>839614</v>
      </c>
      <c r="ET40" s="231">
        <v>407307212</v>
      </c>
      <c r="EU40" s="231">
        <v>1516986</v>
      </c>
      <c r="EV40" s="231">
        <v>1513121</v>
      </c>
      <c r="EW40" s="231">
        <v>3865</v>
      </c>
      <c r="EX40" s="229">
        <v>2.5999999999999999E-3</v>
      </c>
      <c r="EY40" s="229">
        <v>0.4229</v>
      </c>
    </row>
    <row r="41" spans="1:155" ht="17.25" thickBot="1" x14ac:dyDescent="0.3">
      <c r="A41" s="226">
        <v>45940</v>
      </c>
      <c r="B41" s="227" t="s">
        <v>175</v>
      </c>
      <c r="C41" s="227" t="s">
        <v>562</v>
      </c>
      <c r="D41" s="228">
        <v>667.3</v>
      </c>
      <c r="E41" s="228">
        <v>671.7</v>
      </c>
      <c r="F41" s="228">
        <v>-4.4000000000000004</v>
      </c>
      <c r="G41" s="229">
        <v>-6.6E-3</v>
      </c>
      <c r="H41" s="228">
        <v>665.05</v>
      </c>
      <c r="I41" s="228">
        <v>669.05</v>
      </c>
      <c r="J41" s="228">
        <v>-4</v>
      </c>
      <c r="K41" s="229">
        <v>-6.0000000000000001E-3</v>
      </c>
      <c r="L41" s="228">
        <v>667.3</v>
      </c>
      <c r="M41" s="228">
        <v>671.7</v>
      </c>
      <c r="N41" s="228">
        <v>-4.4000000000000004</v>
      </c>
      <c r="O41" s="229">
        <v>-6.6E-3</v>
      </c>
      <c r="P41" s="228">
        <v>666.4</v>
      </c>
      <c r="Q41" s="228">
        <v>670.85</v>
      </c>
      <c r="R41" s="228">
        <v>-4.45</v>
      </c>
      <c r="S41" s="229">
        <v>-6.6E-3</v>
      </c>
      <c r="T41" s="228">
        <v>670.85</v>
      </c>
      <c r="U41" s="228">
        <v>675</v>
      </c>
      <c r="V41" s="228">
        <v>-4.1500000000000004</v>
      </c>
      <c r="W41" s="229">
        <v>-6.1000000000000004E-3</v>
      </c>
      <c r="X41" s="228">
        <v>2.25</v>
      </c>
      <c r="Y41" s="228">
        <v>2.65</v>
      </c>
      <c r="Z41" s="228">
        <v>-0.4</v>
      </c>
      <c r="AA41" s="229">
        <v>3.3999999999999998E-3</v>
      </c>
      <c r="AB41" s="228">
        <v>2.25</v>
      </c>
      <c r="AC41" s="228">
        <v>2.65</v>
      </c>
      <c r="AD41" s="228">
        <v>-0.4</v>
      </c>
      <c r="AE41" s="229">
        <v>3.3999999999999998E-3</v>
      </c>
      <c r="AF41" s="228">
        <v>1.35</v>
      </c>
      <c r="AG41" s="228">
        <v>1.8</v>
      </c>
      <c r="AH41" s="228">
        <v>-0.45</v>
      </c>
      <c r="AI41" s="229">
        <v>2E-3</v>
      </c>
      <c r="AJ41" s="228">
        <v>5.8</v>
      </c>
      <c r="AK41" s="228">
        <v>5.95</v>
      </c>
      <c r="AL41" s="228">
        <v>-0.15</v>
      </c>
      <c r="AM41" s="229">
        <v>8.6999999999999994E-3</v>
      </c>
      <c r="AN41" s="228">
        <v>668.46</v>
      </c>
      <c r="AO41" s="228">
        <v>667.61</v>
      </c>
      <c r="AP41" s="228">
        <v>0</v>
      </c>
      <c r="AQ41" s="230">
        <v>3800</v>
      </c>
      <c r="AR41" s="230">
        <v>3723</v>
      </c>
      <c r="AS41" s="228">
        <v>77</v>
      </c>
      <c r="AT41" s="229">
        <v>2.07E-2</v>
      </c>
      <c r="AU41" s="230">
        <v>3413</v>
      </c>
      <c r="AV41" s="230">
        <v>3511</v>
      </c>
      <c r="AW41" s="228">
        <v>-98</v>
      </c>
      <c r="AX41" s="229">
        <v>-2.7900000000000001E-2</v>
      </c>
      <c r="AY41" s="228">
        <v>316</v>
      </c>
      <c r="AZ41" s="228">
        <v>203</v>
      </c>
      <c r="BA41" s="228">
        <v>113</v>
      </c>
      <c r="BB41" s="229">
        <v>0.55669999999999997</v>
      </c>
      <c r="BC41" s="228">
        <v>71</v>
      </c>
      <c r="BD41" s="228">
        <v>9</v>
      </c>
      <c r="BE41" s="228">
        <v>62</v>
      </c>
      <c r="BF41" s="229">
        <v>6.8888999999999996</v>
      </c>
      <c r="BG41" s="230">
        <v>7598</v>
      </c>
      <c r="BH41" s="230">
        <v>6642</v>
      </c>
      <c r="BI41" s="228">
        <v>956</v>
      </c>
      <c r="BJ41" s="229">
        <v>0.1439</v>
      </c>
      <c r="BK41" s="230">
        <v>4361</v>
      </c>
      <c r="BL41" s="230">
        <v>3777</v>
      </c>
      <c r="BM41" s="228">
        <v>584</v>
      </c>
      <c r="BN41" s="229">
        <v>0.15459999999999999</v>
      </c>
      <c r="BO41" s="230">
        <v>15759</v>
      </c>
      <c r="BP41" s="230">
        <v>14142</v>
      </c>
      <c r="BQ41" s="230">
        <v>1617</v>
      </c>
      <c r="BR41" s="229">
        <v>0.1143</v>
      </c>
      <c r="BS41" s="230">
        <v>2757980</v>
      </c>
      <c r="BT41" s="230">
        <v>2395530</v>
      </c>
      <c r="BU41" s="230">
        <v>362450</v>
      </c>
      <c r="BV41" s="229">
        <v>0.15129999999999999</v>
      </c>
      <c r="BW41" s="230">
        <v>49500000</v>
      </c>
      <c r="BX41" s="230">
        <v>49803600</v>
      </c>
      <c r="BY41" s="230">
        <v>-303600</v>
      </c>
      <c r="BZ41" s="229">
        <v>-6.1000000000000004E-3</v>
      </c>
      <c r="CA41" s="230">
        <v>48184125</v>
      </c>
      <c r="CB41" s="230">
        <v>48608175</v>
      </c>
      <c r="CC41" s="230">
        <v>-424050</v>
      </c>
      <c r="CD41" s="229">
        <v>-8.6999999999999994E-3</v>
      </c>
      <c r="CE41" s="230">
        <v>1151700</v>
      </c>
      <c r="CF41" s="230">
        <v>1084050</v>
      </c>
      <c r="CG41" s="230">
        <v>67650</v>
      </c>
      <c r="CH41" s="229">
        <v>6.2399999999999997E-2</v>
      </c>
      <c r="CI41" s="230">
        <v>164175</v>
      </c>
      <c r="CJ41" s="230">
        <v>111375</v>
      </c>
      <c r="CK41" s="230">
        <v>52800</v>
      </c>
      <c r="CL41" s="229">
        <v>0.47410000000000002</v>
      </c>
      <c r="CM41" s="230">
        <v>7000950</v>
      </c>
      <c r="CN41" s="230">
        <v>7113975</v>
      </c>
      <c r="CO41" s="230">
        <v>-113025</v>
      </c>
      <c r="CP41" s="229">
        <v>-1.5900000000000001E-2</v>
      </c>
      <c r="CQ41" s="230">
        <v>6493575</v>
      </c>
      <c r="CR41" s="230">
        <v>6703950</v>
      </c>
      <c r="CS41" s="230">
        <v>-210375</v>
      </c>
      <c r="CT41" s="229">
        <v>-3.1399999999999997E-2</v>
      </c>
      <c r="CU41" s="230">
        <v>62994525</v>
      </c>
      <c r="CV41" s="230">
        <v>63621525</v>
      </c>
      <c r="CW41" s="230">
        <v>-627000</v>
      </c>
      <c r="CX41" s="229">
        <v>-9.9000000000000008E-3</v>
      </c>
      <c r="CY41" s="228">
        <v>30.5</v>
      </c>
      <c r="CZ41" s="228">
        <v>30.35</v>
      </c>
      <c r="DA41" s="228">
        <v>0.15</v>
      </c>
      <c r="DB41" s="228">
        <v>0.15</v>
      </c>
      <c r="DC41" s="228">
        <v>41</v>
      </c>
      <c r="DD41" s="228">
        <v>41.09</v>
      </c>
      <c r="DE41" s="228">
        <v>-10.5</v>
      </c>
      <c r="DF41" s="228">
        <v>-0.09</v>
      </c>
      <c r="DG41" s="228">
        <v>30.4</v>
      </c>
      <c r="DH41" s="228">
        <v>30.11</v>
      </c>
      <c r="DI41" s="228">
        <v>0.28999999999999998</v>
      </c>
      <c r="DJ41" s="228">
        <v>0.28999999999999998</v>
      </c>
      <c r="DK41" s="228">
        <v>30.68</v>
      </c>
      <c r="DL41" s="228">
        <v>30.79</v>
      </c>
      <c r="DM41" s="228">
        <v>-0.11</v>
      </c>
      <c r="DN41" s="228">
        <v>-0.11</v>
      </c>
      <c r="DO41" s="228">
        <v>0.93</v>
      </c>
      <c r="DP41" s="228">
        <v>0.94</v>
      </c>
      <c r="DQ41" s="228">
        <v>-0.01</v>
      </c>
      <c r="DR41" s="229">
        <v>-1.06E-2</v>
      </c>
      <c r="DS41" s="228">
        <v>700</v>
      </c>
      <c r="DT41" s="228">
        <v>660</v>
      </c>
      <c r="DU41" s="228">
        <v>0.56999999999999995</v>
      </c>
      <c r="DV41" s="228">
        <v>0.56999999999999995</v>
      </c>
      <c r="DW41" s="228">
        <v>0</v>
      </c>
      <c r="DX41" s="229">
        <v>0</v>
      </c>
      <c r="DY41" s="229">
        <v>2.6599999999999999E-2</v>
      </c>
      <c r="DZ41" s="230">
        <v>1195425</v>
      </c>
      <c r="EA41" s="229">
        <v>-1.2999999999999999E-3</v>
      </c>
      <c r="EB41" s="229">
        <v>2.6599999999999999E-2</v>
      </c>
      <c r="EC41" s="228">
        <v>-0.85</v>
      </c>
      <c r="ED41" s="229">
        <v>-1.2999999999999999E-3</v>
      </c>
      <c r="EE41" s="230">
        <v>1545208</v>
      </c>
      <c r="EF41" s="230">
        <v>1279854</v>
      </c>
      <c r="EG41" s="229">
        <v>0.20730000000000001</v>
      </c>
      <c r="EH41" s="229">
        <v>0.56030000000000002</v>
      </c>
      <c r="EI41" s="231">
        <v>43771.33</v>
      </c>
      <c r="EJ41" s="231">
        <v>23794.28</v>
      </c>
      <c r="EK41" s="231">
        <v>20955.59</v>
      </c>
      <c r="EL41" s="231">
        <v>7571</v>
      </c>
      <c r="EM41" s="231">
        <v>88521.2</v>
      </c>
      <c r="EN41" s="231">
        <v>79566.14</v>
      </c>
      <c r="EO41" s="231">
        <v>8955.06</v>
      </c>
      <c r="EP41" s="229">
        <v>0.1125</v>
      </c>
      <c r="EQ41" s="231">
        <v>47625</v>
      </c>
      <c r="ER41" s="231">
        <v>40936</v>
      </c>
      <c r="ES41" s="231">
        <v>330309</v>
      </c>
      <c r="ET41" s="231">
        <v>210459276</v>
      </c>
      <c r="EU41" s="231">
        <v>418871</v>
      </c>
      <c r="EV41" s="231">
        <v>425120</v>
      </c>
      <c r="EW41" s="231">
        <v>-6249</v>
      </c>
      <c r="EX41" s="229">
        <v>-1.47E-2</v>
      </c>
      <c r="EY41" s="229">
        <v>0.29930000000000001</v>
      </c>
    </row>
    <row r="42" spans="1:155" ht="17.25" thickBot="1" x14ac:dyDescent="0.3">
      <c r="A42" s="226">
        <v>45940</v>
      </c>
      <c r="B42" s="227" t="s">
        <v>170</v>
      </c>
      <c r="C42" s="227" t="s">
        <v>288</v>
      </c>
      <c r="D42" s="231">
        <v>1679</v>
      </c>
      <c r="E42" s="231">
        <v>1662.2</v>
      </c>
      <c r="F42" s="228">
        <v>16.8</v>
      </c>
      <c r="G42" s="229">
        <v>1.01E-2</v>
      </c>
      <c r="H42" s="231">
        <v>1670.9</v>
      </c>
      <c r="I42" s="231">
        <v>1658.5</v>
      </c>
      <c r="J42" s="228">
        <v>12.4</v>
      </c>
      <c r="K42" s="229">
        <v>7.4999999999999997E-3</v>
      </c>
      <c r="L42" s="231">
        <v>1679</v>
      </c>
      <c r="M42" s="231">
        <v>1662.2</v>
      </c>
      <c r="N42" s="228">
        <v>16.8</v>
      </c>
      <c r="O42" s="229">
        <v>1.01E-2</v>
      </c>
      <c r="P42" s="231">
        <v>1689</v>
      </c>
      <c r="Q42" s="231">
        <v>1671.3</v>
      </c>
      <c r="R42" s="228">
        <v>17.7</v>
      </c>
      <c r="S42" s="229">
        <v>1.06E-2</v>
      </c>
      <c r="T42" s="231">
        <v>1699</v>
      </c>
      <c r="U42" s="231">
        <v>1679.9</v>
      </c>
      <c r="V42" s="228">
        <v>19.100000000000001</v>
      </c>
      <c r="W42" s="229">
        <v>1.14E-2</v>
      </c>
      <c r="X42" s="228">
        <v>8.1</v>
      </c>
      <c r="Y42" s="228">
        <v>3.7</v>
      </c>
      <c r="Z42" s="228">
        <v>4.4000000000000004</v>
      </c>
      <c r="AA42" s="229">
        <v>4.7999999999999996E-3</v>
      </c>
      <c r="AB42" s="228">
        <v>8.1</v>
      </c>
      <c r="AC42" s="228">
        <v>3.7</v>
      </c>
      <c r="AD42" s="228">
        <v>4.4000000000000004</v>
      </c>
      <c r="AE42" s="229">
        <v>4.7999999999999996E-3</v>
      </c>
      <c r="AF42" s="228">
        <v>18.100000000000001</v>
      </c>
      <c r="AG42" s="228">
        <v>12.8</v>
      </c>
      <c r="AH42" s="228">
        <v>5.3</v>
      </c>
      <c r="AI42" s="229">
        <v>1.0800000000000001E-2</v>
      </c>
      <c r="AJ42" s="228">
        <v>28.1</v>
      </c>
      <c r="AK42" s="228">
        <v>21.4</v>
      </c>
      <c r="AL42" s="228">
        <v>6.7</v>
      </c>
      <c r="AM42" s="229">
        <v>1.6799999999999999E-2</v>
      </c>
      <c r="AN42" s="231">
        <v>1675.37</v>
      </c>
      <c r="AO42" s="231">
        <v>1683.95</v>
      </c>
      <c r="AP42" s="228">
        <v>0</v>
      </c>
      <c r="AQ42" s="230">
        <v>4688</v>
      </c>
      <c r="AR42" s="230">
        <v>4631</v>
      </c>
      <c r="AS42" s="228">
        <v>57</v>
      </c>
      <c r="AT42" s="229">
        <v>1.23E-2</v>
      </c>
      <c r="AU42" s="230">
        <v>4187</v>
      </c>
      <c r="AV42" s="230">
        <v>4354</v>
      </c>
      <c r="AW42" s="228">
        <v>-167</v>
      </c>
      <c r="AX42" s="229">
        <v>-3.8399999999999997E-2</v>
      </c>
      <c r="AY42" s="228">
        <v>407</v>
      </c>
      <c r="AZ42" s="228">
        <v>268</v>
      </c>
      <c r="BA42" s="228">
        <v>139</v>
      </c>
      <c r="BB42" s="229">
        <v>0.51870000000000005</v>
      </c>
      <c r="BC42" s="228">
        <v>94</v>
      </c>
      <c r="BD42" s="228">
        <v>9</v>
      </c>
      <c r="BE42" s="228">
        <v>85</v>
      </c>
      <c r="BF42" s="229">
        <v>9.4443999999999999</v>
      </c>
      <c r="BG42" s="230">
        <v>30722</v>
      </c>
      <c r="BH42" s="230">
        <v>29865</v>
      </c>
      <c r="BI42" s="228">
        <v>857</v>
      </c>
      <c r="BJ42" s="229">
        <v>2.87E-2</v>
      </c>
      <c r="BK42" s="230">
        <v>13876</v>
      </c>
      <c r="BL42" s="230">
        <v>12671</v>
      </c>
      <c r="BM42" s="230">
        <v>1205</v>
      </c>
      <c r="BN42" s="229">
        <v>9.5100000000000004E-2</v>
      </c>
      <c r="BO42" s="230">
        <v>49286</v>
      </c>
      <c r="BP42" s="230">
        <v>47167</v>
      </c>
      <c r="BQ42" s="230">
        <v>2119</v>
      </c>
      <c r="BR42" s="229">
        <v>4.4900000000000002E-2</v>
      </c>
      <c r="BS42" s="230">
        <v>1514248</v>
      </c>
      <c r="BT42" s="230">
        <v>2253679</v>
      </c>
      <c r="BU42" s="230">
        <v>-739431</v>
      </c>
      <c r="BV42" s="229">
        <v>-0.3281</v>
      </c>
      <c r="BW42" s="230">
        <v>15582350</v>
      </c>
      <c r="BX42" s="230">
        <v>15227800</v>
      </c>
      <c r="BY42" s="230">
        <v>354550</v>
      </c>
      <c r="BZ42" s="229">
        <v>2.3300000000000001E-2</v>
      </c>
      <c r="CA42" s="230">
        <v>15294650</v>
      </c>
      <c r="CB42" s="230">
        <v>15029000</v>
      </c>
      <c r="CC42" s="230">
        <v>265650</v>
      </c>
      <c r="CD42" s="229">
        <v>1.77E-2</v>
      </c>
      <c r="CE42" s="230">
        <v>254100</v>
      </c>
      <c r="CF42" s="230">
        <v>191100</v>
      </c>
      <c r="CG42" s="230">
        <v>63000</v>
      </c>
      <c r="CH42" s="229">
        <v>0.32969999999999999</v>
      </c>
      <c r="CI42" s="230">
        <v>33600</v>
      </c>
      <c r="CJ42" s="230">
        <v>7700</v>
      </c>
      <c r="CK42" s="230">
        <v>25900</v>
      </c>
      <c r="CL42" s="229">
        <v>3.3635999999999999</v>
      </c>
      <c r="CM42" s="230">
        <v>4843650</v>
      </c>
      <c r="CN42" s="230">
        <v>4695950</v>
      </c>
      <c r="CO42" s="230">
        <v>147700</v>
      </c>
      <c r="CP42" s="229">
        <v>3.15E-2</v>
      </c>
      <c r="CQ42" s="230">
        <v>4492250</v>
      </c>
      <c r="CR42" s="230">
        <v>4266150</v>
      </c>
      <c r="CS42" s="230">
        <v>226100</v>
      </c>
      <c r="CT42" s="229">
        <v>5.2999999999999999E-2</v>
      </c>
      <c r="CU42" s="230">
        <v>24918250</v>
      </c>
      <c r="CV42" s="230">
        <v>24189900</v>
      </c>
      <c r="CW42" s="230">
        <v>728350</v>
      </c>
      <c r="CX42" s="229">
        <v>3.0099999999999998E-2</v>
      </c>
      <c r="CY42" s="228">
        <v>17.68</v>
      </c>
      <c r="CZ42" s="228">
        <v>18.55</v>
      </c>
      <c r="DA42" s="228">
        <v>-0.87</v>
      </c>
      <c r="DB42" s="228">
        <v>-0.87</v>
      </c>
      <c r="DC42" s="228">
        <v>24.14</v>
      </c>
      <c r="DD42" s="228">
        <v>24.18</v>
      </c>
      <c r="DE42" s="228">
        <v>-6.46</v>
      </c>
      <c r="DF42" s="228">
        <v>-0.04</v>
      </c>
      <c r="DG42" s="228">
        <v>16.670000000000002</v>
      </c>
      <c r="DH42" s="228">
        <v>17.850000000000001</v>
      </c>
      <c r="DI42" s="228">
        <v>-1.18</v>
      </c>
      <c r="DJ42" s="228">
        <v>-1.18</v>
      </c>
      <c r="DK42" s="228">
        <v>19.940000000000001</v>
      </c>
      <c r="DL42" s="228">
        <v>20.190000000000001</v>
      </c>
      <c r="DM42" s="228">
        <v>-0.25</v>
      </c>
      <c r="DN42" s="228">
        <v>-0.25</v>
      </c>
      <c r="DO42" s="228">
        <v>0.93</v>
      </c>
      <c r="DP42" s="228">
        <v>0.91</v>
      </c>
      <c r="DQ42" s="228">
        <v>0.02</v>
      </c>
      <c r="DR42" s="229">
        <v>2.1999999999999999E-2</v>
      </c>
      <c r="DS42" s="231">
        <v>1680</v>
      </c>
      <c r="DT42" s="231">
        <v>1500</v>
      </c>
      <c r="DU42" s="228">
        <v>0.45</v>
      </c>
      <c r="DV42" s="228">
        <v>0.42</v>
      </c>
      <c r="DW42" s="228">
        <v>0.03</v>
      </c>
      <c r="DX42" s="229">
        <v>7.1400000000000005E-2</v>
      </c>
      <c r="DY42" s="229">
        <v>1.8499999999999999E-2</v>
      </c>
      <c r="DZ42" s="230">
        <v>198800</v>
      </c>
      <c r="EA42" s="229">
        <v>6.0000000000000001E-3</v>
      </c>
      <c r="EB42" s="229">
        <v>1.8499999999999999E-2</v>
      </c>
      <c r="EC42" s="228">
        <v>8.58</v>
      </c>
      <c r="ED42" s="229">
        <v>5.1000000000000004E-3</v>
      </c>
      <c r="EE42" s="230">
        <v>808967</v>
      </c>
      <c r="EF42" s="230">
        <v>1251903</v>
      </c>
      <c r="EG42" s="229">
        <v>-0.3538</v>
      </c>
      <c r="EH42" s="229">
        <v>0.53420000000000001</v>
      </c>
      <c r="EI42" s="231">
        <v>184573.43</v>
      </c>
      <c r="EJ42" s="231">
        <v>79599.08</v>
      </c>
      <c r="EK42" s="231">
        <v>27509.02</v>
      </c>
      <c r="EL42" s="231">
        <v>4753</v>
      </c>
      <c r="EM42" s="231">
        <v>291681.53000000003</v>
      </c>
      <c r="EN42" s="231">
        <v>277633.40000000002</v>
      </c>
      <c r="EO42" s="231">
        <v>14048.13</v>
      </c>
      <c r="EP42" s="229">
        <v>5.0599999999999999E-2</v>
      </c>
      <c r="EQ42" s="231">
        <v>82177</v>
      </c>
      <c r="ER42" s="231">
        <v>70822</v>
      </c>
      <c r="ES42" s="231">
        <v>261660</v>
      </c>
      <c r="ET42" s="231">
        <v>109220043</v>
      </c>
      <c r="EU42" s="231">
        <v>414659</v>
      </c>
      <c r="EV42" s="231">
        <v>399696</v>
      </c>
      <c r="EW42" s="231">
        <v>14963</v>
      </c>
      <c r="EX42" s="229">
        <v>3.7400000000000003E-2</v>
      </c>
      <c r="EY42" s="229">
        <v>0.2281</v>
      </c>
    </row>
    <row r="43" spans="1:155" ht="17.25" thickBot="1" x14ac:dyDescent="0.3">
      <c r="A43" s="226">
        <v>45940</v>
      </c>
      <c r="B43" s="227" t="s">
        <v>168</v>
      </c>
      <c r="C43" s="227" t="s">
        <v>291</v>
      </c>
      <c r="D43" s="231">
        <v>1132.7</v>
      </c>
      <c r="E43" s="231">
        <v>1124.2</v>
      </c>
      <c r="F43" s="228">
        <v>8.5</v>
      </c>
      <c r="G43" s="229">
        <v>7.6E-3</v>
      </c>
      <c r="H43" s="231">
        <v>1126.5</v>
      </c>
      <c r="I43" s="231">
        <v>1118</v>
      </c>
      <c r="J43" s="228">
        <v>8.5</v>
      </c>
      <c r="K43" s="229">
        <v>7.6E-3</v>
      </c>
      <c r="L43" s="231">
        <v>1132.7</v>
      </c>
      <c r="M43" s="231">
        <v>1124.2</v>
      </c>
      <c r="N43" s="228">
        <v>8.5</v>
      </c>
      <c r="O43" s="229">
        <v>7.6E-3</v>
      </c>
      <c r="P43" s="231">
        <v>1139.3</v>
      </c>
      <c r="Q43" s="231">
        <v>1129.2</v>
      </c>
      <c r="R43" s="228">
        <v>10.1</v>
      </c>
      <c r="S43" s="229">
        <v>8.8999999999999999E-3</v>
      </c>
      <c r="T43" s="231">
        <v>1146.5999999999999</v>
      </c>
      <c r="U43" s="231">
        <v>1135.4000000000001</v>
      </c>
      <c r="V43" s="228">
        <v>11.2</v>
      </c>
      <c r="W43" s="229">
        <v>9.9000000000000008E-3</v>
      </c>
      <c r="X43" s="228">
        <v>6.2</v>
      </c>
      <c r="Y43" s="228">
        <v>6.2</v>
      </c>
      <c r="Z43" s="228">
        <v>0</v>
      </c>
      <c r="AA43" s="229">
        <v>5.4999999999999997E-3</v>
      </c>
      <c r="AB43" s="228">
        <v>6.2</v>
      </c>
      <c r="AC43" s="228">
        <v>6.2</v>
      </c>
      <c r="AD43" s="228">
        <v>0</v>
      </c>
      <c r="AE43" s="229">
        <v>5.4999999999999997E-3</v>
      </c>
      <c r="AF43" s="228">
        <v>12.8</v>
      </c>
      <c r="AG43" s="228">
        <v>11.2</v>
      </c>
      <c r="AH43" s="228">
        <v>1.6</v>
      </c>
      <c r="AI43" s="229">
        <v>1.14E-2</v>
      </c>
      <c r="AJ43" s="228">
        <v>20.100000000000001</v>
      </c>
      <c r="AK43" s="228">
        <v>17.399999999999999</v>
      </c>
      <c r="AL43" s="228">
        <v>2.7</v>
      </c>
      <c r="AM43" s="229">
        <v>1.78E-2</v>
      </c>
      <c r="AN43" s="231">
        <v>1128.8499999999999</v>
      </c>
      <c r="AO43" s="231">
        <v>1134.5</v>
      </c>
      <c r="AP43" s="228">
        <v>0</v>
      </c>
      <c r="AQ43" s="230">
        <v>2567</v>
      </c>
      <c r="AR43" s="230">
        <v>1937</v>
      </c>
      <c r="AS43" s="228">
        <v>630</v>
      </c>
      <c r="AT43" s="229">
        <v>0.32519999999999999</v>
      </c>
      <c r="AU43" s="230">
        <v>2386</v>
      </c>
      <c r="AV43" s="230">
        <v>1847</v>
      </c>
      <c r="AW43" s="228">
        <v>539</v>
      </c>
      <c r="AX43" s="229">
        <v>0.2918</v>
      </c>
      <c r="AY43" s="228">
        <v>145</v>
      </c>
      <c r="AZ43" s="228">
        <v>87</v>
      </c>
      <c r="BA43" s="228">
        <v>58</v>
      </c>
      <c r="BB43" s="229">
        <v>0.66669999999999996</v>
      </c>
      <c r="BC43" s="228">
        <v>36</v>
      </c>
      <c r="BD43" s="228">
        <v>3</v>
      </c>
      <c r="BE43" s="228">
        <v>33</v>
      </c>
      <c r="BF43" s="229">
        <v>11</v>
      </c>
      <c r="BG43" s="230">
        <v>6275</v>
      </c>
      <c r="BH43" s="230">
        <v>3764</v>
      </c>
      <c r="BI43" s="230">
        <v>2511</v>
      </c>
      <c r="BJ43" s="229">
        <v>0.66710000000000003</v>
      </c>
      <c r="BK43" s="230">
        <v>2041</v>
      </c>
      <c r="BL43" s="230">
        <v>1628</v>
      </c>
      <c r="BM43" s="228">
        <v>413</v>
      </c>
      <c r="BN43" s="229">
        <v>0.25369999999999998</v>
      </c>
      <c r="BO43" s="230">
        <v>10883</v>
      </c>
      <c r="BP43" s="230">
        <v>7329</v>
      </c>
      <c r="BQ43" s="230">
        <v>3554</v>
      </c>
      <c r="BR43" s="229">
        <v>0.4849</v>
      </c>
      <c r="BS43" s="230">
        <v>1012166</v>
      </c>
      <c r="BT43" s="230">
        <v>861864</v>
      </c>
      <c r="BU43" s="230">
        <v>150302</v>
      </c>
      <c r="BV43" s="229">
        <v>0.1744</v>
      </c>
      <c r="BW43" s="230">
        <v>16451600</v>
      </c>
      <c r="BX43" s="230">
        <v>16341050</v>
      </c>
      <c r="BY43" s="230">
        <v>110550</v>
      </c>
      <c r="BZ43" s="229">
        <v>6.7999999999999996E-3</v>
      </c>
      <c r="CA43" s="230">
        <v>16266250</v>
      </c>
      <c r="CB43" s="230">
        <v>16200250</v>
      </c>
      <c r="CC43" s="230">
        <v>66000</v>
      </c>
      <c r="CD43" s="229">
        <v>4.1000000000000003E-3</v>
      </c>
      <c r="CE43" s="230">
        <v>161150</v>
      </c>
      <c r="CF43" s="230">
        <v>133100</v>
      </c>
      <c r="CG43" s="230">
        <v>28050</v>
      </c>
      <c r="CH43" s="229">
        <v>0.2107</v>
      </c>
      <c r="CI43" s="230">
        <v>24200</v>
      </c>
      <c r="CJ43" s="230">
        <v>7700</v>
      </c>
      <c r="CK43" s="230">
        <v>16500</v>
      </c>
      <c r="CL43" s="229">
        <v>2.1429</v>
      </c>
      <c r="CM43" s="230">
        <v>3416600</v>
      </c>
      <c r="CN43" s="230">
        <v>3391850</v>
      </c>
      <c r="CO43" s="230">
        <v>24750</v>
      </c>
      <c r="CP43" s="229">
        <v>7.3000000000000001E-3</v>
      </c>
      <c r="CQ43" s="230">
        <v>1455850</v>
      </c>
      <c r="CR43" s="230">
        <v>1408000</v>
      </c>
      <c r="CS43" s="230">
        <v>47850</v>
      </c>
      <c r="CT43" s="229">
        <v>3.4000000000000002E-2</v>
      </c>
      <c r="CU43" s="230">
        <v>21324050</v>
      </c>
      <c r="CV43" s="230">
        <v>21140900</v>
      </c>
      <c r="CW43" s="230">
        <v>183150</v>
      </c>
      <c r="CX43" s="229">
        <v>8.6999999999999994E-3</v>
      </c>
      <c r="CY43" s="228">
        <v>22.22</v>
      </c>
      <c r="CZ43" s="228">
        <v>23.04</v>
      </c>
      <c r="DA43" s="228">
        <v>-0.82</v>
      </c>
      <c r="DB43" s="228">
        <v>-0.82</v>
      </c>
      <c r="DC43" s="228">
        <v>26.9</v>
      </c>
      <c r="DD43" s="228">
        <v>26.94</v>
      </c>
      <c r="DE43" s="228">
        <v>-4.68</v>
      </c>
      <c r="DF43" s="228">
        <v>-0.04</v>
      </c>
      <c r="DG43" s="228">
        <v>22.13</v>
      </c>
      <c r="DH43" s="228">
        <v>23.01</v>
      </c>
      <c r="DI43" s="228">
        <v>-0.88</v>
      </c>
      <c r="DJ43" s="228">
        <v>-0.88</v>
      </c>
      <c r="DK43" s="228">
        <v>22.5</v>
      </c>
      <c r="DL43" s="228">
        <v>23.11</v>
      </c>
      <c r="DM43" s="228">
        <v>-0.61</v>
      </c>
      <c r="DN43" s="228">
        <v>-0.61</v>
      </c>
      <c r="DO43" s="228">
        <v>0.43</v>
      </c>
      <c r="DP43" s="228">
        <v>0.42</v>
      </c>
      <c r="DQ43" s="228">
        <v>0.01</v>
      </c>
      <c r="DR43" s="229">
        <v>2.3800000000000002E-2</v>
      </c>
      <c r="DS43" s="231">
        <v>1240</v>
      </c>
      <c r="DT43" s="231">
        <v>1100</v>
      </c>
      <c r="DU43" s="228">
        <v>0.33</v>
      </c>
      <c r="DV43" s="228">
        <v>0.43</v>
      </c>
      <c r="DW43" s="228">
        <v>-0.1</v>
      </c>
      <c r="DX43" s="229">
        <v>-0.2326</v>
      </c>
      <c r="DY43" s="229">
        <v>1.1299999999999999E-2</v>
      </c>
      <c r="DZ43" s="230">
        <v>140800</v>
      </c>
      <c r="EA43" s="229">
        <v>5.7999999999999996E-3</v>
      </c>
      <c r="EB43" s="229">
        <v>1.1299999999999999E-2</v>
      </c>
      <c r="EC43" s="228">
        <v>5.65</v>
      </c>
      <c r="ED43" s="229">
        <v>5.0000000000000001E-3</v>
      </c>
      <c r="EE43" s="230">
        <v>636361</v>
      </c>
      <c r="EF43" s="230">
        <v>536241</v>
      </c>
      <c r="EG43" s="229">
        <v>0.1867</v>
      </c>
      <c r="EH43" s="229">
        <v>0.62870000000000004</v>
      </c>
      <c r="EI43" s="231">
        <v>40142.03</v>
      </c>
      <c r="EJ43" s="231">
        <v>12493.23</v>
      </c>
      <c r="EK43" s="231">
        <v>15945.37</v>
      </c>
      <c r="EL43" s="231">
        <v>2563</v>
      </c>
      <c r="EM43" s="231">
        <v>68580.63</v>
      </c>
      <c r="EN43" s="231">
        <v>46198.5</v>
      </c>
      <c r="EO43" s="231">
        <v>22382.13</v>
      </c>
      <c r="EP43" s="229">
        <v>0.48449999999999999</v>
      </c>
      <c r="EQ43" s="231">
        <v>40802</v>
      </c>
      <c r="ER43" s="231">
        <v>15741</v>
      </c>
      <c r="ES43" s="231">
        <v>186361</v>
      </c>
      <c r="ET43" s="231">
        <v>65471528</v>
      </c>
      <c r="EU43" s="231">
        <v>242904</v>
      </c>
      <c r="EV43" s="231">
        <v>239453</v>
      </c>
      <c r="EW43" s="231">
        <v>3451</v>
      </c>
      <c r="EX43" s="229">
        <v>1.44E-2</v>
      </c>
      <c r="EY43" s="229">
        <v>0.32569999999999999</v>
      </c>
    </row>
    <row r="44" spans="1:155" ht="17.25" thickBot="1" x14ac:dyDescent="0.3">
      <c r="A44" s="226">
        <v>45940</v>
      </c>
      <c r="B44" s="227" t="s">
        <v>162</v>
      </c>
      <c r="C44" s="227" t="s">
        <v>292</v>
      </c>
      <c r="D44" s="228">
        <v>679.4</v>
      </c>
      <c r="E44" s="228">
        <v>683.15</v>
      </c>
      <c r="F44" s="228">
        <v>-3.75</v>
      </c>
      <c r="G44" s="229">
        <v>-5.4999999999999997E-3</v>
      </c>
      <c r="H44" s="228">
        <v>678.95</v>
      </c>
      <c r="I44" s="228">
        <v>681.1</v>
      </c>
      <c r="J44" s="228">
        <v>-2.15</v>
      </c>
      <c r="K44" s="229">
        <v>-3.2000000000000002E-3</v>
      </c>
      <c r="L44" s="228">
        <v>679.4</v>
      </c>
      <c r="M44" s="228">
        <v>683.15</v>
      </c>
      <c r="N44" s="228">
        <v>-3.75</v>
      </c>
      <c r="O44" s="229">
        <v>-5.4999999999999997E-3</v>
      </c>
      <c r="P44" s="228">
        <v>679.1</v>
      </c>
      <c r="Q44" s="228">
        <v>682.45</v>
      </c>
      <c r="R44" s="228">
        <v>-3.35</v>
      </c>
      <c r="S44" s="229">
        <v>-4.8999999999999998E-3</v>
      </c>
      <c r="T44" s="228">
        <v>679.05</v>
      </c>
      <c r="U44" s="228">
        <v>683.35</v>
      </c>
      <c r="V44" s="228">
        <v>-4.3</v>
      </c>
      <c r="W44" s="229">
        <v>-6.3E-3</v>
      </c>
      <c r="X44" s="228">
        <v>0.45</v>
      </c>
      <c r="Y44" s="228">
        <v>2.0499999999999998</v>
      </c>
      <c r="Z44" s="228">
        <v>-1.6</v>
      </c>
      <c r="AA44" s="229">
        <v>6.9999999999999999E-4</v>
      </c>
      <c r="AB44" s="228">
        <v>0.45</v>
      </c>
      <c r="AC44" s="228">
        <v>2.0499999999999998</v>
      </c>
      <c r="AD44" s="228">
        <v>-1.6</v>
      </c>
      <c r="AE44" s="229">
        <v>6.9999999999999999E-4</v>
      </c>
      <c r="AF44" s="228">
        <v>0.15</v>
      </c>
      <c r="AG44" s="228">
        <v>1.35</v>
      </c>
      <c r="AH44" s="228">
        <v>-1.2</v>
      </c>
      <c r="AI44" s="229">
        <v>2.0000000000000001E-4</v>
      </c>
      <c r="AJ44" s="228">
        <v>0.1</v>
      </c>
      <c r="AK44" s="228">
        <v>2.25</v>
      </c>
      <c r="AL44" s="228">
        <v>-2.15</v>
      </c>
      <c r="AM44" s="229">
        <v>1E-4</v>
      </c>
      <c r="AN44" s="228">
        <v>680.6</v>
      </c>
      <c r="AO44" s="228">
        <v>680.73</v>
      </c>
      <c r="AP44" s="228">
        <v>0</v>
      </c>
      <c r="AQ44" s="230">
        <v>27168</v>
      </c>
      <c r="AR44" s="230">
        <v>28783</v>
      </c>
      <c r="AS44" s="230">
        <v>-1615</v>
      </c>
      <c r="AT44" s="229">
        <v>-5.6099999999999997E-2</v>
      </c>
      <c r="AU44" s="230">
        <v>23232</v>
      </c>
      <c r="AV44" s="230">
        <v>25394</v>
      </c>
      <c r="AW44" s="230">
        <v>-2162</v>
      </c>
      <c r="AX44" s="229">
        <v>-8.5099999999999995E-2</v>
      </c>
      <c r="AY44" s="230">
        <v>3261</v>
      </c>
      <c r="AZ44" s="230">
        <v>2715</v>
      </c>
      <c r="BA44" s="228">
        <v>546</v>
      </c>
      <c r="BB44" s="229">
        <v>0.2011</v>
      </c>
      <c r="BC44" s="228">
        <v>675</v>
      </c>
      <c r="BD44" s="228">
        <v>674</v>
      </c>
      <c r="BE44" s="228">
        <v>1</v>
      </c>
      <c r="BF44" s="229">
        <v>1.5E-3</v>
      </c>
      <c r="BG44" s="230">
        <v>356165</v>
      </c>
      <c r="BH44" s="230">
        <v>378272</v>
      </c>
      <c r="BI44" s="230">
        <v>-22107</v>
      </c>
      <c r="BJ44" s="229">
        <v>-5.8400000000000001E-2</v>
      </c>
      <c r="BK44" s="230">
        <v>153491</v>
      </c>
      <c r="BL44" s="230">
        <v>162014</v>
      </c>
      <c r="BM44" s="230">
        <v>-8523</v>
      </c>
      <c r="BN44" s="229">
        <v>-5.2600000000000001E-2</v>
      </c>
      <c r="BO44" s="230">
        <v>536824</v>
      </c>
      <c r="BP44" s="230">
        <v>569069</v>
      </c>
      <c r="BQ44" s="230">
        <v>-32245</v>
      </c>
      <c r="BR44" s="229">
        <v>-5.67E-2</v>
      </c>
      <c r="BS44" s="230">
        <v>16776518</v>
      </c>
      <c r="BT44" s="230">
        <v>17214521</v>
      </c>
      <c r="BU44" s="230">
        <v>-438003</v>
      </c>
      <c r="BV44" s="229">
        <v>-2.5399999999999999E-2</v>
      </c>
      <c r="BW44" s="230">
        <v>44596800</v>
      </c>
      <c r="BX44" s="230">
        <v>50587200</v>
      </c>
      <c r="BY44" s="230">
        <v>-5990400</v>
      </c>
      <c r="BZ44" s="229">
        <v>-0.11840000000000001</v>
      </c>
      <c r="CA44" s="230">
        <v>39032800</v>
      </c>
      <c r="CB44" s="230">
        <v>44559200</v>
      </c>
      <c r="CC44" s="230">
        <v>-5526400</v>
      </c>
      <c r="CD44" s="229">
        <v>-0.124</v>
      </c>
      <c r="CE44" s="230">
        <v>4788800</v>
      </c>
      <c r="CF44" s="230">
        <v>5293600</v>
      </c>
      <c r="CG44" s="230">
        <v>-504800</v>
      </c>
      <c r="CH44" s="229">
        <v>-9.5399999999999999E-2</v>
      </c>
      <c r="CI44" s="230">
        <v>775200</v>
      </c>
      <c r="CJ44" s="230">
        <v>734400</v>
      </c>
      <c r="CK44" s="230">
        <v>40800</v>
      </c>
      <c r="CL44" s="229">
        <v>5.5599999999999997E-2</v>
      </c>
      <c r="CM44" s="230">
        <v>120469600</v>
      </c>
      <c r="CN44" s="230">
        <v>131822400</v>
      </c>
      <c r="CO44" s="230">
        <v>-11352800</v>
      </c>
      <c r="CP44" s="229">
        <v>-8.6099999999999996E-2</v>
      </c>
      <c r="CQ44" s="230">
        <v>36081600</v>
      </c>
      <c r="CR44" s="230">
        <v>40965600</v>
      </c>
      <c r="CS44" s="230">
        <v>-4884000</v>
      </c>
      <c r="CT44" s="229">
        <v>-0.1192</v>
      </c>
      <c r="CU44" s="230">
        <v>201148000</v>
      </c>
      <c r="CV44" s="230">
        <v>223375200</v>
      </c>
      <c r="CW44" s="230">
        <v>-22227200</v>
      </c>
      <c r="CX44" s="229">
        <v>-9.9500000000000005E-2</v>
      </c>
      <c r="CY44" s="228">
        <v>16.93</v>
      </c>
      <c r="CZ44" s="228">
        <v>17.66</v>
      </c>
      <c r="DA44" s="228">
        <v>-0.73</v>
      </c>
      <c r="DB44" s="228">
        <v>-0.73</v>
      </c>
      <c r="DC44" s="228">
        <v>35.78</v>
      </c>
      <c r="DD44" s="228">
        <v>35.869999999999997</v>
      </c>
      <c r="DE44" s="228">
        <v>-18.850000000000001</v>
      </c>
      <c r="DF44" s="228">
        <v>-0.09</v>
      </c>
      <c r="DG44" s="228">
        <v>18.14</v>
      </c>
      <c r="DH44" s="228">
        <v>18.510000000000002</v>
      </c>
      <c r="DI44" s="228">
        <v>-0.37</v>
      </c>
      <c r="DJ44" s="228">
        <v>-0.37</v>
      </c>
      <c r="DK44" s="228">
        <v>14.11</v>
      </c>
      <c r="DL44" s="228">
        <v>15.66</v>
      </c>
      <c r="DM44" s="228">
        <v>-1.55</v>
      </c>
      <c r="DN44" s="228">
        <v>-1.55</v>
      </c>
      <c r="DO44" s="228">
        <v>0.3</v>
      </c>
      <c r="DP44" s="228">
        <v>0.31</v>
      </c>
      <c r="DQ44" s="228">
        <v>-0.01</v>
      </c>
      <c r="DR44" s="229">
        <v>-3.2300000000000002E-2</v>
      </c>
      <c r="DS44" s="228">
        <v>700</v>
      </c>
      <c r="DT44" s="228">
        <v>650</v>
      </c>
      <c r="DU44" s="228">
        <v>0.43</v>
      </c>
      <c r="DV44" s="228">
        <v>0.43</v>
      </c>
      <c r="DW44" s="228">
        <v>0</v>
      </c>
      <c r="DX44" s="229">
        <v>0</v>
      </c>
      <c r="DY44" s="229">
        <v>0.12479999999999999</v>
      </c>
      <c r="DZ44" s="230">
        <v>6028000</v>
      </c>
      <c r="EA44" s="229">
        <v>-4.0000000000000002E-4</v>
      </c>
      <c r="EB44" s="229">
        <v>0.12479999999999999</v>
      </c>
      <c r="EC44" s="228">
        <v>0.13</v>
      </c>
      <c r="ED44" s="229">
        <v>2.0000000000000001E-4</v>
      </c>
      <c r="EE44" s="230">
        <v>8958681</v>
      </c>
      <c r="EF44" s="230">
        <v>8043617</v>
      </c>
      <c r="EG44" s="229">
        <v>0.1138</v>
      </c>
      <c r="EH44" s="229">
        <v>0.53400000000000003</v>
      </c>
      <c r="EI44" s="231">
        <v>2061865.29</v>
      </c>
      <c r="EJ44" s="231">
        <v>819373.16</v>
      </c>
      <c r="EK44" s="231">
        <v>147930.18</v>
      </c>
      <c r="EL44" s="231">
        <v>27344</v>
      </c>
      <c r="EM44" s="231">
        <v>3029168.63</v>
      </c>
      <c r="EN44" s="231">
        <v>3204014.67</v>
      </c>
      <c r="EO44" s="231">
        <v>-174846.04</v>
      </c>
      <c r="EP44" s="229">
        <v>-5.4600000000000003E-2</v>
      </c>
      <c r="EQ44" s="231">
        <v>887471</v>
      </c>
      <c r="ER44" s="231">
        <v>241921</v>
      </c>
      <c r="ES44" s="231">
        <v>302974</v>
      </c>
      <c r="ET44" s="231">
        <v>284575867</v>
      </c>
      <c r="EU44" s="231">
        <v>1432366</v>
      </c>
      <c r="EV44" s="231">
        <v>1593546</v>
      </c>
      <c r="EW44" s="231">
        <v>-161180</v>
      </c>
      <c r="EX44" s="229">
        <v>-0.1011</v>
      </c>
      <c r="EY44" s="229">
        <v>0.70679999999999998</v>
      </c>
    </row>
    <row r="45" spans="1:155" ht="17.25" thickBot="1" x14ac:dyDescent="0.3">
      <c r="A45" s="226">
        <v>45940</v>
      </c>
      <c r="B45" s="227" t="s">
        <v>227</v>
      </c>
      <c r="C45" s="227" t="s">
        <v>294</v>
      </c>
      <c r="D45" s="228">
        <v>174.73</v>
      </c>
      <c r="E45" s="228">
        <v>176.98</v>
      </c>
      <c r="F45" s="228">
        <v>-2.25</v>
      </c>
      <c r="G45" s="229">
        <v>-1.2699999999999999E-2</v>
      </c>
      <c r="H45" s="228">
        <v>173.86</v>
      </c>
      <c r="I45" s="228">
        <v>176.42</v>
      </c>
      <c r="J45" s="228">
        <v>-2.56</v>
      </c>
      <c r="K45" s="229">
        <v>-1.4500000000000001E-2</v>
      </c>
      <c r="L45" s="228">
        <v>174.73</v>
      </c>
      <c r="M45" s="228">
        <v>176.98</v>
      </c>
      <c r="N45" s="228">
        <v>-2.25</v>
      </c>
      <c r="O45" s="229">
        <v>-1.2699999999999999E-2</v>
      </c>
      <c r="P45" s="228">
        <v>175.77</v>
      </c>
      <c r="Q45" s="228">
        <v>177.89</v>
      </c>
      <c r="R45" s="228">
        <v>-2.12</v>
      </c>
      <c r="S45" s="229">
        <v>-1.1900000000000001E-2</v>
      </c>
      <c r="T45" s="228">
        <v>176.79</v>
      </c>
      <c r="U45" s="228">
        <v>178.86</v>
      </c>
      <c r="V45" s="228">
        <v>-2.0699999999999998</v>
      </c>
      <c r="W45" s="229">
        <v>-1.1599999999999999E-2</v>
      </c>
      <c r="X45" s="228">
        <v>0.87</v>
      </c>
      <c r="Y45" s="228">
        <v>0.56000000000000005</v>
      </c>
      <c r="Z45" s="228">
        <v>0.31</v>
      </c>
      <c r="AA45" s="229">
        <v>5.0000000000000001E-3</v>
      </c>
      <c r="AB45" s="228">
        <v>0.87</v>
      </c>
      <c r="AC45" s="228">
        <v>0.56000000000000005</v>
      </c>
      <c r="AD45" s="228">
        <v>0.31</v>
      </c>
      <c r="AE45" s="229">
        <v>5.0000000000000001E-3</v>
      </c>
      <c r="AF45" s="228">
        <v>1.91</v>
      </c>
      <c r="AG45" s="228">
        <v>1.47</v>
      </c>
      <c r="AH45" s="228">
        <v>0.44</v>
      </c>
      <c r="AI45" s="229">
        <v>1.0999999999999999E-2</v>
      </c>
      <c r="AJ45" s="228">
        <v>2.93</v>
      </c>
      <c r="AK45" s="228">
        <v>2.44</v>
      </c>
      <c r="AL45" s="228">
        <v>0.49</v>
      </c>
      <c r="AM45" s="229">
        <v>1.6899999999999998E-2</v>
      </c>
      <c r="AN45" s="228">
        <v>174.51</v>
      </c>
      <c r="AO45" s="228">
        <v>175.5</v>
      </c>
      <c r="AP45" s="228">
        <v>0</v>
      </c>
      <c r="AQ45" s="230">
        <v>7114</v>
      </c>
      <c r="AR45" s="230">
        <v>14750</v>
      </c>
      <c r="AS45" s="230">
        <v>-7636</v>
      </c>
      <c r="AT45" s="229">
        <v>-0.51770000000000005</v>
      </c>
      <c r="AU45" s="230">
        <v>6256</v>
      </c>
      <c r="AV45" s="230">
        <v>13497</v>
      </c>
      <c r="AW45" s="230">
        <v>-7241</v>
      </c>
      <c r="AX45" s="229">
        <v>-0.53649999999999998</v>
      </c>
      <c r="AY45" s="228">
        <v>736</v>
      </c>
      <c r="AZ45" s="230">
        <v>1069</v>
      </c>
      <c r="BA45" s="228">
        <v>-333</v>
      </c>
      <c r="BB45" s="229">
        <v>-0.3115</v>
      </c>
      <c r="BC45" s="228">
        <v>122</v>
      </c>
      <c r="BD45" s="228">
        <v>184</v>
      </c>
      <c r="BE45" s="228">
        <v>-62</v>
      </c>
      <c r="BF45" s="229">
        <v>-0.33700000000000002</v>
      </c>
      <c r="BG45" s="230">
        <v>31962</v>
      </c>
      <c r="BH45" s="230">
        <v>91976</v>
      </c>
      <c r="BI45" s="230">
        <v>-60014</v>
      </c>
      <c r="BJ45" s="229">
        <v>-0.65249999999999997</v>
      </c>
      <c r="BK45" s="230">
        <v>18646</v>
      </c>
      <c r="BL45" s="230">
        <v>43724</v>
      </c>
      <c r="BM45" s="230">
        <v>-25078</v>
      </c>
      <c r="BN45" s="229">
        <v>-0.5736</v>
      </c>
      <c r="BO45" s="230">
        <v>57722</v>
      </c>
      <c r="BP45" s="230">
        <v>150450</v>
      </c>
      <c r="BQ45" s="230">
        <v>-92728</v>
      </c>
      <c r="BR45" s="229">
        <v>-0.61629999999999996</v>
      </c>
      <c r="BS45" s="230">
        <v>19714522</v>
      </c>
      <c r="BT45" s="230">
        <v>76477698</v>
      </c>
      <c r="BU45" s="230">
        <v>-56763176</v>
      </c>
      <c r="BV45" s="229">
        <v>-0.74219999999999997</v>
      </c>
      <c r="BW45" s="230">
        <v>193594500</v>
      </c>
      <c r="BX45" s="230">
        <v>193941000</v>
      </c>
      <c r="BY45" s="230">
        <v>-346500</v>
      </c>
      <c r="BZ45" s="229">
        <v>-1.8E-3</v>
      </c>
      <c r="CA45" s="230">
        <v>186642500</v>
      </c>
      <c r="CB45" s="230">
        <v>187517000</v>
      </c>
      <c r="CC45" s="230">
        <v>-874500</v>
      </c>
      <c r="CD45" s="229">
        <v>-4.7000000000000002E-3</v>
      </c>
      <c r="CE45" s="230">
        <v>5940000</v>
      </c>
      <c r="CF45" s="230">
        <v>5648500</v>
      </c>
      <c r="CG45" s="230">
        <v>291500</v>
      </c>
      <c r="CH45" s="229">
        <v>5.16E-2</v>
      </c>
      <c r="CI45" s="230">
        <v>1012000</v>
      </c>
      <c r="CJ45" s="230">
        <v>775500</v>
      </c>
      <c r="CK45" s="230">
        <v>236500</v>
      </c>
      <c r="CL45" s="229">
        <v>0.30499999999999999</v>
      </c>
      <c r="CM45" s="230">
        <v>126511000</v>
      </c>
      <c r="CN45" s="230">
        <v>114730000</v>
      </c>
      <c r="CO45" s="230">
        <v>11781000</v>
      </c>
      <c r="CP45" s="229">
        <v>0.1027</v>
      </c>
      <c r="CQ45" s="230">
        <v>83396500</v>
      </c>
      <c r="CR45" s="230">
        <v>86515000</v>
      </c>
      <c r="CS45" s="230">
        <v>-3118500</v>
      </c>
      <c r="CT45" s="229">
        <v>-3.5999999999999997E-2</v>
      </c>
      <c r="CU45" s="230">
        <v>403502000</v>
      </c>
      <c r="CV45" s="230">
        <v>395186000</v>
      </c>
      <c r="CW45" s="230">
        <v>8316000</v>
      </c>
      <c r="CX45" s="229">
        <v>2.1000000000000001E-2</v>
      </c>
      <c r="CY45" s="228">
        <v>23.46</v>
      </c>
      <c r="CZ45" s="228">
        <v>23.76</v>
      </c>
      <c r="DA45" s="228">
        <v>-0.3</v>
      </c>
      <c r="DB45" s="228">
        <v>-0.3</v>
      </c>
      <c r="DC45" s="228">
        <v>34.5</v>
      </c>
      <c r="DD45" s="228">
        <v>34.54</v>
      </c>
      <c r="DE45" s="228">
        <v>-11.04</v>
      </c>
      <c r="DF45" s="228">
        <v>-0.04</v>
      </c>
      <c r="DG45" s="228">
        <v>23.48</v>
      </c>
      <c r="DH45" s="228">
        <v>23.56</v>
      </c>
      <c r="DI45" s="228">
        <v>-0.08</v>
      </c>
      <c r="DJ45" s="228">
        <v>-0.08</v>
      </c>
      <c r="DK45" s="228">
        <v>23.43</v>
      </c>
      <c r="DL45" s="228">
        <v>24.17</v>
      </c>
      <c r="DM45" s="228">
        <v>-0.74</v>
      </c>
      <c r="DN45" s="228">
        <v>-0.74</v>
      </c>
      <c r="DO45" s="228">
        <v>0.66</v>
      </c>
      <c r="DP45" s="228">
        <v>0.75</v>
      </c>
      <c r="DQ45" s="228">
        <v>-0.09</v>
      </c>
      <c r="DR45" s="229">
        <v>-0.12</v>
      </c>
      <c r="DS45" s="228">
        <v>180</v>
      </c>
      <c r="DT45" s="228">
        <v>165</v>
      </c>
      <c r="DU45" s="228">
        <v>0.57999999999999996</v>
      </c>
      <c r="DV45" s="228">
        <v>0.48</v>
      </c>
      <c r="DW45" s="228">
        <v>0.1</v>
      </c>
      <c r="DX45" s="229">
        <v>0.20830000000000001</v>
      </c>
      <c r="DY45" s="229">
        <v>3.5900000000000001E-2</v>
      </c>
      <c r="DZ45" s="230">
        <v>6424000</v>
      </c>
      <c r="EA45" s="229">
        <v>6.0000000000000001E-3</v>
      </c>
      <c r="EB45" s="229">
        <v>3.5900000000000001E-2</v>
      </c>
      <c r="EC45" s="228">
        <v>0.99</v>
      </c>
      <c r="ED45" s="229">
        <v>5.7000000000000002E-3</v>
      </c>
      <c r="EE45" s="230">
        <v>7792241</v>
      </c>
      <c r="EF45" s="230">
        <v>32298852</v>
      </c>
      <c r="EG45" s="229">
        <v>-0.75870000000000004</v>
      </c>
      <c r="EH45" s="229">
        <v>0.39529999999999998</v>
      </c>
      <c r="EI45" s="231">
        <v>320352.78999999998</v>
      </c>
      <c r="EJ45" s="231">
        <v>177267.38</v>
      </c>
      <c r="EK45" s="231">
        <v>68333.72</v>
      </c>
      <c r="EL45" s="231">
        <v>10497</v>
      </c>
      <c r="EM45" s="231">
        <v>565953.89</v>
      </c>
      <c r="EN45" s="231">
        <v>1493547.13</v>
      </c>
      <c r="EO45" s="231">
        <v>-927593.24</v>
      </c>
      <c r="EP45" s="229">
        <v>-0.62109999999999999</v>
      </c>
      <c r="EQ45" s="231">
        <v>228042</v>
      </c>
      <c r="ER45" s="231">
        <v>137876</v>
      </c>
      <c r="ES45" s="231">
        <v>338350</v>
      </c>
      <c r="ET45" s="231">
        <v>833987639</v>
      </c>
      <c r="EU45" s="231">
        <v>704267</v>
      </c>
      <c r="EV45" s="231">
        <v>693247</v>
      </c>
      <c r="EW45" s="231">
        <v>11020</v>
      </c>
      <c r="EX45" s="229">
        <v>1.5900000000000001E-2</v>
      </c>
      <c r="EY45" s="229">
        <v>0.48380000000000001</v>
      </c>
    </row>
    <row r="46" spans="1:155" ht="17.25" thickBot="1" x14ac:dyDescent="0.3">
      <c r="A46" s="226">
        <v>45940</v>
      </c>
      <c r="B46" s="227" t="s">
        <v>221</v>
      </c>
      <c r="C46" s="227" t="s">
        <v>295</v>
      </c>
      <c r="D46" s="231">
        <v>3026.5</v>
      </c>
      <c r="E46" s="231">
        <v>3057.5</v>
      </c>
      <c r="F46" s="228">
        <v>-31</v>
      </c>
      <c r="G46" s="229">
        <v>-1.01E-2</v>
      </c>
      <c r="H46" s="231">
        <v>3028.3</v>
      </c>
      <c r="I46" s="231">
        <v>3061.7</v>
      </c>
      <c r="J46" s="228">
        <v>-33.4</v>
      </c>
      <c r="K46" s="229">
        <v>-1.09E-2</v>
      </c>
      <c r="L46" s="231">
        <v>3026.5</v>
      </c>
      <c r="M46" s="231">
        <v>3057.5</v>
      </c>
      <c r="N46" s="228">
        <v>-31</v>
      </c>
      <c r="O46" s="229">
        <v>-1.01E-2</v>
      </c>
      <c r="P46" s="231">
        <v>3043.1</v>
      </c>
      <c r="Q46" s="231">
        <v>3073.2</v>
      </c>
      <c r="R46" s="228">
        <v>-30.1</v>
      </c>
      <c r="S46" s="229">
        <v>-9.7999999999999997E-3</v>
      </c>
      <c r="T46" s="231">
        <v>3062</v>
      </c>
      <c r="U46" s="231">
        <v>3091.1</v>
      </c>
      <c r="V46" s="228">
        <v>-29.1</v>
      </c>
      <c r="W46" s="229">
        <v>-9.4000000000000004E-3</v>
      </c>
      <c r="X46" s="228">
        <v>-1.8</v>
      </c>
      <c r="Y46" s="228">
        <v>-4.2</v>
      </c>
      <c r="Z46" s="228">
        <v>2.4</v>
      </c>
      <c r="AA46" s="229">
        <v>-5.9999999999999995E-4</v>
      </c>
      <c r="AB46" s="228">
        <v>-1.8</v>
      </c>
      <c r="AC46" s="228">
        <v>-4.2</v>
      </c>
      <c r="AD46" s="228">
        <v>2.4</v>
      </c>
      <c r="AE46" s="229">
        <v>-5.9999999999999995E-4</v>
      </c>
      <c r="AF46" s="228">
        <v>14.8</v>
      </c>
      <c r="AG46" s="228">
        <v>11.5</v>
      </c>
      <c r="AH46" s="228">
        <v>3.3</v>
      </c>
      <c r="AI46" s="229">
        <v>4.8999999999999998E-3</v>
      </c>
      <c r="AJ46" s="228">
        <v>33.700000000000003</v>
      </c>
      <c r="AK46" s="228">
        <v>29.4</v>
      </c>
      <c r="AL46" s="228">
        <v>4.3</v>
      </c>
      <c r="AM46" s="229">
        <v>1.11E-2</v>
      </c>
      <c r="AN46" s="231">
        <v>3033.41</v>
      </c>
      <c r="AO46" s="231">
        <v>3047.87</v>
      </c>
      <c r="AP46" s="228">
        <v>0</v>
      </c>
      <c r="AQ46" s="230">
        <v>78465</v>
      </c>
      <c r="AR46" s="230">
        <v>41266</v>
      </c>
      <c r="AS46" s="230">
        <v>37199</v>
      </c>
      <c r="AT46" s="229">
        <v>0.90139999999999998</v>
      </c>
      <c r="AU46" s="230">
        <v>70977</v>
      </c>
      <c r="AV46" s="230">
        <v>38892</v>
      </c>
      <c r="AW46" s="230">
        <v>32085</v>
      </c>
      <c r="AX46" s="229">
        <v>0.82499999999999996</v>
      </c>
      <c r="AY46" s="230">
        <v>6526</v>
      </c>
      <c r="AZ46" s="230">
        <v>2004</v>
      </c>
      <c r="BA46" s="230">
        <v>4522</v>
      </c>
      <c r="BB46" s="229">
        <v>2.2565</v>
      </c>
      <c r="BC46" s="228">
        <v>962</v>
      </c>
      <c r="BD46" s="228">
        <v>370</v>
      </c>
      <c r="BE46" s="228">
        <v>592</v>
      </c>
      <c r="BF46" s="229">
        <v>1.6</v>
      </c>
      <c r="BG46" s="230">
        <v>494082</v>
      </c>
      <c r="BH46" s="230">
        <v>294412</v>
      </c>
      <c r="BI46" s="230">
        <v>199670</v>
      </c>
      <c r="BJ46" s="229">
        <v>0.67820000000000003</v>
      </c>
      <c r="BK46" s="230">
        <v>250240</v>
      </c>
      <c r="BL46" s="230">
        <v>155142</v>
      </c>
      <c r="BM46" s="230">
        <v>95098</v>
      </c>
      <c r="BN46" s="229">
        <v>0.61299999999999999</v>
      </c>
      <c r="BO46" s="230">
        <v>822787</v>
      </c>
      <c r="BP46" s="230">
        <v>490820</v>
      </c>
      <c r="BQ46" s="230">
        <v>331967</v>
      </c>
      <c r="BR46" s="229">
        <v>0.6764</v>
      </c>
      <c r="BS46" s="230">
        <v>9103674</v>
      </c>
      <c r="BT46" s="230">
        <v>3650809</v>
      </c>
      <c r="BU46" s="230">
        <v>5452865</v>
      </c>
      <c r="BV46" s="229">
        <v>1.4936</v>
      </c>
      <c r="BW46" s="230">
        <v>31741325</v>
      </c>
      <c r="BX46" s="230">
        <v>32354350</v>
      </c>
      <c r="BY46" s="230">
        <v>-613025</v>
      </c>
      <c r="BZ46" s="229">
        <v>-1.89E-2</v>
      </c>
      <c r="CA46" s="230">
        <v>29664775</v>
      </c>
      <c r="CB46" s="230">
        <v>30848650</v>
      </c>
      <c r="CC46" s="230">
        <v>-1183875</v>
      </c>
      <c r="CD46" s="229">
        <v>-3.8399999999999997E-2</v>
      </c>
      <c r="CE46" s="230">
        <v>1865500</v>
      </c>
      <c r="CF46" s="230">
        <v>1406125</v>
      </c>
      <c r="CG46" s="230">
        <v>459375</v>
      </c>
      <c r="CH46" s="229">
        <v>0.32669999999999999</v>
      </c>
      <c r="CI46" s="230">
        <v>211050</v>
      </c>
      <c r="CJ46" s="230">
        <v>99575</v>
      </c>
      <c r="CK46" s="230">
        <v>111475</v>
      </c>
      <c r="CL46" s="229">
        <v>1.1194999999999999</v>
      </c>
      <c r="CM46" s="230">
        <v>25050200</v>
      </c>
      <c r="CN46" s="230">
        <v>20744150</v>
      </c>
      <c r="CO46" s="230">
        <v>4306050</v>
      </c>
      <c r="CP46" s="229">
        <v>0.20760000000000001</v>
      </c>
      <c r="CQ46" s="230">
        <v>14223825</v>
      </c>
      <c r="CR46" s="230">
        <v>15180900</v>
      </c>
      <c r="CS46" s="230">
        <v>-957075</v>
      </c>
      <c r="CT46" s="229">
        <v>-6.3E-2</v>
      </c>
      <c r="CU46" s="230">
        <v>71015350</v>
      </c>
      <c r="CV46" s="230">
        <v>68279400</v>
      </c>
      <c r="CW46" s="230">
        <v>2735950</v>
      </c>
      <c r="CX46" s="229">
        <v>4.0099999999999997E-2</v>
      </c>
      <c r="CY46" s="228">
        <v>20.52</v>
      </c>
      <c r="CZ46" s="228">
        <v>24.72</v>
      </c>
      <c r="DA46" s="228">
        <v>-4.2</v>
      </c>
      <c r="DB46" s="228">
        <v>-4.2</v>
      </c>
      <c r="DC46" s="228">
        <v>24.65</v>
      </c>
      <c r="DD46" s="228">
        <v>24.67</v>
      </c>
      <c r="DE46" s="228">
        <v>-4.13</v>
      </c>
      <c r="DF46" s="228">
        <v>-0.02</v>
      </c>
      <c r="DG46" s="228">
        <v>20.420000000000002</v>
      </c>
      <c r="DH46" s="228">
        <v>23.94</v>
      </c>
      <c r="DI46" s="228">
        <v>-3.52</v>
      </c>
      <c r="DJ46" s="228">
        <v>-3.52</v>
      </c>
      <c r="DK46" s="228">
        <v>20.73</v>
      </c>
      <c r="DL46" s="228">
        <v>26.22</v>
      </c>
      <c r="DM46" s="228">
        <v>-5.49</v>
      </c>
      <c r="DN46" s="228">
        <v>-5.49</v>
      </c>
      <c r="DO46" s="228">
        <v>0.56999999999999995</v>
      </c>
      <c r="DP46" s="228">
        <v>0.73</v>
      </c>
      <c r="DQ46" s="228">
        <v>-0.16</v>
      </c>
      <c r="DR46" s="229">
        <v>-0.21920000000000001</v>
      </c>
      <c r="DS46" s="231">
        <v>3200</v>
      </c>
      <c r="DT46" s="231">
        <v>3000</v>
      </c>
      <c r="DU46" s="228">
        <v>0.51</v>
      </c>
      <c r="DV46" s="228">
        <v>0.53</v>
      </c>
      <c r="DW46" s="228">
        <v>-0.02</v>
      </c>
      <c r="DX46" s="229">
        <v>-3.7699999999999997E-2</v>
      </c>
      <c r="DY46" s="229">
        <v>6.54E-2</v>
      </c>
      <c r="DZ46" s="230">
        <v>1505700</v>
      </c>
      <c r="EA46" s="229">
        <v>5.4999999999999997E-3</v>
      </c>
      <c r="EB46" s="229">
        <v>6.54E-2</v>
      </c>
      <c r="EC46" s="228">
        <v>14.46</v>
      </c>
      <c r="ED46" s="229">
        <v>4.7999999999999996E-3</v>
      </c>
      <c r="EE46" s="230">
        <v>4639514</v>
      </c>
      <c r="EF46" s="230">
        <v>1601083</v>
      </c>
      <c r="EG46" s="229">
        <v>1.8976999999999999</v>
      </c>
      <c r="EH46" s="229">
        <v>0.50960000000000005</v>
      </c>
      <c r="EI46" s="231">
        <v>2733911.3</v>
      </c>
      <c r="EJ46" s="231">
        <v>1303774.82</v>
      </c>
      <c r="EK46" s="231">
        <v>416745.86</v>
      </c>
      <c r="EL46" s="231">
        <v>32154</v>
      </c>
      <c r="EM46" s="231">
        <v>4454431.9800000004</v>
      </c>
      <c r="EN46" s="231">
        <v>2662812.94</v>
      </c>
      <c r="EO46" s="231">
        <v>1791619.04</v>
      </c>
      <c r="EP46" s="229">
        <v>0.67279999999999995</v>
      </c>
      <c r="EQ46" s="231">
        <v>786020</v>
      </c>
      <c r="ER46" s="231">
        <v>420260</v>
      </c>
      <c r="ES46" s="231">
        <v>961036</v>
      </c>
      <c r="ET46" s="231">
        <v>123298271</v>
      </c>
      <c r="EU46" s="231">
        <v>2167316</v>
      </c>
      <c r="EV46" s="231">
        <v>2090317</v>
      </c>
      <c r="EW46" s="231">
        <v>76999</v>
      </c>
      <c r="EX46" s="229">
        <v>3.6799999999999999E-2</v>
      </c>
      <c r="EY46" s="229">
        <v>0.57599999999999996</v>
      </c>
    </row>
    <row r="47" spans="1:155" ht="17.25" thickBot="1" x14ac:dyDescent="0.3">
      <c r="A47" s="226">
        <v>45940</v>
      </c>
      <c r="B47" s="227" t="s">
        <v>221</v>
      </c>
      <c r="C47" s="227" t="s">
        <v>296</v>
      </c>
      <c r="D47" s="231">
        <v>1452.6</v>
      </c>
      <c r="E47" s="231">
        <v>1461.2</v>
      </c>
      <c r="F47" s="228">
        <v>-8.6</v>
      </c>
      <c r="G47" s="229">
        <v>-5.8999999999999999E-3</v>
      </c>
      <c r="H47" s="231">
        <v>1457.2</v>
      </c>
      <c r="I47" s="231">
        <v>1466.6</v>
      </c>
      <c r="J47" s="228">
        <v>-9.4</v>
      </c>
      <c r="K47" s="229">
        <v>-6.4000000000000003E-3</v>
      </c>
      <c r="L47" s="231">
        <v>1452.6</v>
      </c>
      <c r="M47" s="231">
        <v>1461.2</v>
      </c>
      <c r="N47" s="228">
        <v>-8.6</v>
      </c>
      <c r="O47" s="229">
        <v>-5.8999999999999999E-3</v>
      </c>
      <c r="P47" s="231">
        <v>1457.7</v>
      </c>
      <c r="Q47" s="231">
        <v>1463.5</v>
      </c>
      <c r="R47" s="228">
        <v>-5.8</v>
      </c>
      <c r="S47" s="229">
        <v>-4.0000000000000001E-3</v>
      </c>
      <c r="T47" s="231">
        <v>1465.8</v>
      </c>
      <c r="U47" s="231">
        <v>1471</v>
      </c>
      <c r="V47" s="228">
        <v>-5.2</v>
      </c>
      <c r="W47" s="229">
        <v>-3.5000000000000001E-3</v>
      </c>
      <c r="X47" s="228">
        <v>-4.5999999999999996</v>
      </c>
      <c r="Y47" s="228">
        <v>-5.4</v>
      </c>
      <c r="Z47" s="228">
        <v>0.8</v>
      </c>
      <c r="AA47" s="229">
        <v>-3.2000000000000002E-3</v>
      </c>
      <c r="AB47" s="228">
        <v>-4.5999999999999996</v>
      </c>
      <c r="AC47" s="228">
        <v>-5.4</v>
      </c>
      <c r="AD47" s="228">
        <v>0.8</v>
      </c>
      <c r="AE47" s="229">
        <v>-3.2000000000000002E-3</v>
      </c>
      <c r="AF47" s="228">
        <v>0.5</v>
      </c>
      <c r="AG47" s="228">
        <v>-3.1</v>
      </c>
      <c r="AH47" s="228">
        <v>3.6</v>
      </c>
      <c r="AI47" s="229">
        <v>2.9999999999999997E-4</v>
      </c>
      <c r="AJ47" s="228">
        <v>8.6</v>
      </c>
      <c r="AK47" s="228">
        <v>4.4000000000000004</v>
      </c>
      <c r="AL47" s="228">
        <v>4.2</v>
      </c>
      <c r="AM47" s="229">
        <v>5.8999999999999999E-3</v>
      </c>
      <c r="AN47" s="231">
        <v>1454.53</v>
      </c>
      <c r="AO47" s="231">
        <v>1460.52</v>
      </c>
      <c r="AP47" s="228">
        <v>0</v>
      </c>
      <c r="AQ47" s="230">
        <v>5098</v>
      </c>
      <c r="AR47" s="230">
        <v>5601</v>
      </c>
      <c r="AS47" s="228">
        <v>-503</v>
      </c>
      <c r="AT47" s="229">
        <v>-8.9800000000000005E-2</v>
      </c>
      <c r="AU47" s="230">
        <v>4733</v>
      </c>
      <c r="AV47" s="230">
        <v>5197</v>
      </c>
      <c r="AW47" s="228">
        <v>-464</v>
      </c>
      <c r="AX47" s="229">
        <v>-8.9300000000000004E-2</v>
      </c>
      <c r="AY47" s="228">
        <v>323</v>
      </c>
      <c r="AZ47" s="228">
        <v>386</v>
      </c>
      <c r="BA47" s="228">
        <v>-63</v>
      </c>
      <c r="BB47" s="229">
        <v>-0.16320000000000001</v>
      </c>
      <c r="BC47" s="228">
        <v>42</v>
      </c>
      <c r="BD47" s="228">
        <v>18</v>
      </c>
      <c r="BE47" s="228">
        <v>24</v>
      </c>
      <c r="BF47" s="229">
        <v>1.3332999999999999</v>
      </c>
      <c r="BG47" s="230">
        <v>9332</v>
      </c>
      <c r="BH47" s="230">
        <v>10947</v>
      </c>
      <c r="BI47" s="230">
        <v>-1615</v>
      </c>
      <c r="BJ47" s="229">
        <v>-0.14749999999999999</v>
      </c>
      <c r="BK47" s="230">
        <v>5963</v>
      </c>
      <c r="BL47" s="230">
        <v>5457</v>
      </c>
      <c r="BM47" s="228">
        <v>506</v>
      </c>
      <c r="BN47" s="229">
        <v>9.2700000000000005E-2</v>
      </c>
      <c r="BO47" s="230">
        <v>20393</v>
      </c>
      <c r="BP47" s="230">
        <v>22005</v>
      </c>
      <c r="BQ47" s="230">
        <v>-1612</v>
      </c>
      <c r="BR47" s="229">
        <v>-7.3300000000000004E-2</v>
      </c>
      <c r="BS47" s="230">
        <v>956931</v>
      </c>
      <c r="BT47" s="230">
        <v>1378311</v>
      </c>
      <c r="BU47" s="230">
        <v>-421380</v>
      </c>
      <c r="BV47" s="229">
        <v>-0.30570000000000003</v>
      </c>
      <c r="BW47" s="230">
        <v>16798800</v>
      </c>
      <c r="BX47" s="230">
        <v>16824600</v>
      </c>
      <c r="BY47" s="230">
        <v>-25800</v>
      </c>
      <c r="BZ47" s="229">
        <v>-1.5E-3</v>
      </c>
      <c r="CA47" s="230">
        <v>15254400</v>
      </c>
      <c r="CB47" s="230">
        <v>15324000</v>
      </c>
      <c r="CC47" s="230">
        <v>-69600</v>
      </c>
      <c r="CD47" s="229">
        <v>-4.4999999999999997E-3</v>
      </c>
      <c r="CE47" s="230">
        <v>1506600</v>
      </c>
      <c r="CF47" s="230">
        <v>1482000</v>
      </c>
      <c r="CG47" s="230">
        <v>24600</v>
      </c>
      <c r="CH47" s="229">
        <v>1.66E-2</v>
      </c>
      <c r="CI47" s="230">
        <v>37800</v>
      </c>
      <c r="CJ47" s="230">
        <v>18600</v>
      </c>
      <c r="CK47" s="230">
        <v>19200</v>
      </c>
      <c r="CL47" s="229">
        <v>1.0323</v>
      </c>
      <c r="CM47" s="230">
        <v>4754400</v>
      </c>
      <c r="CN47" s="230">
        <v>4371000</v>
      </c>
      <c r="CO47" s="230">
        <v>383400</v>
      </c>
      <c r="CP47" s="229">
        <v>8.77E-2</v>
      </c>
      <c r="CQ47" s="230">
        <v>4155000</v>
      </c>
      <c r="CR47" s="230">
        <v>4224000</v>
      </c>
      <c r="CS47" s="230">
        <v>-69000</v>
      </c>
      <c r="CT47" s="229">
        <v>-1.6299999999999999E-2</v>
      </c>
      <c r="CU47" s="230">
        <v>25708200</v>
      </c>
      <c r="CV47" s="230">
        <v>25419600</v>
      </c>
      <c r="CW47" s="230">
        <v>288600</v>
      </c>
      <c r="CX47" s="229">
        <v>1.14E-2</v>
      </c>
      <c r="CY47" s="228">
        <v>29.39</v>
      </c>
      <c r="CZ47" s="228">
        <v>30.17</v>
      </c>
      <c r="DA47" s="228">
        <v>-0.78</v>
      </c>
      <c r="DB47" s="228">
        <v>-0.78</v>
      </c>
      <c r="DC47" s="228">
        <v>30.2</v>
      </c>
      <c r="DD47" s="228">
        <v>30.27</v>
      </c>
      <c r="DE47" s="228">
        <v>-0.81</v>
      </c>
      <c r="DF47" s="228">
        <v>-7.0000000000000007E-2</v>
      </c>
      <c r="DG47" s="228">
        <v>29.38</v>
      </c>
      <c r="DH47" s="228">
        <v>30.04</v>
      </c>
      <c r="DI47" s="228">
        <v>-0.66</v>
      </c>
      <c r="DJ47" s="228">
        <v>-0.66</v>
      </c>
      <c r="DK47" s="228">
        <v>29.41</v>
      </c>
      <c r="DL47" s="228">
        <v>30.42</v>
      </c>
      <c r="DM47" s="228">
        <v>-1.01</v>
      </c>
      <c r="DN47" s="228">
        <v>-1.01</v>
      </c>
      <c r="DO47" s="228">
        <v>0.87</v>
      </c>
      <c r="DP47" s="228">
        <v>0.97</v>
      </c>
      <c r="DQ47" s="228">
        <v>-0.1</v>
      </c>
      <c r="DR47" s="229">
        <v>-0.1031</v>
      </c>
      <c r="DS47" s="231">
        <v>1500</v>
      </c>
      <c r="DT47" s="231">
        <v>1400</v>
      </c>
      <c r="DU47" s="228">
        <v>0.64</v>
      </c>
      <c r="DV47" s="228">
        <v>0.5</v>
      </c>
      <c r="DW47" s="228">
        <v>0.14000000000000001</v>
      </c>
      <c r="DX47" s="229">
        <v>0.28000000000000003</v>
      </c>
      <c r="DY47" s="229">
        <v>9.1899999999999996E-2</v>
      </c>
      <c r="DZ47" s="230">
        <v>1500600</v>
      </c>
      <c r="EA47" s="229">
        <v>3.5000000000000001E-3</v>
      </c>
      <c r="EB47" s="229">
        <v>9.1899999999999996E-2</v>
      </c>
      <c r="EC47" s="228">
        <v>5.99</v>
      </c>
      <c r="ED47" s="229">
        <v>4.1000000000000003E-3</v>
      </c>
      <c r="EE47" s="230">
        <v>447323</v>
      </c>
      <c r="EF47" s="230">
        <v>796920</v>
      </c>
      <c r="EG47" s="229">
        <v>-0.43869999999999998</v>
      </c>
      <c r="EH47" s="229">
        <v>0.46750000000000003</v>
      </c>
      <c r="EI47" s="231">
        <v>85108.79</v>
      </c>
      <c r="EJ47" s="231">
        <v>52271.6</v>
      </c>
      <c r="EK47" s="231">
        <v>44505.88</v>
      </c>
      <c r="EL47" s="231">
        <v>5263</v>
      </c>
      <c r="EM47" s="231">
        <v>181886.27</v>
      </c>
      <c r="EN47" s="231">
        <v>196962.54</v>
      </c>
      <c r="EO47" s="231">
        <v>-15076.27</v>
      </c>
      <c r="EP47" s="229">
        <v>-7.6499999999999999E-2</v>
      </c>
      <c r="EQ47" s="231">
        <v>72513</v>
      </c>
      <c r="ER47" s="231">
        <v>57736</v>
      </c>
      <c r="ES47" s="231">
        <v>244101</v>
      </c>
      <c r="ET47" s="231">
        <v>76137451</v>
      </c>
      <c r="EU47" s="231">
        <v>374350</v>
      </c>
      <c r="EV47" s="231">
        <v>371302</v>
      </c>
      <c r="EW47" s="231">
        <v>3048</v>
      </c>
      <c r="EX47" s="229">
        <v>8.2000000000000007E-3</v>
      </c>
      <c r="EY47" s="229">
        <v>0.3377</v>
      </c>
    </row>
    <row r="48" spans="1:155" ht="17.25" thickBot="1" x14ac:dyDescent="0.3">
      <c r="A48" s="226">
        <v>45940</v>
      </c>
      <c r="B48" s="227" t="s">
        <v>168</v>
      </c>
      <c r="C48" s="227" t="s">
        <v>297</v>
      </c>
      <c r="D48" s="231">
        <v>3550.2</v>
      </c>
      <c r="E48" s="231">
        <v>3566</v>
      </c>
      <c r="F48" s="228">
        <v>-15.8</v>
      </c>
      <c r="G48" s="229">
        <v>-4.4000000000000003E-3</v>
      </c>
      <c r="H48" s="231">
        <v>3531.9</v>
      </c>
      <c r="I48" s="231">
        <v>3550.6</v>
      </c>
      <c r="J48" s="228">
        <v>-18.7</v>
      </c>
      <c r="K48" s="229">
        <v>-5.3E-3</v>
      </c>
      <c r="L48" s="231">
        <v>3550.2</v>
      </c>
      <c r="M48" s="231">
        <v>3566</v>
      </c>
      <c r="N48" s="228">
        <v>-15.8</v>
      </c>
      <c r="O48" s="229">
        <v>-4.4000000000000003E-3</v>
      </c>
      <c r="P48" s="231">
        <v>3569.9</v>
      </c>
      <c r="Q48" s="231">
        <v>3586.3</v>
      </c>
      <c r="R48" s="228">
        <v>-16.399999999999999</v>
      </c>
      <c r="S48" s="229">
        <v>-4.5999999999999999E-3</v>
      </c>
      <c r="T48" s="231">
        <v>3592.7</v>
      </c>
      <c r="U48" s="231">
        <v>3603.6</v>
      </c>
      <c r="V48" s="228">
        <v>-10.9</v>
      </c>
      <c r="W48" s="229">
        <v>-3.0000000000000001E-3</v>
      </c>
      <c r="X48" s="228">
        <v>18.3</v>
      </c>
      <c r="Y48" s="228">
        <v>15.4</v>
      </c>
      <c r="Z48" s="228">
        <v>2.9</v>
      </c>
      <c r="AA48" s="229">
        <v>5.1999999999999998E-3</v>
      </c>
      <c r="AB48" s="228">
        <v>18.3</v>
      </c>
      <c r="AC48" s="228">
        <v>15.4</v>
      </c>
      <c r="AD48" s="228">
        <v>2.9</v>
      </c>
      <c r="AE48" s="229">
        <v>5.1999999999999998E-3</v>
      </c>
      <c r="AF48" s="228">
        <v>38</v>
      </c>
      <c r="AG48" s="228">
        <v>35.700000000000003</v>
      </c>
      <c r="AH48" s="228">
        <v>2.2999999999999998</v>
      </c>
      <c r="AI48" s="229">
        <v>1.0800000000000001E-2</v>
      </c>
      <c r="AJ48" s="228">
        <v>60.8</v>
      </c>
      <c r="AK48" s="228">
        <v>53</v>
      </c>
      <c r="AL48" s="228">
        <v>7.8</v>
      </c>
      <c r="AM48" s="229">
        <v>1.72E-2</v>
      </c>
      <c r="AN48" s="231">
        <v>3566.06</v>
      </c>
      <c r="AO48" s="231">
        <v>3587.81</v>
      </c>
      <c r="AP48" s="228">
        <v>0</v>
      </c>
      <c r="AQ48" s="230">
        <v>7414</v>
      </c>
      <c r="AR48" s="230">
        <v>5627</v>
      </c>
      <c r="AS48" s="230">
        <v>1787</v>
      </c>
      <c r="AT48" s="229">
        <v>0.31759999999999999</v>
      </c>
      <c r="AU48" s="230">
        <v>6779</v>
      </c>
      <c r="AV48" s="230">
        <v>5226</v>
      </c>
      <c r="AW48" s="230">
        <v>1553</v>
      </c>
      <c r="AX48" s="229">
        <v>0.29720000000000002</v>
      </c>
      <c r="AY48" s="228">
        <v>500</v>
      </c>
      <c r="AZ48" s="228">
        <v>365</v>
      </c>
      <c r="BA48" s="228">
        <v>135</v>
      </c>
      <c r="BB48" s="229">
        <v>0.36990000000000001</v>
      </c>
      <c r="BC48" s="228">
        <v>135</v>
      </c>
      <c r="BD48" s="228">
        <v>36</v>
      </c>
      <c r="BE48" s="228">
        <v>99</v>
      </c>
      <c r="BF48" s="229">
        <v>2.75</v>
      </c>
      <c r="BG48" s="230">
        <v>31592</v>
      </c>
      <c r="BH48" s="230">
        <v>29249</v>
      </c>
      <c r="BI48" s="230">
        <v>2343</v>
      </c>
      <c r="BJ48" s="229">
        <v>8.0100000000000005E-2</v>
      </c>
      <c r="BK48" s="230">
        <v>19423</v>
      </c>
      <c r="BL48" s="230">
        <v>22479</v>
      </c>
      <c r="BM48" s="230">
        <v>-3056</v>
      </c>
      <c r="BN48" s="229">
        <v>-0.13589999999999999</v>
      </c>
      <c r="BO48" s="230">
        <v>58429</v>
      </c>
      <c r="BP48" s="230">
        <v>57355</v>
      </c>
      <c r="BQ48" s="230">
        <v>1074</v>
      </c>
      <c r="BR48" s="229">
        <v>1.8700000000000001E-2</v>
      </c>
      <c r="BS48" s="230">
        <v>838987</v>
      </c>
      <c r="BT48" s="230">
        <v>622629</v>
      </c>
      <c r="BU48" s="230">
        <v>216358</v>
      </c>
      <c r="BV48" s="229">
        <v>0.34749999999999998</v>
      </c>
      <c r="BW48" s="230">
        <v>11127375</v>
      </c>
      <c r="BX48" s="230">
        <v>11250575</v>
      </c>
      <c r="BY48" s="230">
        <v>-123200</v>
      </c>
      <c r="BZ48" s="229">
        <v>-1.0999999999999999E-2</v>
      </c>
      <c r="CA48" s="230">
        <v>10924900</v>
      </c>
      <c r="CB48" s="230">
        <v>11066475</v>
      </c>
      <c r="CC48" s="230">
        <v>-141575</v>
      </c>
      <c r="CD48" s="229">
        <v>-1.2800000000000001E-2</v>
      </c>
      <c r="CE48" s="230">
        <v>165025</v>
      </c>
      <c r="CF48" s="230">
        <v>162400</v>
      </c>
      <c r="CG48" s="230">
        <v>2625</v>
      </c>
      <c r="CH48" s="229">
        <v>1.6199999999999999E-2</v>
      </c>
      <c r="CI48" s="230">
        <v>37450</v>
      </c>
      <c r="CJ48" s="230">
        <v>21700</v>
      </c>
      <c r="CK48" s="230">
        <v>15750</v>
      </c>
      <c r="CL48" s="229">
        <v>0.7258</v>
      </c>
      <c r="CM48" s="230">
        <v>4688600</v>
      </c>
      <c r="CN48" s="230">
        <v>4796575</v>
      </c>
      <c r="CO48" s="230">
        <v>-107975</v>
      </c>
      <c r="CP48" s="229">
        <v>-2.2499999999999999E-2</v>
      </c>
      <c r="CQ48" s="230">
        <v>2934750</v>
      </c>
      <c r="CR48" s="230">
        <v>3088050</v>
      </c>
      <c r="CS48" s="230">
        <v>-153300</v>
      </c>
      <c r="CT48" s="229">
        <v>-4.9599999999999998E-2</v>
      </c>
      <c r="CU48" s="230">
        <v>18750725</v>
      </c>
      <c r="CV48" s="230">
        <v>19135200</v>
      </c>
      <c r="CW48" s="230">
        <v>-384475</v>
      </c>
      <c r="CX48" s="229">
        <v>-2.01E-2</v>
      </c>
      <c r="CY48" s="228">
        <v>17.579999999999998</v>
      </c>
      <c r="CZ48" s="228">
        <v>18.11</v>
      </c>
      <c r="DA48" s="228">
        <v>-0.53</v>
      </c>
      <c r="DB48" s="228">
        <v>-0.53</v>
      </c>
      <c r="DC48" s="228">
        <v>26.18</v>
      </c>
      <c r="DD48" s="228">
        <v>26.23</v>
      </c>
      <c r="DE48" s="228">
        <v>-8.6</v>
      </c>
      <c r="DF48" s="228">
        <v>-0.05</v>
      </c>
      <c r="DG48" s="228">
        <v>18.079999999999998</v>
      </c>
      <c r="DH48" s="228">
        <v>18.25</v>
      </c>
      <c r="DI48" s="228">
        <v>-0.17</v>
      </c>
      <c r="DJ48" s="228">
        <v>-0.17</v>
      </c>
      <c r="DK48" s="228">
        <v>16.77</v>
      </c>
      <c r="DL48" s="228">
        <v>17.93</v>
      </c>
      <c r="DM48" s="228">
        <v>-1.1599999999999999</v>
      </c>
      <c r="DN48" s="228">
        <v>-1.1599999999999999</v>
      </c>
      <c r="DO48" s="228">
        <v>0.63</v>
      </c>
      <c r="DP48" s="228">
        <v>0.64</v>
      </c>
      <c r="DQ48" s="228">
        <v>-0.01</v>
      </c>
      <c r="DR48" s="229">
        <v>-1.5599999999999999E-2</v>
      </c>
      <c r="DS48" s="231">
        <v>3400</v>
      </c>
      <c r="DT48" s="231">
        <v>3500</v>
      </c>
      <c r="DU48" s="228">
        <v>0.61</v>
      </c>
      <c r="DV48" s="228">
        <v>0.77</v>
      </c>
      <c r="DW48" s="228">
        <v>-0.16</v>
      </c>
      <c r="DX48" s="229">
        <v>-0.20780000000000001</v>
      </c>
      <c r="DY48" s="229">
        <v>1.8200000000000001E-2</v>
      </c>
      <c r="DZ48" s="230">
        <v>184100</v>
      </c>
      <c r="EA48" s="229">
        <v>5.4999999999999997E-3</v>
      </c>
      <c r="EB48" s="229">
        <v>1.8200000000000001E-2</v>
      </c>
      <c r="EC48" s="228">
        <v>21.75</v>
      </c>
      <c r="ED48" s="229">
        <v>6.1000000000000004E-3</v>
      </c>
      <c r="EE48" s="230">
        <v>532329</v>
      </c>
      <c r="EF48" s="230">
        <v>317035</v>
      </c>
      <c r="EG48" s="229">
        <v>0.67910000000000004</v>
      </c>
      <c r="EH48" s="229">
        <v>0.63449999999999995</v>
      </c>
      <c r="EI48" s="231">
        <v>204061.92</v>
      </c>
      <c r="EJ48" s="231">
        <v>119708.77</v>
      </c>
      <c r="EK48" s="231">
        <v>46298.06</v>
      </c>
      <c r="EL48" s="231">
        <v>13317</v>
      </c>
      <c r="EM48" s="231">
        <v>370068.75</v>
      </c>
      <c r="EN48" s="231">
        <v>361881.41</v>
      </c>
      <c r="EO48" s="231">
        <v>8187.34</v>
      </c>
      <c r="EP48" s="229">
        <v>2.2599999999999999E-2</v>
      </c>
      <c r="EQ48" s="231">
        <v>169607</v>
      </c>
      <c r="ER48" s="231">
        <v>100308</v>
      </c>
      <c r="ES48" s="231">
        <v>395092</v>
      </c>
      <c r="ET48" s="231">
        <v>41744334</v>
      </c>
      <c r="EU48" s="231">
        <v>665007</v>
      </c>
      <c r="EV48" s="231">
        <v>680342</v>
      </c>
      <c r="EW48" s="231">
        <v>-15335</v>
      </c>
      <c r="EX48" s="229">
        <v>-2.2499999999999999E-2</v>
      </c>
      <c r="EY48" s="229">
        <v>0.44919999999999999</v>
      </c>
    </row>
    <row r="49" spans="1:155" ht="17.25" thickBot="1" x14ac:dyDescent="0.3">
      <c r="A49" s="226">
        <v>45940</v>
      </c>
      <c r="B49" s="227" t="s">
        <v>197</v>
      </c>
      <c r="C49" s="227" t="s">
        <v>482</v>
      </c>
      <c r="D49" s="231">
        <v>4702.3</v>
      </c>
      <c r="E49" s="231">
        <v>4684.8</v>
      </c>
      <c r="F49" s="228">
        <v>17.5</v>
      </c>
      <c r="G49" s="229">
        <v>3.7000000000000002E-3</v>
      </c>
      <c r="H49" s="231">
        <v>4691.1000000000004</v>
      </c>
      <c r="I49" s="231">
        <v>4660.8999999999996</v>
      </c>
      <c r="J49" s="228">
        <v>30.2</v>
      </c>
      <c r="K49" s="229">
        <v>6.4999999999999997E-3</v>
      </c>
      <c r="L49" s="231">
        <v>4702.3</v>
      </c>
      <c r="M49" s="231">
        <v>4684.8</v>
      </c>
      <c r="N49" s="228">
        <v>17.5</v>
      </c>
      <c r="O49" s="229">
        <v>3.7000000000000002E-3</v>
      </c>
      <c r="P49" s="231">
        <v>4729.1000000000004</v>
      </c>
      <c r="Q49" s="231">
        <v>4710.5</v>
      </c>
      <c r="R49" s="228">
        <v>18.600000000000001</v>
      </c>
      <c r="S49" s="229">
        <v>3.8999999999999998E-3</v>
      </c>
      <c r="T49" s="231">
        <v>4756.2</v>
      </c>
      <c r="U49" s="231">
        <v>4734.5</v>
      </c>
      <c r="V49" s="228">
        <v>21.7</v>
      </c>
      <c r="W49" s="229">
        <v>4.5999999999999999E-3</v>
      </c>
      <c r="X49" s="228">
        <v>11.2</v>
      </c>
      <c r="Y49" s="228">
        <v>23.9</v>
      </c>
      <c r="Z49" s="228">
        <v>-12.7</v>
      </c>
      <c r="AA49" s="229">
        <v>2.3999999999999998E-3</v>
      </c>
      <c r="AB49" s="228">
        <v>11.2</v>
      </c>
      <c r="AC49" s="228">
        <v>23.9</v>
      </c>
      <c r="AD49" s="228">
        <v>-12.7</v>
      </c>
      <c r="AE49" s="229">
        <v>2.3999999999999998E-3</v>
      </c>
      <c r="AF49" s="228">
        <v>38</v>
      </c>
      <c r="AG49" s="228">
        <v>49.6</v>
      </c>
      <c r="AH49" s="228">
        <v>-11.6</v>
      </c>
      <c r="AI49" s="229">
        <v>8.0999999999999996E-3</v>
      </c>
      <c r="AJ49" s="228">
        <v>65.099999999999994</v>
      </c>
      <c r="AK49" s="228">
        <v>73.599999999999994</v>
      </c>
      <c r="AL49" s="228">
        <v>-8.5</v>
      </c>
      <c r="AM49" s="229">
        <v>1.3899999999999999E-2</v>
      </c>
      <c r="AN49" s="231">
        <v>4719.09</v>
      </c>
      <c r="AO49" s="231">
        <v>4741.58</v>
      </c>
      <c r="AP49" s="228">
        <v>0</v>
      </c>
      <c r="AQ49" s="230">
        <v>11243</v>
      </c>
      <c r="AR49" s="230">
        <v>9577</v>
      </c>
      <c r="AS49" s="230">
        <v>1666</v>
      </c>
      <c r="AT49" s="229">
        <v>0.17399999999999999</v>
      </c>
      <c r="AU49" s="230">
        <v>10199</v>
      </c>
      <c r="AV49" s="230">
        <v>8365</v>
      </c>
      <c r="AW49" s="230">
        <v>1834</v>
      </c>
      <c r="AX49" s="229">
        <v>0.21920000000000001</v>
      </c>
      <c r="AY49" s="228">
        <v>806</v>
      </c>
      <c r="AZ49" s="230">
        <v>1015</v>
      </c>
      <c r="BA49" s="228">
        <v>-209</v>
      </c>
      <c r="BB49" s="229">
        <v>-0.2059</v>
      </c>
      <c r="BC49" s="228">
        <v>238</v>
      </c>
      <c r="BD49" s="228">
        <v>197</v>
      </c>
      <c r="BE49" s="228">
        <v>41</v>
      </c>
      <c r="BF49" s="229">
        <v>0.20810000000000001</v>
      </c>
      <c r="BG49" s="230">
        <v>66857</v>
      </c>
      <c r="BH49" s="230">
        <v>60744</v>
      </c>
      <c r="BI49" s="230">
        <v>6113</v>
      </c>
      <c r="BJ49" s="229">
        <v>0.10059999999999999</v>
      </c>
      <c r="BK49" s="230">
        <v>20421</v>
      </c>
      <c r="BL49" s="230">
        <v>18983</v>
      </c>
      <c r="BM49" s="230">
        <v>1438</v>
      </c>
      <c r="BN49" s="229">
        <v>7.5800000000000006E-2</v>
      </c>
      <c r="BO49" s="230">
        <v>98521</v>
      </c>
      <c r="BP49" s="230">
        <v>89304</v>
      </c>
      <c r="BQ49" s="230">
        <v>9217</v>
      </c>
      <c r="BR49" s="229">
        <v>0.1032</v>
      </c>
      <c r="BS49" s="230">
        <v>804138</v>
      </c>
      <c r="BT49" s="230">
        <v>780149</v>
      </c>
      <c r="BU49" s="230">
        <v>23989</v>
      </c>
      <c r="BV49" s="229">
        <v>3.0700000000000002E-2</v>
      </c>
      <c r="BW49" s="230">
        <v>9154100</v>
      </c>
      <c r="BX49" s="230">
        <v>9139800</v>
      </c>
      <c r="BY49" s="230">
        <v>14300</v>
      </c>
      <c r="BZ49" s="229">
        <v>1.6000000000000001E-3</v>
      </c>
      <c r="CA49" s="230">
        <v>8611600</v>
      </c>
      <c r="CB49" s="230">
        <v>8615600</v>
      </c>
      <c r="CC49" s="230">
        <v>-4000</v>
      </c>
      <c r="CD49" s="229">
        <v>-5.0000000000000001E-4</v>
      </c>
      <c r="CE49" s="230">
        <v>485500</v>
      </c>
      <c r="CF49" s="230">
        <v>472100</v>
      </c>
      <c r="CG49" s="230">
        <v>13400</v>
      </c>
      <c r="CH49" s="229">
        <v>2.8400000000000002E-2</v>
      </c>
      <c r="CI49" s="230">
        <v>57000</v>
      </c>
      <c r="CJ49" s="230">
        <v>52100</v>
      </c>
      <c r="CK49" s="230">
        <v>4900</v>
      </c>
      <c r="CL49" s="229">
        <v>9.4E-2</v>
      </c>
      <c r="CM49" s="230">
        <v>6888700</v>
      </c>
      <c r="CN49" s="230">
        <v>7051500</v>
      </c>
      <c r="CO49" s="230">
        <v>-162800</v>
      </c>
      <c r="CP49" s="229">
        <v>-2.3099999999999999E-2</v>
      </c>
      <c r="CQ49" s="230">
        <v>3062400</v>
      </c>
      <c r="CR49" s="230">
        <v>3157100</v>
      </c>
      <c r="CS49" s="230">
        <v>-94700</v>
      </c>
      <c r="CT49" s="229">
        <v>-0.03</v>
      </c>
      <c r="CU49" s="230">
        <v>19105200</v>
      </c>
      <c r="CV49" s="230">
        <v>19348400</v>
      </c>
      <c r="CW49" s="230">
        <v>-243200</v>
      </c>
      <c r="CX49" s="229">
        <v>-1.26E-2</v>
      </c>
      <c r="CY49" s="228">
        <v>31.09</v>
      </c>
      <c r="CZ49" s="228">
        <v>31.88</v>
      </c>
      <c r="DA49" s="228">
        <v>-0.79</v>
      </c>
      <c r="DB49" s="228">
        <v>-0.79</v>
      </c>
      <c r="DC49" s="228">
        <v>45.34</v>
      </c>
      <c r="DD49" s="228">
        <v>45.45</v>
      </c>
      <c r="DE49" s="228">
        <v>-14.25</v>
      </c>
      <c r="DF49" s="228">
        <v>-0.11</v>
      </c>
      <c r="DG49" s="228">
        <v>31.58</v>
      </c>
      <c r="DH49" s="228">
        <v>32.229999999999997</v>
      </c>
      <c r="DI49" s="228">
        <v>-0.65</v>
      </c>
      <c r="DJ49" s="228">
        <v>-0.65</v>
      </c>
      <c r="DK49" s="228">
        <v>29.46</v>
      </c>
      <c r="DL49" s="228">
        <v>30.75</v>
      </c>
      <c r="DM49" s="228">
        <v>-1.29</v>
      </c>
      <c r="DN49" s="228">
        <v>-1.29</v>
      </c>
      <c r="DO49" s="228">
        <v>0.44</v>
      </c>
      <c r="DP49" s="228">
        <v>0.45</v>
      </c>
      <c r="DQ49" s="228">
        <v>-0.01</v>
      </c>
      <c r="DR49" s="229">
        <v>-2.2200000000000001E-2</v>
      </c>
      <c r="DS49" s="231">
        <v>5500</v>
      </c>
      <c r="DT49" s="231">
        <v>4700</v>
      </c>
      <c r="DU49" s="228">
        <v>0.31</v>
      </c>
      <c r="DV49" s="228">
        <v>0.31</v>
      </c>
      <c r="DW49" s="228">
        <v>0</v>
      </c>
      <c r="DX49" s="229">
        <v>0</v>
      </c>
      <c r="DY49" s="229">
        <v>5.9299999999999999E-2</v>
      </c>
      <c r="DZ49" s="230">
        <v>524200</v>
      </c>
      <c r="EA49" s="229">
        <v>5.7000000000000002E-3</v>
      </c>
      <c r="EB49" s="229">
        <v>5.9299999999999999E-2</v>
      </c>
      <c r="EC49" s="228">
        <v>22.49</v>
      </c>
      <c r="ED49" s="229">
        <v>4.7999999999999996E-3</v>
      </c>
      <c r="EE49" s="230">
        <v>424716</v>
      </c>
      <c r="EF49" s="230">
        <v>415454</v>
      </c>
      <c r="EG49" s="229">
        <v>2.23E-2</v>
      </c>
      <c r="EH49" s="229">
        <v>0.5282</v>
      </c>
      <c r="EI49" s="231">
        <v>337726.76</v>
      </c>
      <c r="EJ49" s="231">
        <v>94294.52</v>
      </c>
      <c r="EK49" s="231">
        <v>53087.74</v>
      </c>
      <c r="EL49" s="231">
        <v>18802</v>
      </c>
      <c r="EM49" s="231">
        <v>485109.02</v>
      </c>
      <c r="EN49" s="231">
        <v>438768.62</v>
      </c>
      <c r="EO49" s="231">
        <v>46340.4</v>
      </c>
      <c r="EP49" s="229">
        <v>0.1056</v>
      </c>
      <c r="EQ49" s="231">
        <v>353975</v>
      </c>
      <c r="ER49" s="231">
        <v>143932</v>
      </c>
      <c r="ES49" s="231">
        <v>430614</v>
      </c>
      <c r="ET49" s="231">
        <v>33590487</v>
      </c>
      <c r="EU49" s="231">
        <v>928521</v>
      </c>
      <c r="EV49" s="231">
        <v>937809</v>
      </c>
      <c r="EW49" s="231">
        <v>-9288</v>
      </c>
      <c r="EX49" s="229">
        <v>-9.9000000000000008E-3</v>
      </c>
      <c r="EY49" s="229">
        <v>0.56879999999999997</v>
      </c>
    </row>
    <row r="50" spans="1:155" ht="17.25" thickBot="1" x14ac:dyDescent="0.3">
      <c r="A50" s="226">
        <v>45940</v>
      </c>
      <c r="B50" s="227" t="s">
        <v>157</v>
      </c>
      <c r="C50" s="227" t="s">
        <v>302</v>
      </c>
      <c r="D50" s="231">
        <v>12315</v>
      </c>
      <c r="E50" s="231">
        <v>12225</v>
      </c>
      <c r="F50" s="228">
        <v>90</v>
      </c>
      <c r="G50" s="229">
        <v>7.4000000000000003E-3</v>
      </c>
      <c r="H50" s="231">
        <v>12281</v>
      </c>
      <c r="I50" s="231">
        <v>12192</v>
      </c>
      <c r="J50" s="228">
        <v>89</v>
      </c>
      <c r="K50" s="229">
        <v>7.3000000000000001E-3</v>
      </c>
      <c r="L50" s="231">
        <v>12315</v>
      </c>
      <c r="M50" s="231">
        <v>12225</v>
      </c>
      <c r="N50" s="228">
        <v>90</v>
      </c>
      <c r="O50" s="229">
        <v>7.4000000000000003E-3</v>
      </c>
      <c r="P50" s="231">
        <v>12383</v>
      </c>
      <c r="Q50" s="231">
        <v>12293</v>
      </c>
      <c r="R50" s="228">
        <v>90</v>
      </c>
      <c r="S50" s="229">
        <v>7.3000000000000001E-3</v>
      </c>
      <c r="T50" s="231">
        <v>12458</v>
      </c>
      <c r="U50" s="231">
        <v>12356</v>
      </c>
      <c r="V50" s="228">
        <v>102</v>
      </c>
      <c r="W50" s="229">
        <v>8.3000000000000001E-3</v>
      </c>
      <c r="X50" s="228">
        <v>34</v>
      </c>
      <c r="Y50" s="228">
        <v>33</v>
      </c>
      <c r="Z50" s="228">
        <v>1</v>
      </c>
      <c r="AA50" s="229">
        <v>2.8E-3</v>
      </c>
      <c r="AB50" s="228">
        <v>34</v>
      </c>
      <c r="AC50" s="228">
        <v>33</v>
      </c>
      <c r="AD50" s="228">
        <v>1</v>
      </c>
      <c r="AE50" s="229">
        <v>2.8E-3</v>
      </c>
      <c r="AF50" s="228">
        <v>102</v>
      </c>
      <c r="AG50" s="228">
        <v>101</v>
      </c>
      <c r="AH50" s="228">
        <v>1</v>
      </c>
      <c r="AI50" s="229">
        <v>8.3000000000000001E-3</v>
      </c>
      <c r="AJ50" s="228">
        <v>177</v>
      </c>
      <c r="AK50" s="228">
        <v>164</v>
      </c>
      <c r="AL50" s="228">
        <v>13</v>
      </c>
      <c r="AM50" s="229">
        <v>1.44E-2</v>
      </c>
      <c r="AN50" s="231">
        <v>12311.82</v>
      </c>
      <c r="AO50" s="231">
        <v>12374.8</v>
      </c>
      <c r="AP50" s="228">
        <v>0</v>
      </c>
      <c r="AQ50" s="230">
        <v>3871</v>
      </c>
      <c r="AR50" s="230">
        <v>4090</v>
      </c>
      <c r="AS50" s="228">
        <v>-219</v>
      </c>
      <c r="AT50" s="229">
        <v>-5.3499999999999999E-2</v>
      </c>
      <c r="AU50" s="230">
        <v>3516</v>
      </c>
      <c r="AV50" s="230">
        <v>3871</v>
      </c>
      <c r="AW50" s="228">
        <v>-355</v>
      </c>
      <c r="AX50" s="229">
        <v>-9.1700000000000004E-2</v>
      </c>
      <c r="AY50" s="228">
        <v>277</v>
      </c>
      <c r="AZ50" s="228">
        <v>191</v>
      </c>
      <c r="BA50" s="228">
        <v>86</v>
      </c>
      <c r="BB50" s="229">
        <v>0.45029999999999998</v>
      </c>
      <c r="BC50" s="228">
        <v>78</v>
      </c>
      <c r="BD50" s="228">
        <v>28</v>
      </c>
      <c r="BE50" s="228">
        <v>50</v>
      </c>
      <c r="BF50" s="229">
        <v>1.7857000000000001</v>
      </c>
      <c r="BG50" s="230">
        <v>17084</v>
      </c>
      <c r="BH50" s="230">
        <v>14006</v>
      </c>
      <c r="BI50" s="230">
        <v>3078</v>
      </c>
      <c r="BJ50" s="229">
        <v>0.2198</v>
      </c>
      <c r="BK50" s="230">
        <v>8437</v>
      </c>
      <c r="BL50" s="230">
        <v>7205</v>
      </c>
      <c r="BM50" s="230">
        <v>1232</v>
      </c>
      <c r="BN50" s="229">
        <v>0.17100000000000001</v>
      </c>
      <c r="BO50" s="230">
        <v>29392</v>
      </c>
      <c r="BP50" s="230">
        <v>25301</v>
      </c>
      <c r="BQ50" s="230">
        <v>4091</v>
      </c>
      <c r="BR50" s="229">
        <v>0.16170000000000001</v>
      </c>
      <c r="BS50" s="230">
        <v>201512</v>
      </c>
      <c r="BT50" s="230">
        <v>175072</v>
      </c>
      <c r="BU50" s="230">
        <v>26440</v>
      </c>
      <c r="BV50" s="229">
        <v>0.151</v>
      </c>
      <c r="BW50" s="230">
        <v>2331150</v>
      </c>
      <c r="BX50" s="230">
        <v>2351450</v>
      </c>
      <c r="BY50" s="230">
        <v>-20300</v>
      </c>
      <c r="BZ50" s="229">
        <v>-8.6E-3</v>
      </c>
      <c r="CA50" s="230">
        <v>2295800</v>
      </c>
      <c r="CB50" s="230">
        <v>2322750</v>
      </c>
      <c r="CC50" s="230">
        <v>-26950</v>
      </c>
      <c r="CD50" s="229">
        <v>-1.1599999999999999E-2</v>
      </c>
      <c r="CE50" s="230">
        <v>29650</v>
      </c>
      <c r="CF50" s="230">
        <v>26100</v>
      </c>
      <c r="CG50" s="230">
        <v>3550</v>
      </c>
      <c r="CH50" s="229">
        <v>0.13600000000000001</v>
      </c>
      <c r="CI50" s="230">
        <v>5700</v>
      </c>
      <c r="CJ50" s="230">
        <v>2600</v>
      </c>
      <c r="CK50" s="230">
        <v>3100</v>
      </c>
      <c r="CL50" s="229">
        <v>1.1922999999999999</v>
      </c>
      <c r="CM50" s="230">
        <v>628300</v>
      </c>
      <c r="CN50" s="230">
        <v>657900</v>
      </c>
      <c r="CO50" s="230">
        <v>-29600</v>
      </c>
      <c r="CP50" s="229">
        <v>-4.4999999999999998E-2</v>
      </c>
      <c r="CQ50" s="230">
        <v>411700</v>
      </c>
      <c r="CR50" s="230">
        <v>418950</v>
      </c>
      <c r="CS50" s="230">
        <v>-7250</v>
      </c>
      <c r="CT50" s="229">
        <v>-1.7299999999999999E-2</v>
      </c>
      <c r="CU50" s="230">
        <v>3371150</v>
      </c>
      <c r="CV50" s="230">
        <v>3428300</v>
      </c>
      <c r="CW50" s="230">
        <v>-57150</v>
      </c>
      <c r="CX50" s="229">
        <v>-1.67E-2</v>
      </c>
      <c r="CY50" s="228">
        <v>20.45</v>
      </c>
      <c r="CZ50" s="228">
        <v>20.76</v>
      </c>
      <c r="DA50" s="228">
        <v>-0.31</v>
      </c>
      <c r="DB50" s="228">
        <v>-0.31</v>
      </c>
      <c r="DC50" s="228">
        <v>25.49</v>
      </c>
      <c r="DD50" s="228">
        <v>25.54</v>
      </c>
      <c r="DE50" s="228">
        <v>-5.04</v>
      </c>
      <c r="DF50" s="228">
        <v>-0.05</v>
      </c>
      <c r="DG50" s="228">
        <v>20.2</v>
      </c>
      <c r="DH50" s="228">
        <v>20.440000000000001</v>
      </c>
      <c r="DI50" s="228">
        <v>-0.24</v>
      </c>
      <c r="DJ50" s="228">
        <v>-0.24</v>
      </c>
      <c r="DK50" s="228">
        <v>20.96</v>
      </c>
      <c r="DL50" s="228">
        <v>21.39</v>
      </c>
      <c r="DM50" s="228">
        <v>-0.43</v>
      </c>
      <c r="DN50" s="228">
        <v>-0.43</v>
      </c>
      <c r="DO50" s="228">
        <v>0.66</v>
      </c>
      <c r="DP50" s="228">
        <v>0.64</v>
      </c>
      <c r="DQ50" s="228">
        <v>0.02</v>
      </c>
      <c r="DR50" s="229">
        <v>3.1300000000000001E-2</v>
      </c>
      <c r="DS50" s="231">
        <v>13000</v>
      </c>
      <c r="DT50" s="231">
        <v>12000</v>
      </c>
      <c r="DU50" s="228">
        <v>0.49</v>
      </c>
      <c r="DV50" s="228">
        <v>0.51</v>
      </c>
      <c r="DW50" s="228">
        <v>-0.02</v>
      </c>
      <c r="DX50" s="229">
        <v>-3.9199999999999999E-2</v>
      </c>
      <c r="DY50" s="229">
        <v>1.52E-2</v>
      </c>
      <c r="DZ50" s="230">
        <v>28700</v>
      </c>
      <c r="EA50" s="229">
        <v>5.4999999999999997E-3</v>
      </c>
      <c r="EB50" s="229">
        <v>1.52E-2</v>
      </c>
      <c r="EC50" s="228">
        <v>62.98</v>
      </c>
      <c r="ED50" s="229">
        <v>5.1000000000000004E-3</v>
      </c>
      <c r="EE50" s="230">
        <v>138635</v>
      </c>
      <c r="EF50" s="230">
        <v>106261</v>
      </c>
      <c r="EG50" s="229">
        <v>0.30470000000000003</v>
      </c>
      <c r="EH50" s="229">
        <v>0.68799999999999994</v>
      </c>
      <c r="EI50" s="231">
        <v>108555.9</v>
      </c>
      <c r="EJ50" s="231">
        <v>50194.29</v>
      </c>
      <c r="EK50" s="231">
        <v>23843.97</v>
      </c>
      <c r="EL50" s="231">
        <v>4458</v>
      </c>
      <c r="EM50" s="231">
        <v>182594.16</v>
      </c>
      <c r="EN50" s="231">
        <v>154902.49</v>
      </c>
      <c r="EO50" s="231">
        <v>27691.67</v>
      </c>
      <c r="EP50" s="229">
        <v>0.17879999999999999</v>
      </c>
      <c r="EQ50" s="231">
        <v>80345</v>
      </c>
      <c r="ER50" s="231">
        <v>48321</v>
      </c>
      <c r="ES50" s="231">
        <v>287109</v>
      </c>
      <c r="ET50" s="231">
        <v>11962066</v>
      </c>
      <c r="EU50" s="231">
        <v>415775</v>
      </c>
      <c r="EV50" s="231">
        <v>420628</v>
      </c>
      <c r="EW50" s="231">
        <v>-4853</v>
      </c>
      <c r="EX50" s="229">
        <v>-1.15E-2</v>
      </c>
      <c r="EY50" s="229">
        <v>0.28179999999999999</v>
      </c>
    </row>
    <row r="51" spans="1:155" ht="17.25" thickBot="1" x14ac:dyDescent="0.3">
      <c r="A51" s="226">
        <v>45940</v>
      </c>
      <c r="B51" s="227" t="s">
        <v>221</v>
      </c>
      <c r="C51" s="227" t="s">
        <v>306</v>
      </c>
      <c r="D51" s="228">
        <v>249.13</v>
      </c>
      <c r="E51" s="228">
        <v>246.2</v>
      </c>
      <c r="F51" s="228">
        <v>2.93</v>
      </c>
      <c r="G51" s="229">
        <v>1.1900000000000001E-2</v>
      </c>
      <c r="H51" s="228">
        <v>248.7</v>
      </c>
      <c r="I51" s="228">
        <v>246.4</v>
      </c>
      <c r="J51" s="228">
        <v>2.2999999999999998</v>
      </c>
      <c r="K51" s="229">
        <v>9.2999999999999992E-3</v>
      </c>
      <c r="L51" s="228">
        <v>249.13</v>
      </c>
      <c r="M51" s="228">
        <v>246.2</v>
      </c>
      <c r="N51" s="228">
        <v>2.93</v>
      </c>
      <c r="O51" s="229">
        <v>1.1900000000000001E-2</v>
      </c>
      <c r="P51" s="228">
        <v>248.13</v>
      </c>
      <c r="Q51" s="228">
        <v>245.06</v>
      </c>
      <c r="R51" s="228">
        <v>3.07</v>
      </c>
      <c r="S51" s="229">
        <v>1.2500000000000001E-2</v>
      </c>
      <c r="T51" s="228">
        <v>247.62</v>
      </c>
      <c r="U51" s="228">
        <v>244.67</v>
      </c>
      <c r="V51" s="228">
        <v>2.95</v>
      </c>
      <c r="W51" s="229">
        <v>1.21E-2</v>
      </c>
      <c r="X51" s="228">
        <v>0.43</v>
      </c>
      <c r="Y51" s="228">
        <v>-0.2</v>
      </c>
      <c r="Z51" s="228">
        <v>0.63</v>
      </c>
      <c r="AA51" s="229">
        <v>1.6999999999999999E-3</v>
      </c>
      <c r="AB51" s="228">
        <v>0.43</v>
      </c>
      <c r="AC51" s="228">
        <v>-0.2</v>
      </c>
      <c r="AD51" s="228">
        <v>0.63</v>
      </c>
      <c r="AE51" s="229">
        <v>1.6999999999999999E-3</v>
      </c>
      <c r="AF51" s="228">
        <v>-0.56999999999999995</v>
      </c>
      <c r="AG51" s="228">
        <v>-1.34</v>
      </c>
      <c r="AH51" s="228">
        <v>0.77</v>
      </c>
      <c r="AI51" s="229">
        <v>-2.3E-3</v>
      </c>
      <c r="AJ51" s="228">
        <v>-1.08</v>
      </c>
      <c r="AK51" s="228">
        <v>-1.73</v>
      </c>
      <c r="AL51" s="228">
        <v>0.65</v>
      </c>
      <c r="AM51" s="229">
        <v>-4.3E-3</v>
      </c>
      <c r="AN51" s="228">
        <v>248.95</v>
      </c>
      <c r="AO51" s="228">
        <v>248.24</v>
      </c>
      <c r="AP51" s="228">
        <v>0</v>
      </c>
      <c r="AQ51" s="230">
        <v>7292</v>
      </c>
      <c r="AR51" s="230">
        <v>8556</v>
      </c>
      <c r="AS51" s="230">
        <v>-1264</v>
      </c>
      <c r="AT51" s="229">
        <v>-0.1477</v>
      </c>
      <c r="AU51" s="230">
        <v>5834</v>
      </c>
      <c r="AV51" s="230">
        <v>7041</v>
      </c>
      <c r="AW51" s="230">
        <v>-1207</v>
      </c>
      <c r="AX51" s="229">
        <v>-0.1714</v>
      </c>
      <c r="AY51" s="230">
        <v>1319</v>
      </c>
      <c r="AZ51" s="230">
        <v>1397</v>
      </c>
      <c r="BA51" s="228">
        <v>-78</v>
      </c>
      <c r="BB51" s="229">
        <v>-5.5800000000000002E-2</v>
      </c>
      <c r="BC51" s="228">
        <v>139</v>
      </c>
      <c r="BD51" s="228">
        <v>118</v>
      </c>
      <c r="BE51" s="228">
        <v>21</v>
      </c>
      <c r="BF51" s="229">
        <v>0.17799999999999999</v>
      </c>
      <c r="BG51" s="230">
        <v>19392</v>
      </c>
      <c r="BH51" s="230">
        <v>16623</v>
      </c>
      <c r="BI51" s="230">
        <v>2769</v>
      </c>
      <c r="BJ51" s="229">
        <v>0.1666</v>
      </c>
      <c r="BK51" s="230">
        <v>12070</v>
      </c>
      <c r="BL51" s="230">
        <v>8314</v>
      </c>
      <c r="BM51" s="230">
        <v>3756</v>
      </c>
      <c r="BN51" s="229">
        <v>0.45179999999999998</v>
      </c>
      <c r="BO51" s="230">
        <v>38754</v>
      </c>
      <c r="BP51" s="230">
        <v>33493</v>
      </c>
      <c r="BQ51" s="230">
        <v>5261</v>
      </c>
      <c r="BR51" s="229">
        <v>0.15709999999999999</v>
      </c>
      <c r="BS51" s="230">
        <v>7323369</v>
      </c>
      <c r="BT51" s="230">
        <v>4861965</v>
      </c>
      <c r="BU51" s="230">
        <v>2461404</v>
      </c>
      <c r="BV51" s="229">
        <v>0.50629999999999997</v>
      </c>
      <c r="BW51" s="230">
        <v>140913000</v>
      </c>
      <c r="BX51" s="230">
        <v>141807000</v>
      </c>
      <c r="BY51" s="230">
        <v>-894000</v>
      </c>
      <c r="BZ51" s="229">
        <v>-6.3E-3</v>
      </c>
      <c r="CA51" s="230">
        <v>129705000</v>
      </c>
      <c r="CB51" s="230">
        <v>132453000</v>
      </c>
      <c r="CC51" s="230">
        <v>-2748000</v>
      </c>
      <c r="CD51" s="229">
        <v>-2.07E-2</v>
      </c>
      <c r="CE51" s="230">
        <v>10536000</v>
      </c>
      <c r="CF51" s="230">
        <v>8898000</v>
      </c>
      <c r="CG51" s="230">
        <v>1638000</v>
      </c>
      <c r="CH51" s="229">
        <v>0.18410000000000001</v>
      </c>
      <c r="CI51" s="230">
        <v>672000</v>
      </c>
      <c r="CJ51" s="230">
        <v>456000</v>
      </c>
      <c r="CK51" s="230">
        <v>216000</v>
      </c>
      <c r="CL51" s="229">
        <v>0.47370000000000001</v>
      </c>
      <c r="CM51" s="230">
        <v>34617000</v>
      </c>
      <c r="CN51" s="230">
        <v>37530000</v>
      </c>
      <c r="CO51" s="230">
        <v>-2913000</v>
      </c>
      <c r="CP51" s="229">
        <v>-7.7600000000000002E-2</v>
      </c>
      <c r="CQ51" s="230">
        <v>32976000</v>
      </c>
      <c r="CR51" s="230">
        <v>32397000</v>
      </c>
      <c r="CS51" s="230">
        <v>579000</v>
      </c>
      <c r="CT51" s="229">
        <v>1.7899999999999999E-2</v>
      </c>
      <c r="CU51" s="230">
        <v>208506000</v>
      </c>
      <c r="CV51" s="230">
        <v>211734000</v>
      </c>
      <c r="CW51" s="230">
        <v>-3228000</v>
      </c>
      <c r="CX51" s="229">
        <v>-1.52E-2</v>
      </c>
      <c r="CY51" s="228">
        <v>28.2</v>
      </c>
      <c r="CZ51" s="228">
        <v>30.01</v>
      </c>
      <c r="DA51" s="228">
        <v>-1.81</v>
      </c>
      <c r="DB51" s="228">
        <v>-1.81</v>
      </c>
      <c r="DC51" s="228">
        <v>30.64</v>
      </c>
      <c r="DD51" s="228">
        <v>30.68</v>
      </c>
      <c r="DE51" s="228">
        <v>-2.44</v>
      </c>
      <c r="DF51" s="228">
        <v>-0.04</v>
      </c>
      <c r="DG51" s="228">
        <v>27.72</v>
      </c>
      <c r="DH51" s="228">
        <v>29.87</v>
      </c>
      <c r="DI51" s="228">
        <v>-2.15</v>
      </c>
      <c r="DJ51" s="228">
        <v>-2.15</v>
      </c>
      <c r="DK51" s="228">
        <v>28.98</v>
      </c>
      <c r="DL51" s="228">
        <v>30.29</v>
      </c>
      <c r="DM51" s="228">
        <v>-1.31</v>
      </c>
      <c r="DN51" s="228">
        <v>-1.31</v>
      </c>
      <c r="DO51" s="228">
        <v>0.95</v>
      </c>
      <c r="DP51" s="228">
        <v>0.86</v>
      </c>
      <c r="DQ51" s="228">
        <v>0.09</v>
      </c>
      <c r="DR51" s="229">
        <v>0.1047</v>
      </c>
      <c r="DS51" s="228">
        <v>250</v>
      </c>
      <c r="DT51" s="228">
        <v>240</v>
      </c>
      <c r="DU51" s="228">
        <v>0.62</v>
      </c>
      <c r="DV51" s="228">
        <v>0.5</v>
      </c>
      <c r="DW51" s="228">
        <v>0.12</v>
      </c>
      <c r="DX51" s="229">
        <v>0.24</v>
      </c>
      <c r="DY51" s="229">
        <v>7.9500000000000001E-2</v>
      </c>
      <c r="DZ51" s="230">
        <v>9354000</v>
      </c>
      <c r="EA51" s="229">
        <v>-4.0000000000000001E-3</v>
      </c>
      <c r="EB51" s="229">
        <v>7.9500000000000001E-2</v>
      </c>
      <c r="EC51" s="228">
        <v>-0.71</v>
      </c>
      <c r="ED51" s="229">
        <v>-2.8999999999999998E-3</v>
      </c>
      <c r="EE51" s="230">
        <v>2991680</v>
      </c>
      <c r="EF51" s="230">
        <v>2183184</v>
      </c>
      <c r="EG51" s="229">
        <v>0.37030000000000002</v>
      </c>
      <c r="EH51" s="229">
        <v>0.40849999999999997</v>
      </c>
      <c r="EI51" s="231">
        <v>150831.4</v>
      </c>
      <c r="EJ51" s="231">
        <v>88453.759999999995</v>
      </c>
      <c r="EK51" s="231">
        <v>54427.7</v>
      </c>
      <c r="EL51" s="231">
        <v>7114</v>
      </c>
      <c r="EM51" s="231">
        <v>293712.86</v>
      </c>
      <c r="EN51" s="231">
        <v>252219.97</v>
      </c>
      <c r="EO51" s="231">
        <v>41492.89</v>
      </c>
      <c r="EP51" s="229">
        <v>0.16450000000000001</v>
      </c>
      <c r="EQ51" s="231">
        <v>88911</v>
      </c>
      <c r="ER51" s="231">
        <v>77682</v>
      </c>
      <c r="ES51" s="231">
        <v>350941</v>
      </c>
      <c r="ET51" s="231">
        <v>292948819</v>
      </c>
      <c r="EU51" s="231">
        <v>517534</v>
      </c>
      <c r="EV51" s="231">
        <v>521339</v>
      </c>
      <c r="EW51" s="231">
        <v>-3805</v>
      </c>
      <c r="EX51" s="229">
        <v>-7.3000000000000001E-3</v>
      </c>
      <c r="EY51" s="229">
        <v>0.7117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J7" sqref="J7"/>
    </sheetView>
  </sheetViews>
  <sheetFormatPr defaultColWidth="13.7109375" defaultRowHeight="15" x14ac:dyDescent="0.25"/>
  <cols>
    <col min="1" max="1" width="23.85546875" customWidth="1"/>
    <col min="2" max="2" width="11.85546875" customWidth="1"/>
    <col min="3" max="3" width="12.7109375" customWidth="1"/>
    <col min="4" max="4" width="11.140625" customWidth="1"/>
    <col min="5" max="5" width="12.7109375" customWidth="1"/>
    <col min="6" max="6" width="11.140625" customWidth="1"/>
    <col min="7" max="7" width="10" customWidth="1"/>
    <col min="8" max="8" width="9.5703125" customWidth="1"/>
    <col min="9" max="9" width="12" customWidth="1"/>
    <col min="10" max="10" width="12.85546875" customWidth="1"/>
    <col min="11" max="11" width="11.140625" customWidth="1"/>
    <col min="12" max="12" width="11.85546875" customWidth="1"/>
    <col min="13" max="13" width="12.7109375" customWidth="1"/>
    <col min="14"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45940</v>
      </c>
      <c r="C2" s="230">
        <v>15014056</v>
      </c>
      <c r="D2" s="230">
        <v>2750365</v>
      </c>
      <c r="E2" s="230">
        <v>14869546</v>
      </c>
      <c r="F2" s="230">
        <v>2726612</v>
      </c>
      <c r="G2" s="230">
        <v>144510</v>
      </c>
      <c r="H2" s="230">
        <v>23753</v>
      </c>
      <c r="I2" s="230">
        <v>9726526</v>
      </c>
      <c r="J2" s="230">
        <v>1136508</v>
      </c>
      <c r="K2" s="230">
        <v>771648</v>
      </c>
      <c r="L2" s="230">
        <v>148579</v>
      </c>
      <c r="M2" s="230">
        <v>10498174</v>
      </c>
      <c r="N2" s="230">
        <v>1285086</v>
      </c>
      <c r="O2" s="61"/>
      <c r="P2" s="61"/>
      <c r="Q2" s="61"/>
      <c r="R2" s="61"/>
      <c r="S2" s="61"/>
      <c r="U2" t="s">
        <v>453</v>
      </c>
      <c r="V2">
        <f>SUM('Data Vlaue (Cr)'!CD:CD)</f>
        <v>533301</v>
      </c>
      <c r="W2" t="s">
        <v>454</v>
      </c>
    </row>
    <row r="3" spans="1:23" ht="17.25" thickBot="1" x14ac:dyDescent="0.3">
      <c r="A3" s="227" t="s">
        <v>618</v>
      </c>
      <c r="B3" s="226">
        <v>45940</v>
      </c>
      <c r="C3" s="230">
        <v>3977</v>
      </c>
      <c r="D3" s="228">
        <v>792</v>
      </c>
      <c r="E3" s="230">
        <v>3116</v>
      </c>
      <c r="F3" s="228">
        <v>620</v>
      </c>
      <c r="G3" s="228">
        <v>861</v>
      </c>
      <c r="H3" s="228">
        <v>172</v>
      </c>
      <c r="I3" s="230">
        <v>27303</v>
      </c>
      <c r="J3" s="230">
        <v>5394</v>
      </c>
      <c r="K3" s="228">
        <v>-909</v>
      </c>
      <c r="L3" s="228">
        <v>-138</v>
      </c>
      <c r="M3" s="230">
        <v>26394</v>
      </c>
      <c r="N3" s="230">
        <v>5255</v>
      </c>
      <c r="O3" s="61"/>
      <c r="P3" s="61"/>
      <c r="Q3" s="61"/>
      <c r="R3" s="61"/>
      <c r="S3" s="61"/>
      <c r="U3" t="s">
        <v>453</v>
      </c>
      <c r="V3">
        <f>SUM('Data shares'!CC:CC)</f>
        <v>14923414882</v>
      </c>
      <c r="W3" t="s">
        <v>455</v>
      </c>
    </row>
    <row r="4" spans="1:23" ht="17.25" thickBot="1" x14ac:dyDescent="0.3">
      <c r="A4" s="227" t="s">
        <v>619</v>
      </c>
      <c r="B4" s="226">
        <v>45940</v>
      </c>
      <c r="C4" s="230">
        <v>169207</v>
      </c>
      <c r="D4" s="230">
        <v>33576</v>
      </c>
      <c r="E4" s="230">
        <v>167542</v>
      </c>
      <c r="F4" s="230">
        <v>33256</v>
      </c>
      <c r="G4" s="230">
        <v>1665</v>
      </c>
      <c r="H4" s="228">
        <v>321</v>
      </c>
      <c r="I4" s="230">
        <v>221206</v>
      </c>
      <c r="J4" s="230">
        <v>43505</v>
      </c>
      <c r="K4" s="230">
        <v>13193</v>
      </c>
      <c r="L4" s="230">
        <v>2937</v>
      </c>
      <c r="M4" s="230">
        <v>234399</v>
      </c>
      <c r="N4" s="230">
        <v>46443</v>
      </c>
      <c r="O4" s="61"/>
      <c r="P4" s="61"/>
      <c r="Q4" s="61"/>
      <c r="R4" s="61"/>
      <c r="S4" s="61"/>
    </row>
    <row r="5" spans="1:23" ht="17.25" thickBot="1" x14ac:dyDescent="0.3">
      <c r="A5" s="227" t="s">
        <v>620</v>
      </c>
      <c r="B5" s="226">
        <v>45940</v>
      </c>
      <c r="C5" s="228">
        <v>70</v>
      </c>
      <c r="D5" s="228">
        <v>12</v>
      </c>
      <c r="E5" s="228">
        <v>77</v>
      </c>
      <c r="F5" s="228">
        <v>14</v>
      </c>
      <c r="G5" s="228">
        <v>-7</v>
      </c>
      <c r="H5" s="228">
        <v>-1</v>
      </c>
      <c r="I5" s="228">
        <v>167</v>
      </c>
      <c r="J5" s="228">
        <v>29</v>
      </c>
      <c r="K5" s="228">
        <v>33</v>
      </c>
      <c r="L5" s="228">
        <v>6</v>
      </c>
      <c r="M5" s="228">
        <v>200</v>
      </c>
      <c r="N5" s="228">
        <v>35</v>
      </c>
      <c r="O5" s="61"/>
      <c r="P5" s="61"/>
      <c r="Q5" s="61"/>
      <c r="R5" s="61"/>
      <c r="S5" s="61"/>
    </row>
    <row r="6" spans="1:23" ht="17.25" thickBot="1" x14ac:dyDescent="0.3">
      <c r="A6" s="227" t="s">
        <v>621</v>
      </c>
      <c r="B6" s="226">
        <v>45940</v>
      </c>
      <c r="C6" s="230">
        <v>12965</v>
      </c>
      <c r="D6" s="230">
        <v>2285</v>
      </c>
      <c r="E6" s="230">
        <v>12677</v>
      </c>
      <c r="F6" s="230">
        <v>2238</v>
      </c>
      <c r="G6" s="228">
        <v>288</v>
      </c>
      <c r="H6" s="228">
        <v>47</v>
      </c>
      <c r="I6" s="230">
        <v>10732</v>
      </c>
      <c r="J6" s="230">
        <v>1864</v>
      </c>
      <c r="K6" s="230">
        <v>2558</v>
      </c>
      <c r="L6" s="228">
        <v>455</v>
      </c>
      <c r="M6" s="230">
        <v>13290</v>
      </c>
      <c r="N6" s="230">
        <v>2319</v>
      </c>
      <c r="O6" s="61"/>
      <c r="P6" s="61"/>
      <c r="Q6" s="61"/>
      <c r="R6" s="61"/>
      <c r="S6" s="61"/>
    </row>
    <row r="7" spans="1:23" ht="17.25" thickBot="1" x14ac:dyDescent="0.3">
      <c r="A7" s="227" t="s">
        <v>622</v>
      </c>
      <c r="B7" s="226">
        <v>45940</v>
      </c>
      <c r="C7" s="230">
        <v>16472</v>
      </c>
      <c r="D7" s="230">
        <v>3167</v>
      </c>
      <c r="E7" s="230">
        <v>12001</v>
      </c>
      <c r="F7" s="230">
        <v>2308</v>
      </c>
      <c r="G7" s="230">
        <v>4471</v>
      </c>
      <c r="H7" s="228">
        <v>859</v>
      </c>
      <c r="I7" s="230">
        <v>218528</v>
      </c>
      <c r="J7" s="230">
        <v>41502</v>
      </c>
      <c r="K7" s="230">
        <v>-5019</v>
      </c>
      <c r="L7" s="228">
        <v>-708</v>
      </c>
      <c r="M7" s="230">
        <v>213509</v>
      </c>
      <c r="N7" s="230">
        <v>40794</v>
      </c>
    </row>
    <row r="8" spans="1:23" ht="17.25" thickBot="1" x14ac:dyDescent="0.3">
      <c r="A8" s="227" t="s">
        <v>623</v>
      </c>
      <c r="B8" s="226">
        <v>45940</v>
      </c>
      <c r="C8" s="230">
        <v>7156466</v>
      </c>
      <c r="D8" s="230">
        <v>1348479</v>
      </c>
      <c r="E8" s="230">
        <v>7103406</v>
      </c>
      <c r="F8" s="230">
        <v>1338502</v>
      </c>
      <c r="G8" s="230">
        <v>53060</v>
      </c>
      <c r="H8" s="230">
        <v>9977</v>
      </c>
      <c r="I8" s="230">
        <v>1675626</v>
      </c>
      <c r="J8" s="230">
        <v>317820</v>
      </c>
      <c r="K8" s="230">
        <v>377432</v>
      </c>
      <c r="L8" s="230">
        <v>73106</v>
      </c>
      <c r="M8" s="230">
        <v>2053058</v>
      </c>
      <c r="N8" s="230">
        <v>390926</v>
      </c>
    </row>
    <row r="9" spans="1:23" ht="17.25" thickBot="1" x14ac:dyDescent="0.3">
      <c r="A9" s="227" t="s">
        <v>624</v>
      </c>
      <c r="B9" s="226">
        <v>45940</v>
      </c>
      <c r="C9" s="228">
        <v>949</v>
      </c>
      <c r="D9" s="228">
        <v>176</v>
      </c>
      <c r="E9" s="228">
        <v>605</v>
      </c>
      <c r="F9" s="228">
        <v>112</v>
      </c>
      <c r="G9" s="228">
        <v>344</v>
      </c>
      <c r="H9" s="228">
        <v>64</v>
      </c>
      <c r="I9" s="230">
        <v>21672</v>
      </c>
      <c r="J9" s="230">
        <v>3975</v>
      </c>
      <c r="K9" s="228">
        <v>-350</v>
      </c>
      <c r="L9" s="228">
        <v>-30</v>
      </c>
      <c r="M9" s="230">
        <v>21322</v>
      </c>
      <c r="N9" s="230">
        <v>3945</v>
      </c>
    </row>
    <row r="10" spans="1:23" ht="17.25" thickBot="1" x14ac:dyDescent="0.3">
      <c r="A10" s="227" t="s">
        <v>625</v>
      </c>
      <c r="B10" s="226">
        <v>45940</v>
      </c>
      <c r="C10" s="230">
        <v>44333</v>
      </c>
      <c r="D10" s="230">
        <v>8150</v>
      </c>
      <c r="E10" s="230">
        <v>45065</v>
      </c>
      <c r="F10" s="230">
        <v>8277</v>
      </c>
      <c r="G10" s="228">
        <v>-732</v>
      </c>
      <c r="H10" s="228">
        <v>-128</v>
      </c>
      <c r="I10" s="230">
        <v>32343</v>
      </c>
      <c r="J10" s="230">
        <v>5902</v>
      </c>
      <c r="K10" s="230">
        <v>3996</v>
      </c>
      <c r="L10" s="228">
        <v>788</v>
      </c>
      <c r="M10" s="230">
        <v>36339</v>
      </c>
      <c r="N10" s="230">
        <v>6690</v>
      </c>
    </row>
    <row r="11" spans="1:23" ht="17.25" thickBot="1" x14ac:dyDescent="0.3">
      <c r="A11" s="227" t="s">
        <v>626</v>
      </c>
      <c r="B11" s="226">
        <v>45940</v>
      </c>
      <c r="C11" s="230">
        <v>11404</v>
      </c>
      <c r="D11" s="230">
        <v>2175</v>
      </c>
      <c r="E11" s="230">
        <v>8079</v>
      </c>
      <c r="F11" s="230">
        <v>1541</v>
      </c>
      <c r="G11" s="230">
        <v>3325</v>
      </c>
      <c r="H11" s="228">
        <v>634</v>
      </c>
      <c r="I11" s="230">
        <v>168802</v>
      </c>
      <c r="J11" s="230">
        <v>32004</v>
      </c>
      <c r="K11" s="230">
        <v>-3691</v>
      </c>
      <c r="L11" s="228">
        <v>-529</v>
      </c>
      <c r="M11" s="230">
        <v>165111</v>
      </c>
      <c r="N11" s="230">
        <v>31475</v>
      </c>
    </row>
    <row r="12" spans="1:23" ht="17.25" thickBot="1" x14ac:dyDescent="0.3">
      <c r="A12" s="227" t="s">
        <v>627</v>
      </c>
      <c r="B12" s="226">
        <v>45940</v>
      </c>
      <c r="C12" s="230">
        <v>6929869</v>
      </c>
      <c r="D12" s="230">
        <v>1304453</v>
      </c>
      <c r="E12" s="230">
        <v>6878012</v>
      </c>
      <c r="F12" s="230">
        <v>1294713</v>
      </c>
      <c r="G12" s="230">
        <v>51857</v>
      </c>
      <c r="H12" s="230">
        <v>9740</v>
      </c>
      <c r="I12" s="230">
        <v>1411173</v>
      </c>
      <c r="J12" s="230">
        <v>266519</v>
      </c>
      <c r="K12" s="230">
        <v>357631</v>
      </c>
      <c r="L12" s="230">
        <v>68917</v>
      </c>
      <c r="M12" s="230">
        <v>1768804</v>
      </c>
      <c r="N12" s="230">
        <v>335436</v>
      </c>
    </row>
    <row r="13" spans="1:23" ht="17.25" thickBot="1" x14ac:dyDescent="0.3">
      <c r="A13" s="227" t="s">
        <v>628</v>
      </c>
      <c r="B13" s="226">
        <v>45940</v>
      </c>
      <c r="C13" s="228">
        <v>72</v>
      </c>
      <c r="D13" s="228">
        <v>12</v>
      </c>
      <c r="E13" s="228">
        <v>124</v>
      </c>
      <c r="F13" s="228">
        <v>21</v>
      </c>
      <c r="G13" s="228">
        <v>-52</v>
      </c>
      <c r="H13" s="228">
        <v>-9</v>
      </c>
      <c r="I13" s="228">
        <v>584</v>
      </c>
      <c r="J13" s="228">
        <v>100</v>
      </c>
      <c r="K13" s="228">
        <v>-102</v>
      </c>
      <c r="L13" s="228">
        <v>-17</v>
      </c>
      <c r="M13" s="228">
        <v>482</v>
      </c>
      <c r="N13" s="228">
        <v>83</v>
      </c>
    </row>
    <row r="14" spans="1:23" ht="17.25" thickBot="1" x14ac:dyDescent="0.3">
      <c r="A14" s="227" t="s">
        <v>629</v>
      </c>
      <c r="B14" s="226">
        <v>45940</v>
      </c>
      <c r="C14" s="228">
        <v>92</v>
      </c>
      <c r="D14" s="228">
        <v>16</v>
      </c>
      <c r="E14" s="228">
        <v>110</v>
      </c>
      <c r="F14" s="228">
        <v>19</v>
      </c>
      <c r="G14" s="228">
        <v>-18</v>
      </c>
      <c r="H14" s="228">
        <v>-3</v>
      </c>
      <c r="I14" s="228">
        <v>171</v>
      </c>
      <c r="J14" s="228">
        <v>29</v>
      </c>
      <c r="K14" s="228">
        <v>54</v>
      </c>
      <c r="L14" s="228">
        <v>9</v>
      </c>
      <c r="M14" s="228">
        <v>225</v>
      </c>
      <c r="N14" s="228">
        <v>39</v>
      </c>
    </row>
    <row r="15" spans="1:23" ht="17.25" thickBot="1" x14ac:dyDescent="0.3">
      <c r="A15" s="227" t="s">
        <v>630</v>
      </c>
      <c r="B15" s="226">
        <v>45940</v>
      </c>
      <c r="C15" s="230">
        <v>305412</v>
      </c>
      <c r="D15" s="230">
        <v>21448</v>
      </c>
      <c r="E15" s="230">
        <v>280674</v>
      </c>
      <c r="F15" s="230">
        <v>19660</v>
      </c>
      <c r="G15" s="230">
        <v>24738</v>
      </c>
      <c r="H15" s="230">
        <v>1788</v>
      </c>
      <c r="I15" s="230">
        <v>5582927</v>
      </c>
      <c r="J15" s="230">
        <v>392938</v>
      </c>
      <c r="K15" s="230">
        <v>9014</v>
      </c>
      <c r="L15" s="230">
        <v>2467</v>
      </c>
      <c r="M15" s="230">
        <v>5591941</v>
      </c>
      <c r="N15" s="230">
        <v>395405</v>
      </c>
    </row>
    <row r="16" spans="1:23" ht="17.25" thickBot="1" x14ac:dyDescent="0.3">
      <c r="A16" s="227" t="s">
        <v>631</v>
      </c>
      <c r="B16" s="226">
        <v>45940</v>
      </c>
      <c r="C16" s="230">
        <v>362768</v>
      </c>
      <c r="D16" s="230">
        <v>25624</v>
      </c>
      <c r="E16" s="230">
        <v>358058</v>
      </c>
      <c r="F16" s="230">
        <v>25332</v>
      </c>
      <c r="G16" s="230">
        <v>4710</v>
      </c>
      <c r="H16" s="228">
        <v>292</v>
      </c>
      <c r="I16" s="230">
        <v>355292</v>
      </c>
      <c r="J16" s="230">
        <v>24925</v>
      </c>
      <c r="K16" s="230">
        <v>17808</v>
      </c>
      <c r="L16" s="230">
        <v>1316</v>
      </c>
      <c r="M16" s="230">
        <v>373100</v>
      </c>
      <c r="N16" s="230">
        <v>26241</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L3" sqref="L3:L4"/>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(Value)'!H153</f>
        <v>1465094</v>
      </c>
      <c r="C3" s="159">
        <f>'OI(Volume)'!G149</f>
        <v>-5.1000000000000004E-3</v>
      </c>
      <c r="D3" s="153">
        <f>'Snapshot (Value)'!P149</f>
        <v>0.5</v>
      </c>
      <c r="E3" s="153">
        <f>'Snapshot (Value)'!R149</f>
        <v>0.28999999999999998</v>
      </c>
      <c r="F3" s="153">
        <f>IV!E149</f>
        <v>15.13</v>
      </c>
      <c r="G3" s="153">
        <f>IV!B149</f>
        <v>9.58</v>
      </c>
      <c r="H3" s="153">
        <f>'Snapshot (Value)'!C153</f>
        <v>25285.35</v>
      </c>
      <c r="I3" s="153">
        <f>'Snapshot (Value)'!D153</f>
        <v>25411</v>
      </c>
      <c r="J3" s="153">
        <f>'Snapshot (Value)'!E153</f>
        <v>25273.8</v>
      </c>
      <c r="K3" s="153">
        <f>(I3-H3)</f>
        <v>125.65000000000146</v>
      </c>
      <c r="L3" s="232">
        <f>'Data Vlaue (Cr)'!V144</f>
        <v>25701.9</v>
      </c>
    </row>
    <row r="4" spans="1:12" x14ac:dyDescent="0.25">
      <c r="A4" t="s">
        <v>464</v>
      </c>
      <c r="B4" s="154">
        <f>'Snapshot (Value)'!H36</f>
        <v>229771</v>
      </c>
      <c r="C4" s="159">
        <f>'OI(Volume)'!G32</f>
        <v>3.8899999999999997E-2</v>
      </c>
      <c r="D4" s="153">
        <f>'Snapshot (Value)'!P36</f>
        <v>1.1399999999999999</v>
      </c>
      <c r="E4" s="153">
        <f>'Snapshot (Value)'!R36</f>
        <v>0.82</v>
      </c>
      <c r="F4" s="153">
        <f>IV!E32</f>
        <v>17.32</v>
      </c>
      <c r="G4" s="153">
        <f>IV!B32</f>
        <v>11.23</v>
      </c>
      <c r="H4" s="153">
        <f>'Snapshot (Value)'!C36</f>
        <v>56609.75</v>
      </c>
      <c r="I4" s="153">
        <f>'Snapshot (Value)'!D36</f>
        <v>56862.2</v>
      </c>
      <c r="J4" s="153">
        <f>'Snapshot (Value)'!E36</f>
        <v>56413.2</v>
      </c>
      <c r="K4" s="153">
        <f>(I4-H4)</f>
        <v>252.44999999999709</v>
      </c>
      <c r="L4" s="232">
        <f>'Data Vlaue (Cr)'!V27</f>
        <v>57500.2</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U8" sqref="U8"/>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39" t="s">
        <v>393</v>
      </c>
      <c r="B1" s="336" t="s">
        <v>633</v>
      </c>
      <c r="C1" s="337"/>
      <c r="D1" s="338"/>
      <c r="E1" s="333" t="s">
        <v>634</v>
      </c>
      <c r="F1" s="334"/>
      <c r="G1" s="335"/>
      <c r="H1" s="330" t="s">
        <v>635</v>
      </c>
      <c r="I1" s="331"/>
      <c r="J1" s="332"/>
      <c r="K1" s="327" t="s">
        <v>636</v>
      </c>
      <c r="L1" s="328"/>
      <c r="M1" s="329"/>
    </row>
    <row r="2" spans="1:13" ht="26.25" thickBot="1" x14ac:dyDescent="0.25">
      <c r="A2" s="340"/>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195075</v>
      </c>
      <c r="C3" s="206">
        <v>189243</v>
      </c>
      <c r="D3" s="207">
        <v>-5832</v>
      </c>
      <c r="E3" s="206">
        <v>81097</v>
      </c>
      <c r="F3" s="206">
        <v>83380</v>
      </c>
      <c r="G3" s="207">
        <v>2283</v>
      </c>
      <c r="H3" s="206">
        <v>27064</v>
      </c>
      <c r="I3" s="206">
        <v>27813</v>
      </c>
      <c r="J3" s="207">
        <v>749</v>
      </c>
      <c r="K3" s="206">
        <v>30122</v>
      </c>
      <c r="L3" s="206">
        <v>29876</v>
      </c>
      <c r="M3" s="207">
        <v>-246</v>
      </c>
    </row>
    <row r="4" spans="1:13" x14ac:dyDescent="0.2">
      <c r="A4" s="208" t="s">
        <v>640</v>
      </c>
      <c r="B4" s="206">
        <v>82257</v>
      </c>
      <c r="C4" s="206">
        <v>80314</v>
      </c>
      <c r="D4" s="207">
        <v>-1943</v>
      </c>
      <c r="E4" s="206">
        <v>39971</v>
      </c>
      <c r="F4" s="206">
        <v>39971</v>
      </c>
      <c r="G4" s="207">
        <v>0</v>
      </c>
      <c r="H4" s="206">
        <v>177724</v>
      </c>
      <c r="I4" s="206">
        <v>171472</v>
      </c>
      <c r="J4" s="207">
        <v>-6252</v>
      </c>
      <c r="K4" s="206">
        <v>33406</v>
      </c>
      <c r="L4" s="206">
        <v>38555</v>
      </c>
      <c r="M4" s="207">
        <v>5149</v>
      </c>
    </row>
    <row r="5" spans="1:13" ht="13.5" thickBot="1" x14ac:dyDescent="0.25">
      <c r="A5" s="205" t="s">
        <v>641</v>
      </c>
      <c r="B5" s="206">
        <v>112818</v>
      </c>
      <c r="C5" s="206">
        <v>108929</v>
      </c>
      <c r="D5" s="209">
        <v>-3889</v>
      </c>
      <c r="E5" s="206">
        <v>41126</v>
      </c>
      <c r="F5" s="206">
        <v>43409</v>
      </c>
      <c r="G5" s="209">
        <v>2283</v>
      </c>
      <c r="H5" s="210">
        <v>-150660</v>
      </c>
      <c r="I5" s="210">
        <v>-143659</v>
      </c>
      <c r="J5" s="209">
        <v>7001</v>
      </c>
      <c r="K5" s="210">
        <v>-3284</v>
      </c>
      <c r="L5" s="210">
        <v>-8679</v>
      </c>
      <c r="M5" s="209">
        <v>-5395</v>
      </c>
    </row>
    <row r="6" spans="1:13" ht="13.5" customHeight="1" thickBot="1" x14ac:dyDescent="0.25">
      <c r="A6" s="339" t="s">
        <v>642</v>
      </c>
      <c r="B6" s="336" t="s">
        <v>633</v>
      </c>
      <c r="C6" s="337"/>
      <c r="D6" s="338"/>
      <c r="E6" s="333" t="s">
        <v>634</v>
      </c>
      <c r="F6" s="334"/>
      <c r="G6" s="335"/>
      <c r="H6" s="330" t="s">
        <v>635</v>
      </c>
      <c r="I6" s="331"/>
      <c r="J6" s="332"/>
      <c r="K6" s="327" t="s">
        <v>636</v>
      </c>
      <c r="L6" s="328"/>
      <c r="M6" s="329"/>
    </row>
    <row r="7" spans="1:13" ht="26.25" thickBot="1" x14ac:dyDescent="0.25">
      <c r="A7" s="340"/>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1750202</v>
      </c>
      <c r="C8" s="206">
        <v>2157714</v>
      </c>
      <c r="D8" s="207">
        <v>407512</v>
      </c>
      <c r="E8" s="206">
        <v>970</v>
      </c>
      <c r="F8" s="206">
        <v>963</v>
      </c>
      <c r="G8" s="207">
        <v>-7</v>
      </c>
      <c r="H8" s="206">
        <v>375596</v>
      </c>
      <c r="I8" s="206">
        <v>431295</v>
      </c>
      <c r="J8" s="207">
        <v>55699</v>
      </c>
      <c r="K8" s="206">
        <v>809404</v>
      </c>
      <c r="L8" s="206">
        <v>949095</v>
      </c>
      <c r="M8" s="207">
        <v>139691</v>
      </c>
    </row>
    <row r="9" spans="1:13" x14ac:dyDescent="0.2">
      <c r="A9" s="208" t="s">
        <v>640</v>
      </c>
      <c r="B9" s="206">
        <v>1852984</v>
      </c>
      <c r="C9" s="206">
        <v>2307126</v>
      </c>
      <c r="D9" s="207">
        <v>454142</v>
      </c>
      <c r="E9" s="206">
        <v>0</v>
      </c>
      <c r="F9" s="206">
        <v>0</v>
      </c>
      <c r="G9" s="207">
        <v>0</v>
      </c>
      <c r="H9" s="206">
        <v>386440</v>
      </c>
      <c r="I9" s="206">
        <v>419058</v>
      </c>
      <c r="J9" s="207">
        <v>32618</v>
      </c>
      <c r="K9" s="206">
        <v>696749</v>
      </c>
      <c r="L9" s="206">
        <v>812883</v>
      </c>
      <c r="M9" s="207">
        <v>116134</v>
      </c>
    </row>
    <row r="10" spans="1:13" ht="13.5" thickBot="1" x14ac:dyDescent="0.25">
      <c r="A10" s="205" t="s">
        <v>641</v>
      </c>
      <c r="B10" s="206">
        <v>-102782</v>
      </c>
      <c r="C10" s="206">
        <v>-149412</v>
      </c>
      <c r="D10" s="209">
        <v>-46630</v>
      </c>
      <c r="E10" s="206">
        <v>970</v>
      </c>
      <c r="F10" s="206">
        <v>963</v>
      </c>
      <c r="G10" s="209">
        <v>-7</v>
      </c>
      <c r="H10" s="206">
        <v>-10844</v>
      </c>
      <c r="I10" s="206">
        <v>12237</v>
      </c>
      <c r="J10" s="209">
        <v>23081</v>
      </c>
      <c r="K10" s="210">
        <v>112655</v>
      </c>
      <c r="L10" s="210">
        <v>136212</v>
      </c>
      <c r="M10" s="209">
        <v>23557</v>
      </c>
    </row>
    <row r="11" spans="1:13" ht="13.5" customHeight="1" thickBot="1" x14ac:dyDescent="0.25">
      <c r="A11" s="339" t="s">
        <v>643</v>
      </c>
      <c r="B11" s="336" t="s">
        <v>633</v>
      </c>
      <c r="C11" s="337"/>
      <c r="D11" s="338"/>
      <c r="E11" s="333" t="s">
        <v>634</v>
      </c>
      <c r="F11" s="334"/>
      <c r="G11" s="335"/>
      <c r="H11" s="330" t="s">
        <v>635</v>
      </c>
      <c r="I11" s="331"/>
      <c r="J11" s="332"/>
      <c r="K11" s="327" t="s">
        <v>636</v>
      </c>
      <c r="L11" s="328"/>
      <c r="M11" s="329"/>
    </row>
    <row r="12" spans="1:13" ht="26.25" thickBot="1" x14ac:dyDescent="0.25">
      <c r="A12" s="340"/>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1938105</v>
      </c>
      <c r="C13" s="206">
        <v>2298331</v>
      </c>
      <c r="D13" s="207">
        <v>360226</v>
      </c>
      <c r="E13" s="206">
        <v>37845</v>
      </c>
      <c r="F13" s="206">
        <v>41245</v>
      </c>
      <c r="G13" s="207">
        <v>3400</v>
      </c>
      <c r="H13" s="206">
        <v>547466</v>
      </c>
      <c r="I13" s="206">
        <v>616493</v>
      </c>
      <c r="J13" s="207">
        <v>69027</v>
      </c>
      <c r="K13" s="206">
        <v>950549</v>
      </c>
      <c r="L13" s="206">
        <v>1105542</v>
      </c>
      <c r="M13" s="207">
        <v>154993</v>
      </c>
    </row>
    <row r="14" spans="1:13" x14ac:dyDescent="0.2">
      <c r="A14" s="208" t="s">
        <v>640</v>
      </c>
      <c r="B14" s="206">
        <v>2262347</v>
      </c>
      <c r="C14" s="206">
        <v>2712851</v>
      </c>
      <c r="D14" s="207">
        <v>450504</v>
      </c>
      <c r="E14" s="206">
        <v>0</v>
      </c>
      <c r="F14" s="206">
        <v>0</v>
      </c>
      <c r="G14" s="207">
        <v>0</v>
      </c>
      <c r="H14" s="206">
        <v>304838</v>
      </c>
      <c r="I14" s="206">
        <v>340222</v>
      </c>
      <c r="J14" s="207">
        <v>35384</v>
      </c>
      <c r="K14" s="206">
        <v>906781</v>
      </c>
      <c r="L14" s="206">
        <v>1008537</v>
      </c>
      <c r="M14" s="207">
        <v>101756</v>
      </c>
    </row>
    <row r="15" spans="1:13" ht="13.5" thickBot="1" x14ac:dyDescent="0.25">
      <c r="A15" s="205" t="s">
        <v>641</v>
      </c>
      <c r="B15" s="210">
        <v>-324242</v>
      </c>
      <c r="C15" s="210">
        <v>-414520</v>
      </c>
      <c r="D15" s="209">
        <v>-90278</v>
      </c>
      <c r="E15" s="206">
        <v>37845</v>
      </c>
      <c r="F15" s="206">
        <v>41245</v>
      </c>
      <c r="G15" s="209">
        <v>3400</v>
      </c>
      <c r="H15" s="206">
        <v>242628</v>
      </c>
      <c r="I15" s="206">
        <v>276271</v>
      </c>
      <c r="J15" s="209">
        <v>33643</v>
      </c>
      <c r="K15" s="210">
        <v>43768</v>
      </c>
      <c r="L15" s="210">
        <v>97005</v>
      </c>
      <c r="M15" s="209">
        <v>53237</v>
      </c>
    </row>
    <row r="16" spans="1:13" ht="13.5" thickBot="1" x14ac:dyDescent="0.25">
      <c r="A16" s="339" t="s">
        <v>395</v>
      </c>
      <c r="B16" s="336" t="s">
        <v>633</v>
      </c>
      <c r="C16" s="337"/>
      <c r="D16" s="338"/>
      <c r="E16" s="333" t="s">
        <v>634</v>
      </c>
      <c r="F16" s="334"/>
      <c r="G16" s="335"/>
      <c r="H16" s="330" t="s">
        <v>635</v>
      </c>
      <c r="I16" s="331"/>
      <c r="J16" s="332"/>
      <c r="K16" s="327" t="s">
        <v>636</v>
      </c>
      <c r="L16" s="328"/>
      <c r="M16" s="329"/>
    </row>
    <row r="17" spans="1:13" ht="26.25" thickBot="1" x14ac:dyDescent="0.25">
      <c r="A17" s="340"/>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2604639</v>
      </c>
      <c r="C18" s="206">
        <v>2612825</v>
      </c>
      <c r="D18" s="207">
        <v>8186</v>
      </c>
      <c r="E18" s="206">
        <v>205860</v>
      </c>
      <c r="F18" s="206">
        <v>209067</v>
      </c>
      <c r="G18" s="207">
        <v>3207</v>
      </c>
      <c r="H18" s="206">
        <v>3430475</v>
      </c>
      <c r="I18" s="206">
        <v>3444136</v>
      </c>
      <c r="J18" s="207">
        <v>13661</v>
      </c>
      <c r="K18" s="206">
        <v>746247</v>
      </c>
      <c r="L18" s="206">
        <v>755762</v>
      </c>
      <c r="M18" s="207">
        <v>9515</v>
      </c>
    </row>
    <row r="19" spans="1:13" x14ac:dyDescent="0.2">
      <c r="A19" s="208" t="s">
        <v>640</v>
      </c>
      <c r="B19" s="206">
        <v>318266</v>
      </c>
      <c r="C19" s="206">
        <v>323006</v>
      </c>
      <c r="D19" s="207">
        <v>4740</v>
      </c>
      <c r="E19" s="206">
        <v>4255042</v>
      </c>
      <c r="F19" s="206">
        <v>4256764</v>
      </c>
      <c r="G19" s="207">
        <v>1722</v>
      </c>
      <c r="H19" s="206">
        <v>2101997</v>
      </c>
      <c r="I19" s="206">
        <v>2115165</v>
      </c>
      <c r="J19" s="207">
        <v>13168</v>
      </c>
      <c r="K19" s="206">
        <v>311916</v>
      </c>
      <c r="L19" s="206">
        <v>326855</v>
      </c>
      <c r="M19" s="207">
        <v>14939</v>
      </c>
    </row>
    <row r="20" spans="1:13" ht="13.5" thickBot="1" x14ac:dyDescent="0.25">
      <c r="A20" s="205" t="s">
        <v>641</v>
      </c>
      <c r="B20" s="206">
        <v>2286373</v>
      </c>
      <c r="C20" s="206">
        <v>2289819</v>
      </c>
      <c r="D20" s="209">
        <v>3446</v>
      </c>
      <c r="E20" s="210">
        <v>-4049182</v>
      </c>
      <c r="F20" s="210">
        <v>-4047697</v>
      </c>
      <c r="G20" s="209">
        <v>1485</v>
      </c>
      <c r="H20" s="206">
        <v>1328478</v>
      </c>
      <c r="I20" s="206">
        <v>1328971</v>
      </c>
      <c r="J20" s="209">
        <v>493</v>
      </c>
      <c r="K20" s="206">
        <v>434331</v>
      </c>
      <c r="L20" s="206">
        <v>428907</v>
      </c>
      <c r="M20" s="209">
        <v>-5424</v>
      </c>
    </row>
    <row r="21" spans="1:13" ht="13.5" customHeight="1" thickBot="1" x14ac:dyDescent="0.25">
      <c r="A21" s="339" t="s">
        <v>644</v>
      </c>
      <c r="B21" s="336" t="s">
        <v>633</v>
      </c>
      <c r="C21" s="337"/>
      <c r="D21" s="338"/>
      <c r="E21" s="333" t="s">
        <v>634</v>
      </c>
      <c r="F21" s="334"/>
      <c r="G21" s="335"/>
      <c r="H21" s="330" t="s">
        <v>635</v>
      </c>
      <c r="I21" s="331"/>
      <c r="J21" s="332"/>
      <c r="K21" s="327" t="s">
        <v>636</v>
      </c>
      <c r="L21" s="328"/>
      <c r="M21" s="329"/>
    </row>
    <row r="22" spans="1:13" ht="26.25" thickBot="1" x14ac:dyDescent="0.25">
      <c r="A22" s="340"/>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1962301</v>
      </c>
      <c r="C23" s="206">
        <v>2026368</v>
      </c>
      <c r="D23" s="207">
        <v>64067</v>
      </c>
      <c r="E23" s="206">
        <v>2302</v>
      </c>
      <c r="F23" s="206">
        <v>2302</v>
      </c>
      <c r="G23" s="207">
        <v>0</v>
      </c>
      <c r="H23" s="206">
        <v>88221</v>
      </c>
      <c r="I23" s="206">
        <v>95099</v>
      </c>
      <c r="J23" s="207">
        <v>6878</v>
      </c>
      <c r="K23" s="206">
        <v>844996</v>
      </c>
      <c r="L23" s="206">
        <v>880521</v>
      </c>
      <c r="M23" s="207">
        <v>35525</v>
      </c>
    </row>
    <row r="24" spans="1:13" x14ac:dyDescent="0.2">
      <c r="A24" s="208" t="s">
        <v>640</v>
      </c>
      <c r="B24" s="206">
        <v>1309245</v>
      </c>
      <c r="C24" s="206">
        <v>1348505</v>
      </c>
      <c r="D24" s="207">
        <v>39260</v>
      </c>
      <c r="E24" s="206">
        <v>201046</v>
      </c>
      <c r="F24" s="206">
        <v>210019</v>
      </c>
      <c r="G24" s="207">
        <v>8973</v>
      </c>
      <c r="H24" s="206">
        <v>122735</v>
      </c>
      <c r="I24" s="206">
        <v>126406</v>
      </c>
      <c r="J24" s="207">
        <v>3671</v>
      </c>
      <c r="K24" s="206">
        <v>1264794</v>
      </c>
      <c r="L24" s="206">
        <v>1319360</v>
      </c>
      <c r="M24" s="207">
        <v>54566</v>
      </c>
    </row>
    <row r="25" spans="1:13" ht="13.5" thickBot="1" x14ac:dyDescent="0.25">
      <c r="A25" s="205" t="s">
        <v>641</v>
      </c>
      <c r="B25" s="206">
        <v>653056</v>
      </c>
      <c r="C25" s="206">
        <v>677863</v>
      </c>
      <c r="D25" s="209">
        <v>24807</v>
      </c>
      <c r="E25" s="210">
        <v>-198744</v>
      </c>
      <c r="F25" s="210">
        <v>-207717</v>
      </c>
      <c r="G25" s="209">
        <v>-8973</v>
      </c>
      <c r="H25" s="210">
        <v>-34514</v>
      </c>
      <c r="I25" s="210">
        <v>-31307</v>
      </c>
      <c r="J25" s="209">
        <v>3207</v>
      </c>
      <c r="K25" s="210">
        <v>-419798</v>
      </c>
      <c r="L25" s="210">
        <v>-438839</v>
      </c>
      <c r="M25" s="209">
        <v>-19041</v>
      </c>
    </row>
    <row r="26" spans="1:13" ht="13.5" thickBot="1" x14ac:dyDescent="0.25">
      <c r="A26" s="339" t="s">
        <v>645</v>
      </c>
      <c r="B26" s="336" t="s">
        <v>633</v>
      </c>
      <c r="C26" s="337"/>
      <c r="D26" s="338"/>
      <c r="E26" s="333" t="s">
        <v>634</v>
      </c>
      <c r="F26" s="334"/>
      <c r="G26" s="335"/>
      <c r="H26" s="330" t="s">
        <v>635</v>
      </c>
      <c r="I26" s="331"/>
      <c r="J26" s="332"/>
      <c r="K26" s="327" t="s">
        <v>636</v>
      </c>
      <c r="L26" s="328"/>
      <c r="M26" s="329"/>
    </row>
    <row r="27" spans="1:13" ht="26.25" thickBot="1" x14ac:dyDescent="0.25">
      <c r="A27" s="340"/>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965204</v>
      </c>
      <c r="C28" s="206">
        <v>976654</v>
      </c>
      <c r="D28" s="207">
        <v>11450</v>
      </c>
      <c r="E28" s="206">
        <v>0</v>
      </c>
      <c r="F28" s="206">
        <v>0</v>
      </c>
      <c r="G28" s="207">
        <v>0</v>
      </c>
      <c r="H28" s="206">
        <v>122759</v>
      </c>
      <c r="I28" s="206">
        <v>127524</v>
      </c>
      <c r="J28" s="207">
        <v>4765</v>
      </c>
      <c r="K28" s="206">
        <v>890072</v>
      </c>
      <c r="L28" s="206">
        <v>914253</v>
      </c>
      <c r="M28" s="207">
        <v>24181</v>
      </c>
    </row>
    <row r="29" spans="1:13" x14ac:dyDescent="0.2">
      <c r="A29" s="208" t="s">
        <v>640</v>
      </c>
      <c r="B29" s="206">
        <v>1149376</v>
      </c>
      <c r="C29" s="206">
        <v>1171336</v>
      </c>
      <c r="D29" s="207">
        <v>21960</v>
      </c>
      <c r="E29" s="206">
        <v>0</v>
      </c>
      <c r="F29" s="206">
        <v>0</v>
      </c>
      <c r="G29" s="207">
        <v>0</v>
      </c>
      <c r="H29" s="206">
        <v>95281</v>
      </c>
      <c r="I29" s="206">
        <v>97491</v>
      </c>
      <c r="J29" s="207">
        <v>2210</v>
      </c>
      <c r="K29" s="206">
        <v>733378</v>
      </c>
      <c r="L29" s="206">
        <v>749604</v>
      </c>
      <c r="M29" s="207">
        <v>16226</v>
      </c>
    </row>
    <row r="30" spans="1:13" ht="13.5" thickBot="1" x14ac:dyDescent="0.25">
      <c r="A30" s="211" t="s">
        <v>641</v>
      </c>
      <c r="B30" s="212">
        <v>-184172</v>
      </c>
      <c r="C30" s="212">
        <v>-194682</v>
      </c>
      <c r="D30" s="213">
        <v>-10510</v>
      </c>
      <c r="E30" s="214">
        <v>0</v>
      </c>
      <c r="F30" s="214">
        <v>0</v>
      </c>
      <c r="G30" s="213">
        <v>0</v>
      </c>
      <c r="H30" s="214">
        <v>27478</v>
      </c>
      <c r="I30" s="214">
        <v>30033</v>
      </c>
      <c r="J30" s="213">
        <v>2555</v>
      </c>
      <c r="K30" s="214">
        <v>156694</v>
      </c>
      <c r="L30" s="214">
        <v>164649</v>
      </c>
      <c r="M30" s="213">
        <v>7955</v>
      </c>
    </row>
  </sheetData>
  <mergeCells count="30">
    <mergeCell ref="A1:A2"/>
    <mergeCell ref="B1:D1"/>
    <mergeCell ref="E1:G1"/>
    <mergeCell ref="H1:J1"/>
    <mergeCell ref="K1:M1"/>
    <mergeCell ref="K26:M26"/>
    <mergeCell ref="H26:J26"/>
    <mergeCell ref="E26:G26"/>
    <mergeCell ref="B26:D26"/>
    <mergeCell ref="A26:A27"/>
    <mergeCell ref="B16:D16"/>
    <mergeCell ref="A16:A17"/>
    <mergeCell ref="K21:M21"/>
    <mergeCell ref="H21:J21"/>
    <mergeCell ref="E21:G21"/>
    <mergeCell ref="B21:D21"/>
    <mergeCell ref="A21:A22"/>
    <mergeCell ref="K16:M16"/>
    <mergeCell ref="H16:J16"/>
    <mergeCell ref="E16:G16"/>
    <mergeCell ref="K6:M6"/>
    <mergeCell ref="H6:J6"/>
    <mergeCell ref="E6:G6"/>
    <mergeCell ref="B6:D6"/>
    <mergeCell ref="A6:A7"/>
    <mergeCell ref="K11:M11"/>
    <mergeCell ref="H11:J11"/>
    <mergeCell ref="E11:G11"/>
    <mergeCell ref="B11:D11"/>
    <mergeCell ref="A11:A12"/>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3784</v>
      </c>
      <c r="C3" s="200"/>
      <c r="D3" s="200"/>
    </row>
    <row r="4" spans="1:4" x14ac:dyDescent="0.25">
      <c r="A4" s="217" t="s">
        <v>320</v>
      </c>
      <c r="B4" s="220">
        <f>VLOOKUP($B$1,'Snapshot (Value)'!$A:$S,6,0)</f>
        <v>20.099999999999909</v>
      </c>
      <c r="C4" s="200"/>
      <c r="D4" s="200"/>
    </row>
    <row r="5" spans="1:4" x14ac:dyDescent="0.25">
      <c r="A5" s="221"/>
      <c r="B5" s="222" t="s">
        <v>650</v>
      </c>
      <c r="C5" s="222" t="s">
        <v>651</v>
      </c>
      <c r="D5" s="222" t="s">
        <v>652</v>
      </c>
    </row>
    <row r="6" spans="1:4" x14ac:dyDescent="0.25">
      <c r="A6" s="217" t="s">
        <v>653</v>
      </c>
      <c r="B6" s="219">
        <f>VLOOKUP($B$1,'Snapshot (Value)'!$A:$S,4,0)</f>
        <v>3804.1</v>
      </c>
      <c r="C6" s="219">
        <f>VLOOKUP($B$1,'Snapshot (Value)'!$A:$S,5,0)</f>
        <v>3781.2</v>
      </c>
      <c r="D6" s="219">
        <f>+(B6/C6-1)*100</f>
        <v>0.60562784301281258</v>
      </c>
    </row>
    <row r="7" spans="1:4" x14ac:dyDescent="0.25">
      <c r="A7" s="217" t="s">
        <v>316</v>
      </c>
      <c r="B7" s="219">
        <f>VLOOKUP($B$1,'Snapshot (Volume)'!$A:$S,12,0)</f>
        <v>0.5</v>
      </c>
      <c r="C7" s="219">
        <f>VLOOKUP($B$1,'Snapshot (Volume)'!$A:$S,13,0)</f>
        <v>0.5</v>
      </c>
      <c r="D7" s="219">
        <f>+(B7/C7-1)*100</f>
        <v>0</v>
      </c>
    </row>
    <row r="8" spans="1:4" x14ac:dyDescent="0.25">
      <c r="A8" s="217" t="s">
        <v>654</v>
      </c>
      <c r="B8" s="219">
        <f>VLOOKUP($B$1,'Snapshot (Volume)'!$A:$S,15,0)</f>
        <v>0.4</v>
      </c>
      <c r="C8" s="219">
        <f>VLOOKUP($B$1,'Snapshot (Volume)'!$A:$S,16,0)</f>
        <v>0.42</v>
      </c>
      <c r="D8" s="219">
        <f>+(B8/C8-1)*100</f>
        <v>-4.7619047619047556</v>
      </c>
    </row>
    <row r="9" spans="1:4" x14ac:dyDescent="0.25">
      <c r="A9" s="215" t="s">
        <v>655</v>
      </c>
      <c r="B9" s="222" t="s">
        <v>656</v>
      </c>
      <c r="C9" s="222" t="s">
        <v>369</v>
      </c>
      <c r="D9" s="222" t="s">
        <v>652</v>
      </c>
    </row>
    <row r="10" spans="1:4" x14ac:dyDescent="0.25">
      <c r="A10" s="217" t="s">
        <v>657</v>
      </c>
      <c r="B10" s="219">
        <f>VLOOKUP($B$1,'OI(Value)'!$A:$O,5,0)</f>
        <v>6090</v>
      </c>
      <c r="C10" s="219">
        <f>VLOOKUP($B$1,'OI(Value)'!$A:$O,6,0)</f>
        <v>-53</v>
      </c>
      <c r="D10" s="219">
        <f>VLOOKUP($B$1,'OI(Value)'!$A:$O,7,0)*100</f>
        <v>-0.86999999999999988</v>
      </c>
    </row>
    <row r="11" spans="1:4" x14ac:dyDescent="0.25">
      <c r="A11" s="217" t="s">
        <v>658</v>
      </c>
      <c r="B11" s="219">
        <f>VLOOKUP($B$1,'OI(Value)'!$A:$O,8,0)</f>
        <v>2399</v>
      </c>
      <c r="C11" s="219">
        <f>VLOOKUP($B$1,'OI(Value)'!$A:$O,9,0)</f>
        <v>191</v>
      </c>
      <c r="D11" s="219">
        <f>VLOOKUP($B$1,'OI(Value)'!$A:$O,10,0)*100</f>
        <v>8.6300000000000008</v>
      </c>
    </row>
    <row r="12" spans="1:4" x14ac:dyDescent="0.25">
      <c r="A12" s="217" t="s">
        <v>659</v>
      </c>
      <c r="B12" s="219">
        <f>VLOOKUP($B$1,'OI(Value)'!$A:$O,11,0)</f>
        <v>1195</v>
      </c>
      <c r="C12" s="219">
        <f>VLOOKUP($B$1,'OI(Value)'!$A:$O,12,0)</f>
        <v>87</v>
      </c>
      <c r="D12" s="219">
        <f>VLOOKUP($B$1,'OI(Value)'!$A:$O,13,0)*100</f>
        <v>7.82</v>
      </c>
    </row>
    <row r="13" spans="1:4" x14ac:dyDescent="0.25">
      <c r="A13" s="215" t="s">
        <v>660</v>
      </c>
      <c r="B13" s="223">
        <f>VLOOKUP($B$1,'OI(Value)'!$A:$O,2,0)</f>
        <v>9684</v>
      </c>
      <c r="C13" s="223">
        <f>VLOOKUP($B$1,'OI(Value)'!$A:$O,3,0)</f>
        <v>224</v>
      </c>
      <c r="D13" s="223">
        <f>VLOOKUP($B$1,'OI(Value)'!$A:$O,4,0)*100</f>
        <v>2.37</v>
      </c>
    </row>
    <row r="14" spans="1:4" x14ac:dyDescent="0.25">
      <c r="A14" s="215" t="s">
        <v>661</v>
      </c>
      <c r="B14" s="222" t="s">
        <v>662</v>
      </c>
      <c r="C14" s="222" t="s">
        <v>369</v>
      </c>
      <c r="D14" s="222" t="s">
        <v>652</v>
      </c>
    </row>
    <row r="15" spans="1:4" x14ac:dyDescent="0.25">
      <c r="A15" s="217" t="s">
        <v>657</v>
      </c>
      <c r="B15" s="219">
        <f>VLOOKUP($B$1,'OI(Volume)'!$A:$O,5,0)/10^5</f>
        <v>160.10050000000001</v>
      </c>
      <c r="C15" s="219">
        <f>VLOOKUP($B$1,'OI(Volume)'!$A:$O,6,0)/10^5</f>
        <v>-1.4035</v>
      </c>
      <c r="D15" s="219">
        <f>(VLOOKUP($B$1,'OI(Volume)'!$A:$O,7,0))*100</f>
        <v>-0.86999999999999988</v>
      </c>
    </row>
    <row r="16" spans="1:4" x14ac:dyDescent="0.25">
      <c r="A16" s="217" t="s">
        <v>658</v>
      </c>
      <c r="B16" s="219">
        <f>VLOOKUP($B$1,'OI(Volume)'!$A:$O,8,0)/10^5</f>
        <v>63.064749999999997</v>
      </c>
      <c r="C16" s="219">
        <f>VLOOKUP($B$1,'OI(Volume)'!$A:$O,9,0)/10^5</f>
        <v>5.0102500000000001</v>
      </c>
      <c r="D16" s="219">
        <f>(VLOOKUP($B$1,'OI(Volume)'!$A:$O,10,0))*100</f>
        <v>8.6300000000000008</v>
      </c>
    </row>
    <row r="17" spans="1:4" x14ac:dyDescent="0.25">
      <c r="A17" s="217" t="s">
        <v>659</v>
      </c>
      <c r="B17" s="219">
        <f>VLOOKUP($B$1,'OI(Volume)'!$A:$O,11,0)/10^5</f>
        <v>31.407250000000001</v>
      </c>
      <c r="C17" s="219">
        <f>VLOOKUP($B$1,'OI(Volume)'!$A:$O,12,0)/10^5</f>
        <v>2.2767499999999998</v>
      </c>
      <c r="D17" s="219">
        <f>(VLOOKUP($B$1,'OI(Volume)'!$A:$O,13,0))*100</f>
        <v>7.82</v>
      </c>
    </row>
    <row r="18" spans="1:4" x14ac:dyDescent="0.25">
      <c r="A18" s="215" t="s">
        <v>663</v>
      </c>
      <c r="B18" s="223">
        <f>VLOOKUP($B$1,'OI(Volume)'!$A:$O,2,0)/10^5</f>
        <v>254.57249999999999</v>
      </c>
      <c r="C18" s="223">
        <f>VLOOKUP($B$1,'OI(Volume)'!$A:$O,3,0)/10^5</f>
        <v>5.8834999999999997</v>
      </c>
      <c r="D18" s="223">
        <f>(VLOOKUP($B$1,'OI(Volume)'!$A:$O,4,0))*100</f>
        <v>2.37</v>
      </c>
    </row>
    <row r="20" spans="1:4" x14ac:dyDescent="0.25">
      <c r="A20" s="17" t="s">
        <v>417</v>
      </c>
      <c r="B20" s="224">
        <f>VLOOKUP($B$1,'Open Interest Position'!$A:$F,2,0)/10^5</f>
        <v>1360.07303</v>
      </c>
    </row>
    <row r="21" spans="1:4" x14ac:dyDescent="0.25">
      <c r="A21" s="17" t="s">
        <v>412</v>
      </c>
      <c r="B21" s="224">
        <f>VLOOKUP($B$1,'Open Interest Position'!$A:$F,3,0)/10^5</f>
        <v>250.84674999999999</v>
      </c>
    </row>
    <row r="22" spans="1:4" x14ac:dyDescent="0.25">
      <c r="A22" s="17" t="s">
        <v>418</v>
      </c>
      <c r="B22" s="224">
        <f>VLOOKUP($B$1,'Open Interest Position'!$A:$F,4,0)/10^5</f>
        <v>170.44221810230999</v>
      </c>
    </row>
    <row r="23" spans="1:4" x14ac:dyDescent="0.25">
      <c r="A23" s="17" t="s">
        <v>419</v>
      </c>
      <c r="B23" s="225">
        <f>VLOOKUP($B$1,'Open Interest Position'!$A:$F,6,0)</f>
        <v>0.18443623575125226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2025-10-10T14:11:53Z</dcterms:modified>
</cp:coreProperties>
</file>